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xl/pivotTables/pivotTable4.xml" ContentType="application/vnd.openxmlformats-officedocument.spreadsheetml.pivotTable+xml"/>
  <Override PartName="/xl/worksheets/sheet3.xml" ContentType="application/vnd.openxmlformats-officedocument.spreadsheetml.worksheet+xml"/>
  <Override PartName="/xl/worksheets/sheet2.xml" ContentType="application/vnd.openxmlformats-officedocument.spreadsheetml.worksheet+xml"/>
  <Override PartName="/xl/pivotTables/pivotTable3.xml" ContentType="application/vnd.openxmlformats-officedocument.spreadsheetml.pivotTable+xml"/>
  <Override PartName="/xl/pivotTables/pivotTable2.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worksheets/sheet1.xml" ContentType="application/vnd.openxmlformats-officedocument.spreadsheetml.worksheet+xml"/>
  <Override PartName="/xl/pivotTables/pivotTable1.xml" ContentType="application/vnd.openxmlformats-officedocument.spreadsheetml.pivotTable+xml"/>
  <Override PartName="/xl/theme/theme1.xml" ContentType="application/vnd.openxmlformats-officedocument.theme+xml"/>
  <Override PartName="/xl/worksheets/sheet18.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3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docProps/app.xml" ContentType="application/vnd.openxmlformats-officedocument.extended-properties+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pivotCache/pivotCacheRecords4.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externalLinks/externalLink31.xml" ContentType="application/vnd.openxmlformats-officedocument.spreadsheetml.externalLink+xml"/>
  <Override PartName="/xl/comments2.xml" ContentType="application/vnd.openxmlformats-officedocument.spreadsheetml.comments+xml"/>
  <Override PartName="/xl/externalLinks/externalLink29.xml" ContentType="application/vnd.openxmlformats-officedocument.spreadsheetml.externalLink+xml"/>
  <Override PartName="/xl/comments1.xml" ContentType="application/vnd.openxmlformats-officedocument.spreadsheetml.comments+xml"/>
  <Override PartName="/xl/externalLinks/externalLink30.xml" ContentType="application/vnd.openxmlformats-officedocument.spreadsheetml.externalLink+xml"/>
  <Override PartName="/xl/pivotCache/pivotCacheDefinition1.xml" ContentType="application/vnd.openxmlformats-officedocument.spreadsheetml.pivotCacheDefinition+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28.xml" ContentType="application/vnd.openxmlformats-officedocument.spreadsheetml.externalLink+xml"/>
  <Override PartName="/xl/comments3.xml" ContentType="application/vnd.openxmlformats-officedocument.spreadsheetml.comments+xml"/>
  <Override PartName="/xl/comments10.xml" ContentType="application/vnd.openxmlformats-officedocument.spreadsheetml.comments+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comments9.xml" ContentType="application/vnd.openxmlformats-officedocument.spreadsheetml.comments+xml"/>
  <Override PartName="/xl/externalLinks/externalLink18.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comments11.xml" ContentType="application/vnd.openxmlformats-officedocument.spreadsheetml.comments+xml"/>
  <Override PartName="/xl/externalLinks/externalLink12.xml" ContentType="application/vnd.openxmlformats-officedocument.spreadsheetml.externalLink+xml"/>
  <Override PartName="/xl/externalLinks/externalLink19.xml" ContentType="application/vnd.openxmlformats-officedocument.spreadsheetml.externalLink+xml"/>
  <Override PartName="/xl/comments8.xml" ContentType="application/vnd.openxmlformats-officedocument.spreadsheetml.comments+xml"/>
  <Override PartName="/xl/externalLinks/externalLink20.xml" ContentType="application/vnd.openxmlformats-officedocument.spreadsheetml.externalLink+xml"/>
  <Override PartName="/xl/comments5.xml" ContentType="application/vnd.openxmlformats-officedocument.spreadsheetml.comments+xml"/>
  <Override PartName="/xl/externalLinks/externalLink25.xml" ContentType="application/vnd.openxmlformats-officedocument.spreadsheetml.externalLink+xml"/>
  <Override PartName="/xl/comments4.xml" ContentType="application/vnd.openxmlformats-officedocument.spreadsheetml.comments+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1.xml" ContentType="application/vnd.openxmlformats-officedocument.spreadsheetml.externalLink+xml"/>
  <Override PartName="/xl/comments7.xml" ContentType="application/vnd.openxmlformats-officedocument.spreadsheetml.comments+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comments6.xml" ContentType="application/vnd.openxmlformats-officedocument.spreadsheetml.comments+xml"/>
  <Override PartName="/xl/externalLinks/externalLink24.xml" ContentType="application/vnd.openxmlformats-officedocument.spreadsheetml.externalLink+xml"/>
  <Override PartName="/xl/externalLinks/externalLink34.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480" yWindow="105" windowWidth="20730" windowHeight="11760" tabRatio="818"/>
  </bookViews>
  <sheets>
    <sheet name="2010_IS" sheetId="2" r:id="rId1"/>
    <sheet name="Vancouver Consolidated IS" sheetId="1" r:id="rId2"/>
    <sheet name="Ratios" sheetId="6" r:id="rId3"/>
    <sheet name="Restating Adj's" sheetId="7" r:id="rId4"/>
    <sheet name="Pro-forma Adj's" sheetId="8" r:id="rId5"/>
    <sheet name="LG Regulated" sheetId="15" r:id="rId6"/>
    <sheet name="Proposed Rates" sheetId="14" r:id="rId7"/>
    <sheet name="Price Out" sheetId="19" r:id="rId8"/>
    <sheet name="Cust Counts" sheetId="23" r:id="rId9"/>
    <sheet name="Payroll Summary" sheetId="26" r:id="rId10"/>
    <sheet name="Payroll Detail" sheetId="37" r:id="rId11"/>
    <sheet name="Total Depreciation Summary" sheetId="18" r:id="rId12"/>
    <sheet name="Disposal" sheetId="22" r:id="rId13"/>
    <sheet name="Shop Exp" sheetId="25" r:id="rId14"/>
    <sheet name="Fuel" sheetId="30" r:id="rId15"/>
    <sheet name="DivCon-DVP Alloc Out" sheetId="31" r:id="rId16"/>
    <sheet name="43001" sheetId="27" r:id="rId17"/>
    <sheet name="60225" sheetId="36" r:id="rId18"/>
    <sheet name="70195" sheetId="33" r:id="rId19"/>
    <sheet name="70225" sheetId="32" r:id="rId20"/>
    <sheet name="WCI P&amp;L" sheetId="16" r:id="rId21"/>
    <sheet name="WCI BS" sheetId="17" r:id="rId22"/>
    <sheet name="Region OH Calc" sheetId="11" r:id="rId23"/>
    <sheet name="Corp OH" sheetId="5" r:id="rId24"/>
    <sheet name="9.30.17 BS" sheetId="28" r:id="rId25"/>
    <sheet name="9.30.16 BS" sheetId="29" r:id="rId26"/>
    <sheet name="References" sheetId="24"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s>
  <definedNames>
    <definedName name="_____________CYA1">[1]Hidden!$N$11</definedName>
    <definedName name="_____________CYA10">[1]Hidden!$E$11</definedName>
    <definedName name="_____________CYA11">[1]Hidden!$P$11</definedName>
    <definedName name="_____________CYA2">[1]Hidden!$M$11</definedName>
    <definedName name="_____________CYA3">[1]Hidden!$L$11</definedName>
    <definedName name="_____________CYA4">[1]Hidden!$K$11</definedName>
    <definedName name="_____________CYA5">[1]Hidden!$J$11</definedName>
    <definedName name="_____________CYA6">[1]Hidden!$I$11</definedName>
    <definedName name="_____________CYA7">[1]Hidden!$H$11</definedName>
    <definedName name="_____________CYA8">[1]Hidden!$G$11</definedName>
    <definedName name="_____________CYA9">[1]Hidden!$F$11</definedName>
    <definedName name="_____________LYA12">[1]Hidden!$O$11</definedName>
    <definedName name="____________CYA1">[1]Hidden!$N$11</definedName>
    <definedName name="____________CYA10">[1]Hidden!$E$11</definedName>
    <definedName name="____________CYA11">[1]Hidden!$P$11</definedName>
    <definedName name="____________CYA2">[1]Hidden!$M$11</definedName>
    <definedName name="____________CYA3">[1]Hidden!$L$11</definedName>
    <definedName name="____________CYA4">[1]Hidden!$K$11</definedName>
    <definedName name="____________CYA5">[1]Hidden!$J$11</definedName>
    <definedName name="____________CYA6">[1]Hidden!$I$11</definedName>
    <definedName name="____________CYA7">[1]Hidden!$H$11</definedName>
    <definedName name="____________CYA8">[1]Hidden!$G$11</definedName>
    <definedName name="____________CYA9">[1]Hidden!$F$11</definedName>
    <definedName name="____________LYA12">[1]Hidden!$O$11</definedName>
    <definedName name="___________CYA1">[1]Hidden!$N$11</definedName>
    <definedName name="___________CYA10">[1]Hidden!$E$11</definedName>
    <definedName name="___________CYA11">[1]Hidden!$P$11</definedName>
    <definedName name="___________CYA2">[1]Hidden!$M$11</definedName>
    <definedName name="___________CYA3">[1]Hidden!$L$11</definedName>
    <definedName name="___________CYA4">[1]Hidden!$K$11</definedName>
    <definedName name="___________CYA5">[1]Hidden!$J$11</definedName>
    <definedName name="___________CYA6">[1]Hidden!$I$11</definedName>
    <definedName name="___________CYA7">[1]Hidden!$H$11</definedName>
    <definedName name="___________CYA8">[1]Hidden!$G$11</definedName>
    <definedName name="___________CYA9">[1]Hidden!$F$11</definedName>
    <definedName name="___________LYA12">[1]Hidden!$O$11</definedName>
    <definedName name="__________CYA1">[1]Hidden!$N$11</definedName>
    <definedName name="__________CYA10">[1]Hidden!$E$11</definedName>
    <definedName name="__________CYA11">[1]Hidden!$P$11</definedName>
    <definedName name="__________CYA2">[1]Hidden!$M$11</definedName>
    <definedName name="__________CYA3">[1]Hidden!$L$11</definedName>
    <definedName name="__________CYA4">[1]Hidden!$K$11</definedName>
    <definedName name="__________CYA5">[1]Hidden!$J$11</definedName>
    <definedName name="__________CYA6">[1]Hidden!$I$11</definedName>
    <definedName name="__________CYA7">[1]Hidden!$H$11</definedName>
    <definedName name="__________CYA8">[1]Hidden!$G$11</definedName>
    <definedName name="__________CYA9">[1]Hidden!$F$11</definedName>
    <definedName name="__________LYA12">[1]Hidden!$O$11</definedName>
    <definedName name="_________CYA1">[1]Hidden!$N$11</definedName>
    <definedName name="_________CYA10">[1]Hidden!$E$11</definedName>
    <definedName name="_________CYA11">[1]Hidden!$P$11</definedName>
    <definedName name="_________CYA2">[1]Hidden!$M$11</definedName>
    <definedName name="_________CYA3">[1]Hidden!$L$11</definedName>
    <definedName name="_________CYA4">[1]Hidden!$K$11</definedName>
    <definedName name="_________CYA5">[1]Hidden!$J$11</definedName>
    <definedName name="_________CYA6">[1]Hidden!$I$11</definedName>
    <definedName name="_________CYA7">[1]Hidden!$H$11</definedName>
    <definedName name="_________CYA8">[1]Hidden!$G$11</definedName>
    <definedName name="_________CYA9">[1]Hidden!$F$11</definedName>
    <definedName name="_________LYA12">[1]Hidden!$O$11</definedName>
    <definedName name="________CYA1">[1]Hidden!$N$11</definedName>
    <definedName name="________CYA10">[1]Hidden!$E$11</definedName>
    <definedName name="________CYA11">[1]Hidden!$P$11</definedName>
    <definedName name="________CYA2">[1]Hidden!$M$11</definedName>
    <definedName name="________CYA3">[1]Hidden!$L$11</definedName>
    <definedName name="________CYA4">[1]Hidden!$K$11</definedName>
    <definedName name="________CYA5">[1]Hidden!$J$11</definedName>
    <definedName name="________CYA6">[1]Hidden!$I$11</definedName>
    <definedName name="________CYA7">[1]Hidden!$H$11</definedName>
    <definedName name="________CYA8">[1]Hidden!$G$11</definedName>
    <definedName name="________CYA9">[1]Hidden!$F$11</definedName>
    <definedName name="________LYA12">[1]Hidden!$O$11</definedName>
    <definedName name="_______CYA1">[1]Hidden!$N$11</definedName>
    <definedName name="_______CYA10">[1]Hidden!$E$11</definedName>
    <definedName name="_______CYA11">[1]Hidden!$P$11</definedName>
    <definedName name="_______CYA2">[1]Hidden!$M$11</definedName>
    <definedName name="_______CYA3">[1]Hidden!$L$11</definedName>
    <definedName name="_______CYA4">[1]Hidden!$K$11</definedName>
    <definedName name="_______CYA5">[1]Hidden!$J$11</definedName>
    <definedName name="_______CYA6">[1]Hidden!$I$11</definedName>
    <definedName name="_______CYA7">[1]Hidden!$H$11</definedName>
    <definedName name="_______CYA8">[1]Hidden!$G$11</definedName>
    <definedName name="_______CYA9">[1]Hidden!$F$11</definedName>
    <definedName name="_______LYA12">[1]Hidden!$O$11</definedName>
    <definedName name="______CYA1">[1]Hidden!$N$11</definedName>
    <definedName name="______CYA10">[1]Hidden!$E$11</definedName>
    <definedName name="______CYA11">[1]Hidden!$P$11</definedName>
    <definedName name="______CYA2">[1]Hidden!$M$11</definedName>
    <definedName name="______CYA3">[1]Hidden!$L$11</definedName>
    <definedName name="______CYA4">[1]Hidden!$K$11</definedName>
    <definedName name="______CYA5">[1]Hidden!$J$11</definedName>
    <definedName name="______CYA6">[1]Hidden!$I$11</definedName>
    <definedName name="______CYA7">[1]Hidden!$H$11</definedName>
    <definedName name="______CYA8">[1]Hidden!$G$11</definedName>
    <definedName name="______CYA9">[1]Hidden!$F$11</definedName>
    <definedName name="______LYA12">[1]Hidden!$O$11</definedName>
    <definedName name="_____CYA1">[1]Hidden!$N$11</definedName>
    <definedName name="_____CYA10">[1]Hidden!$E$11</definedName>
    <definedName name="_____CYA11">[1]Hidden!$P$11</definedName>
    <definedName name="_____CYA2">[1]Hidden!$M$11</definedName>
    <definedName name="_____CYA3">[1]Hidden!$L$11</definedName>
    <definedName name="_____CYA4">[1]Hidden!$K$11</definedName>
    <definedName name="_____CYA5">[1]Hidden!$J$11</definedName>
    <definedName name="_____CYA6">[1]Hidden!$I$11</definedName>
    <definedName name="_____CYA7">[1]Hidden!$H$11</definedName>
    <definedName name="_____CYA8">[1]Hidden!$G$11</definedName>
    <definedName name="_____CYA9">[1]Hidden!$F$11</definedName>
    <definedName name="_____LYA12">[1]Hidden!$O$11</definedName>
    <definedName name="____CYA1">[1]Hidden!$N$11</definedName>
    <definedName name="____CYA10">[1]Hidden!$E$11</definedName>
    <definedName name="____CYA11">[1]Hidden!$P$11</definedName>
    <definedName name="____CYA2">[1]Hidden!$M$11</definedName>
    <definedName name="____CYA3">[1]Hidden!$L$11</definedName>
    <definedName name="____CYA4">[1]Hidden!$K$11</definedName>
    <definedName name="____CYA5">[1]Hidden!$J$11</definedName>
    <definedName name="____CYA6">[1]Hidden!$I$11</definedName>
    <definedName name="____CYA7">[1]Hidden!$H$11</definedName>
    <definedName name="____CYA8">[1]Hidden!$G$11</definedName>
    <definedName name="____CYA9">[1]Hidden!$F$11</definedName>
    <definedName name="____LYA12">[1]Hidden!$O$11</definedName>
    <definedName name="___CYA1">[1]Hidden!$N$11</definedName>
    <definedName name="___CYA10">[1]Hidden!$E$11</definedName>
    <definedName name="___CYA11">[1]Hidden!$P$11</definedName>
    <definedName name="___CYA2">[1]Hidden!$M$11</definedName>
    <definedName name="___CYA3">[1]Hidden!$L$11</definedName>
    <definedName name="___CYA4">[1]Hidden!$K$11</definedName>
    <definedName name="___CYA5">[1]Hidden!$J$11</definedName>
    <definedName name="___CYA6">[1]Hidden!$I$11</definedName>
    <definedName name="___CYA7">[1]Hidden!$H$11</definedName>
    <definedName name="___CYA8">[1]Hidden!$G$11</definedName>
    <definedName name="___CYA9">[1]Hidden!$F$11</definedName>
    <definedName name="___LYA12">[1]Hidden!$O$11</definedName>
    <definedName name="__CYA1">[1]Hidden!$N$11</definedName>
    <definedName name="__CYA10">[1]Hidden!$E$11</definedName>
    <definedName name="__CYA11">[1]Hidden!$P$11</definedName>
    <definedName name="__CYA2">[1]Hidden!$M$11</definedName>
    <definedName name="__CYA3">[1]Hidden!$L$11</definedName>
    <definedName name="__CYA4">[1]Hidden!$K$11</definedName>
    <definedName name="__CYA5">[1]Hidden!$J$11</definedName>
    <definedName name="__CYA6">[1]Hidden!$I$11</definedName>
    <definedName name="__CYA7">[1]Hidden!$H$11</definedName>
    <definedName name="__CYA8">[1]Hidden!$G$11</definedName>
    <definedName name="__CYA9">[1]Hidden!$F$11</definedName>
    <definedName name="__LYA12">[1]Hidden!$O$11</definedName>
    <definedName name="_123Graph_g" hidden="1">'[2]#REF'!$F$9:$F$83</definedName>
    <definedName name="_132" hidden="1">[3]XXXXXX!$B$10:$B$10</definedName>
    <definedName name="_132Graph_h" localSheetId="8" hidden="1">#REF!</definedName>
    <definedName name="_132Graph_h" localSheetId="15" hidden="1">#REF!</definedName>
    <definedName name="_132Graph_h" localSheetId="7" hidden="1">#REF!</definedName>
    <definedName name="_132Graph_h" localSheetId="6" hidden="1">#REF!</definedName>
    <definedName name="_132Graph_h" localSheetId="26" hidden="1">#REF!</definedName>
    <definedName name="_132Graph_h" hidden="1">#REF!</definedName>
    <definedName name="_ACT1" localSheetId="8">[4]Hidden!#REF!</definedName>
    <definedName name="_ACT1" localSheetId="15">[5]Hidden!#REF!</definedName>
    <definedName name="_ACT1" localSheetId="7">[4]Hidden!#REF!</definedName>
    <definedName name="_ACT1" localSheetId="6">[6]Hidden!#REF!</definedName>
    <definedName name="_ACT1" localSheetId="2">[6]Hidden!#REF!</definedName>
    <definedName name="_ACT1" localSheetId="26">[7]Hidden!#REF!</definedName>
    <definedName name="_ACT1" localSheetId="1">[8]Hidden!#REF!</definedName>
    <definedName name="_ACT1">[8]Hidden!#REF!</definedName>
    <definedName name="_ACT2" localSheetId="8">[4]Hidden!#REF!</definedName>
    <definedName name="_ACT2" localSheetId="15">[5]Hidden!#REF!</definedName>
    <definedName name="_ACT2" localSheetId="7">[4]Hidden!#REF!</definedName>
    <definedName name="_ACT2" localSheetId="6">[6]Hidden!#REF!</definedName>
    <definedName name="_ACT2" localSheetId="2">[6]Hidden!#REF!</definedName>
    <definedName name="_ACT2" localSheetId="26">[7]Hidden!#REF!</definedName>
    <definedName name="_ACT2" localSheetId="1">[8]Hidden!#REF!</definedName>
    <definedName name="_ACT2">[8]Hidden!#REF!</definedName>
    <definedName name="_ACT3" localSheetId="8">[4]Hidden!#REF!</definedName>
    <definedName name="_ACT3" localSheetId="15">[5]Hidden!#REF!</definedName>
    <definedName name="_ACT3" localSheetId="7">[4]Hidden!#REF!</definedName>
    <definedName name="_ACT3" localSheetId="6">[6]Hidden!#REF!</definedName>
    <definedName name="_ACT3" localSheetId="2">[6]Hidden!#REF!</definedName>
    <definedName name="_ACT3" localSheetId="26">[7]Hidden!#REF!</definedName>
    <definedName name="_ACT3" localSheetId="1">[8]Hidden!#REF!</definedName>
    <definedName name="_ACT3">[8]Hidden!#REF!</definedName>
    <definedName name="_COS1" localSheetId="8">#REF!</definedName>
    <definedName name="_COS1" localSheetId="7">#REF!</definedName>
    <definedName name="_COS1" localSheetId="6">#REF!</definedName>
    <definedName name="_COS1" localSheetId="26">#REF!</definedName>
    <definedName name="_COS1">#REF!</definedName>
    <definedName name="_COS2" localSheetId="8">#REF!</definedName>
    <definedName name="_COS2" localSheetId="7">#REF!</definedName>
    <definedName name="_COS2" localSheetId="6">#REF!</definedName>
    <definedName name="_COS2">#REF!</definedName>
    <definedName name="_CYA1">[1]Hidden!$N$11</definedName>
    <definedName name="_CYA10">[1]Hidden!$E$11</definedName>
    <definedName name="_CYA11">[1]Hidden!$P$11</definedName>
    <definedName name="_CYA2">[1]Hidden!$M$11</definedName>
    <definedName name="_CYA3">[1]Hidden!$L$11</definedName>
    <definedName name="_CYA4">[1]Hidden!$K$11</definedName>
    <definedName name="_CYA5">[1]Hidden!$J$11</definedName>
    <definedName name="_CYA6">[1]Hidden!$I$11</definedName>
    <definedName name="_CYA7">[1]Hidden!$H$11</definedName>
    <definedName name="_CYA8">[1]Hidden!$G$11</definedName>
    <definedName name="_CYA9">[1]Hidden!$F$11</definedName>
    <definedName name="_Fill" localSheetId="8" hidden="1">#REF!</definedName>
    <definedName name="_Fill" localSheetId="15" hidden="1">#REF!</definedName>
    <definedName name="_Fill" localSheetId="7" hidden="1">#REF!</definedName>
    <definedName name="_Fill" localSheetId="6" hidden="1">#REF!</definedName>
    <definedName name="_Fill" localSheetId="26" hidden="1">#REF!</definedName>
    <definedName name="_Fill" hidden="1">#REF!</definedName>
    <definedName name="_xlnm._FilterDatabase" localSheetId="16" hidden="1">'43001'!$B$19:$AQ$20</definedName>
    <definedName name="_xlnm._FilterDatabase" localSheetId="17" hidden="1">'60225'!$A$19:$AS$224</definedName>
    <definedName name="_xlnm._FilterDatabase" localSheetId="18" hidden="1">'70195'!$B$19:$AQ$20</definedName>
    <definedName name="_xlnm._FilterDatabase" localSheetId="19" hidden="1">'70225'!$B$19:$AQ$20</definedName>
    <definedName name="_xlnm._FilterDatabase" localSheetId="10" hidden="1">'Payroll Detail'!$A$8:$AF$342</definedName>
    <definedName name="_Key1" localSheetId="8" hidden="1">#REF!</definedName>
    <definedName name="_Key1" localSheetId="15" hidden="1">#REF!</definedName>
    <definedName name="_Key1" localSheetId="7" hidden="1">#REF!</definedName>
    <definedName name="_Key1" localSheetId="6" hidden="1">#REF!</definedName>
    <definedName name="_Key1" localSheetId="26" hidden="1">#REF!</definedName>
    <definedName name="_Key1" hidden="1">#REF!</definedName>
    <definedName name="_Key2" hidden="1">'[2]#REF'!$D$12</definedName>
    <definedName name="_key5" hidden="1">[3]XXXXXX!$H$10</definedName>
    <definedName name="_LYA12">[1]Hidden!$O$11</definedName>
    <definedName name="_max" localSheetId="8" hidden="1">#REF!</definedName>
    <definedName name="_max" localSheetId="15" hidden="1">#REF!</definedName>
    <definedName name="_max" localSheetId="7" hidden="1">#REF!</definedName>
    <definedName name="_max" localSheetId="6" hidden="1">#REF!</definedName>
    <definedName name="_max" localSheetId="26" hidden="1">#REF!</definedName>
    <definedName name="_max" hidden="1">#REF!</definedName>
    <definedName name="_Mon" localSheetId="8" hidden="1">#REF!</definedName>
    <definedName name="_Mon" localSheetId="15" hidden="1">#REF!</definedName>
    <definedName name="_Mon" localSheetId="7" hidden="1">#REF!</definedName>
    <definedName name="_Mon" localSheetId="6" hidden="1">#REF!</definedName>
    <definedName name="_Mon" hidden="1">#REF!</definedName>
    <definedName name="_Order1" hidden="1">255</definedName>
    <definedName name="_Order2" hidden="1">255</definedName>
    <definedName name="_Order3" hidden="1">0</definedName>
    <definedName name="_Regression_Int" localSheetId="5" hidden="1">1</definedName>
    <definedName name="_Sort" localSheetId="8" hidden="1">#REF!</definedName>
    <definedName name="_Sort" localSheetId="15" hidden="1">#REF!</definedName>
    <definedName name="_Sort" localSheetId="7" hidden="1">#REF!</definedName>
    <definedName name="_Sort" localSheetId="6" hidden="1">#REF!</definedName>
    <definedName name="_Sort" localSheetId="26" hidden="1">#REF!</definedName>
    <definedName name="_Sort" hidden="1">#REF!</definedName>
    <definedName name="_Sort1" hidden="1">'[2]#REF'!$A$10:$Z$281</definedName>
    <definedName name="_sort3" hidden="1">[3]XXXXXX!$G$10:$J$11</definedName>
    <definedName name="Accounts" localSheetId="16">'43001'!$M$13</definedName>
    <definedName name="Accounts" localSheetId="17">'60225'!$M$13</definedName>
    <definedName name="Accounts" localSheetId="18">'70195'!$M$13</definedName>
    <definedName name="Accounts" localSheetId="19">'70225'!$M$13</definedName>
    <definedName name="Accounts" localSheetId="8">#REF!</definedName>
    <definedName name="Accounts" localSheetId="10">#REF!</definedName>
    <definedName name="Accounts" localSheetId="9">#REF!</definedName>
    <definedName name="Accounts" localSheetId="7">#REF!</definedName>
    <definedName name="Accounts" localSheetId="26">#REF!</definedName>
    <definedName name="ACCT" localSheetId="8">[4]Hidden!#REF!</definedName>
    <definedName name="ACCT" localSheetId="15">[5]Hidden!#REF!</definedName>
    <definedName name="ACCT" localSheetId="7">[4]Hidden!#REF!</definedName>
    <definedName name="ACCT" localSheetId="6">[6]Hidden!#REF!</definedName>
    <definedName name="ACCT" localSheetId="26">[7]Hidden!#REF!</definedName>
    <definedName name="ACCT" localSheetId="3">[8]Hidden!#REF!</definedName>
    <definedName name="ACCT" localSheetId="1">[8]Hidden!#REF!</definedName>
    <definedName name="ACCT">[1]Hidden!$D$11</definedName>
    <definedName name="ACCT.ConsolSum">[1]Hidden!$Q$11</definedName>
    <definedName name="ACT_CUR" localSheetId="8">[4]Hidden!#REF!</definedName>
    <definedName name="ACT_CUR" localSheetId="15">[5]Hidden!#REF!</definedName>
    <definedName name="ACT_CUR" localSheetId="7">[4]Hidden!#REF!</definedName>
    <definedName name="ACT_CUR" localSheetId="6">[6]Hidden!#REF!</definedName>
    <definedName name="ACT_CUR" localSheetId="2">[6]Hidden!#REF!</definedName>
    <definedName name="ACT_CUR" localSheetId="26">[7]Hidden!#REF!</definedName>
    <definedName name="ACT_CUR" localSheetId="1">[8]Hidden!#REF!</definedName>
    <definedName name="ACT_CUR">[8]Hidden!#REF!</definedName>
    <definedName name="ACT_YTD" localSheetId="8">[4]Hidden!#REF!</definedName>
    <definedName name="ACT_YTD" localSheetId="15">[5]Hidden!#REF!</definedName>
    <definedName name="ACT_YTD" localSheetId="7">[4]Hidden!#REF!</definedName>
    <definedName name="ACT_YTD" localSheetId="6">[6]Hidden!#REF!</definedName>
    <definedName name="ACT_YTD" localSheetId="2">[6]Hidden!#REF!</definedName>
    <definedName name="ACT_YTD" localSheetId="26">[7]Hidden!#REF!</definedName>
    <definedName name="ACT_YTD">[8]Hidden!#REF!</definedName>
    <definedName name="AmountCount" localSheetId="8">#REF!</definedName>
    <definedName name="AmountCount" localSheetId="15">#REF!</definedName>
    <definedName name="AmountCount" localSheetId="6">#REF!</definedName>
    <definedName name="AmountCount" localSheetId="3">#REF!</definedName>
    <definedName name="AmountCount">#REF!</definedName>
    <definedName name="AmountCount1" localSheetId="15">#REF!</definedName>
    <definedName name="AmountCount1">#REF!</definedName>
    <definedName name="AmountFrom" localSheetId="16">'43001'!$P$13</definedName>
    <definedName name="AmountFrom" localSheetId="17">'60225'!$P$13</definedName>
    <definedName name="AmountFrom" localSheetId="18">'70195'!$P$13</definedName>
    <definedName name="AmountFrom" localSheetId="19">'70225'!$P$13</definedName>
    <definedName name="AmountFrom" localSheetId="8">#REF!</definedName>
    <definedName name="AmountFrom" localSheetId="10">#REF!</definedName>
    <definedName name="AmountFrom" localSheetId="9">#REF!</definedName>
    <definedName name="AmountFrom" localSheetId="7">#REF!</definedName>
    <definedName name="AmountTo" localSheetId="16">'43001'!$P$14</definedName>
    <definedName name="AmountTo" localSheetId="17">'60225'!$P$14</definedName>
    <definedName name="AmountTo" localSheetId="18">'70195'!$P$14</definedName>
    <definedName name="AmountTo" localSheetId="19">'70225'!$P$14</definedName>
    <definedName name="AmountTo" localSheetId="8">#REF!</definedName>
    <definedName name="AmountTo" localSheetId="10">#REF!</definedName>
    <definedName name="AmountTo" localSheetId="9">#REF!</definedName>
    <definedName name="AmountTo" localSheetId="7">#REF!</definedName>
    <definedName name="AmountTotal" localSheetId="8">#REF!</definedName>
    <definedName name="AmountTotal" localSheetId="15">#REF!</definedName>
    <definedName name="AmountTotal" localSheetId="6">#REF!</definedName>
    <definedName name="AmountTotal" localSheetId="3">#REF!</definedName>
    <definedName name="AmountTotal">#REF!</definedName>
    <definedName name="AmountTotal1" localSheetId="15">#REF!</definedName>
    <definedName name="AmountTotal1">#REF!</definedName>
    <definedName name="BookRev" localSheetId="15">'[9]Pacific Regulated - Price Out'!$F$50</definedName>
    <definedName name="BookRev" localSheetId="6">'[10]Pacific Regulated - Price Out'!$F$50</definedName>
    <definedName name="BookRev" localSheetId="2">'[10]Pacific Regulated - Price Out'!$F$50</definedName>
    <definedName name="BookRev" localSheetId="26">'[11]Pacific Regulated - Price Out'!$F$50</definedName>
    <definedName name="BookRev">'[12]Pacific Regulated - Price Out'!$F$50</definedName>
    <definedName name="BookRev_com" localSheetId="15">'[9]Pacific Regulated - Price Out'!$F$214</definedName>
    <definedName name="BookRev_com" localSheetId="6">'[10]Pacific Regulated - Price Out'!$F$214</definedName>
    <definedName name="BookRev_com" localSheetId="2">'[10]Pacific Regulated - Price Out'!$F$214</definedName>
    <definedName name="BookRev_com" localSheetId="26">'[11]Pacific Regulated - Price Out'!$F$214</definedName>
    <definedName name="BookRev_com">'[12]Pacific Regulated - Price Out'!$F$214</definedName>
    <definedName name="BookRev_mfr" localSheetId="15">'[9]Pacific Regulated - Price Out'!$F$222</definedName>
    <definedName name="BookRev_mfr" localSheetId="6">'[10]Pacific Regulated - Price Out'!$F$222</definedName>
    <definedName name="BookRev_mfr" localSheetId="2">'[10]Pacific Regulated - Price Out'!$F$222</definedName>
    <definedName name="BookRev_mfr" localSheetId="26">'[11]Pacific Regulated - Price Out'!$F$222</definedName>
    <definedName name="BookRev_mfr">'[12]Pacific Regulated - Price Out'!$F$222</definedName>
    <definedName name="BookRev_ro" localSheetId="15">'[9]Pacific Regulated - Price Out'!$F$282</definedName>
    <definedName name="BookRev_ro" localSheetId="6">'[10]Pacific Regulated - Price Out'!$F$282</definedName>
    <definedName name="BookRev_ro" localSheetId="2">'[10]Pacific Regulated - Price Out'!$F$282</definedName>
    <definedName name="BookRev_ro" localSheetId="26">'[11]Pacific Regulated - Price Out'!$F$282</definedName>
    <definedName name="BookRev_ro">'[12]Pacific Regulated - Price Out'!$F$282</definedName>
    <definedName name="BookRev_rr" localSheetId="15">'[9]Pacific Regulated - Price Out'!$F$59</definedName>
    <definedName name="BookRev_rr" localSheetId="6">'[10]Pacific Regulated - Price Out'!$F$59</definedName>
    <definedName name="BookRev_rr" localSheetId="2">'[10]Pacific Regulated - Price Out'!$F$59</definedName>
    <definedName name="BookRev_rr" localSheetId="26">'[11]Pacific Regulated - Price Out'!$F$59</definedName>
    <definedName name="BookRev_rr">'[12]Pacific Regulated - Price Out'!$F$59</definedName>
    <definedName name="BookRev_yw" localSheetId="15">'[9]Pacific Regulated - Price Out'!$F$70</definedName>
    <definedName name="BookRev_yw" localSheetId="6">'[10]Pacific Regulated - Price Out'!$F$70</definedName>
    <definedName name="BookRev_yw" localSheetId="2">'[10]Pacific Regulated - Price Out'!$F$70</definedName>
    <definedName name="BookRev_yw" localSheetId="26">'[11]Pacific Regulated - Price Out'!$F$70</definedName>
    <definedName name="BookRev_yw">'[12]Pacific Regulated - Price Out'!$F$70</definedName>
    <definedName name="BREMAIR_COST_of_SERVICE_STUDY" localSheetId="8">#REF!</definedName>
    <definedName name="BREMAIR_COST_of_SERVICE_STUDY" localSheetId="15">#REF!</definedName>
    <definedName name="BREMAIR_COST_of_SERVICE_STUDY" localSheetId="6">#REF!</definedName>
    <definedName name="BREMAIR_COST_of_SERVICE_STUDY" localSheetId="3">#REF!</definedName>
    <definedName name="BREMAIR_COST_of_SERVICE_STUDY" localSheetId="11">#REF!</definedName>
    <definedName name="BREMAIR_COST_of_SERVICE_STUDY" localSheetId="1">#REF!</definedName>
    <definedName name="BREMAIR_COST_of_SERVICE_STUDY">#REF!</definedName>
    <definedName name="BUD_CUR" localSheetId="8">[4]Hidden!#REF!</definedName>
    <definedName name="BUD_CUR" localSheetId="15">[5]Hidden!#REF!</definedName>
    <definedName name="BUD_CUR" localSheetId="7">[4]Hidden!#REF!</definedName>
    <definedName name="BUD_CUR" localSheetId="6">[6]Hidden!#REF!</definedName>
    <definedName name="BUD_CUR" localSheetId="2">[6]Hidden!#REF!</definedName>
    <definedName name="BUD_CUR" localSheetId="26">[7]Hidden!#REF!</definedName>
    <definedName name="BUD_CUR" localSheetId="1">[8]Hidden!#REF!</definedName>
    <definedName name="BUD_CUR">[8]Hidden!#REF!</definedName>
    <definedName name="BUD_YTD" localSheetId="8">[4]Hidden!#REF!</definedName>
    <definedName name="BUD_YTD" localSheetId="15">[5]Hidden!#REF!</definedName>
    <definedName name="BUD_YTD" localSheetId="7">[4]Hidden!#REF!</definedName>
    <definedName name="BUD_YTD" localSheetId="6">[6]Hidden!#REF!</definedName>
    <definedName name="BUD_YTD" localSheetId="2">[6]Hidden!#REF!</definedName>
    <definedName name="BUD_YTD" localSheetId="26">[7]Hidden!#REF!</definedName>
    <definedName name="BUD_YTD" localSheetId="1">[8]Hidden!#REF!</definedName>
    <definedName name="BUD_YTD">[8]Hidden!#REF!</definedName>
    <definedName name="CalRecyTons" localSheetId="15">'[13]Recycl Tons, Commodity Value'!$L$23</definedName>
    <definedName name="CalRecyTons" localSheetId="6">'[14]Recycl Tons, Commodity Value'!$L$23</definedName>
    <definedName name="CalRecyTons" localSheetId="2">'[14]Recycl Tons, Commodity Value'!$L$23</definedName>
    <definedName name="CalRecyTons" localSheetId="26">'[15]Recycl Tons, Commodity Value'!$L$23</definedName>
    <definedName name="CalRecyTons">'[16]Recycl Tons, Commodity Value'!$L$23</definedName>
    <definedName name="CheckTotals" localSheetId="8">#REF!</definedName>
    <definedName name="CheckTotals" localSheetId="15">#REF!</definedName>
    <definedName name="CheckTotals" localSheetId="6">#REF!</definedName>
    <definedName name="CheckTotals" localSheetId="3">#REF!</definedName>
    <definedName name="CheckTotals" localSheetId="11">#REF!</definedName>
    <definedName name="CheckTotals" localSheetId="1">#REF!</definedName>
    <definedName name="CheckTotals">#REF!</definedName>
    <definedName name="colgroup">[1]Orientation!$G$6</definedName>
    <definedName name="colsegment">[1]Orientation!$F$6</definedName>
    <definedName name="CommlStaffPriceOut" localSheetId="8">'[17]Price Out-Reg EASTSIDE-Resi'!#REF!</definedName>
    <definedName name="CommlStaffPriceOut" localSheetId="7">'[17]Price Out-Reg EASTSIDE-Resi'!#REF!</definedName>
    <definedName name="CommlStaffPriceOut" localSheetId="6">'[17]Price Out-Reg EASTSIDE-Resi'!#REF!</definedName>
    <definedName name="CommlStaffPriceOut" localSheetId="26">'[17]Price Out-Reg EASTSIDE-Resi'!#REF!</definedName>
    <definedName name="CommlStaffPriceOut">'[17]Price Out-Reg EASTSIDE-Resi'!#REF!</definedName>
    <definedName name="CRCTable" localSheetId="8">#REF!</definedName>
    <definedName name="CRCTable" localSheetId="15">#REF!</definedName>
    <definedName name="CRCTable" localSheetId="10">#REF!</definedName>
    <definedName name="CRCTable" localSheetId="9">#REF!</definedName>
    <definedName name="CRCTable" localSheetId="6">#REF!</definedName>
    <definedName name="CRCTable" localSheetId="3">#REF!</definedName>
    <definedName name="CRCTable" localSheetId="11">#REF!</definedName>
    <definedName name="CRCTable" localSheetId="1">#REF!</definedName>
    <definedName name="CRCTableOLD" localSheetId="8">#REF!</definedName>
    <definedName name="CRCTableOLD" localSheetId="15">#REF!</definedName>
    <definedName name="CRCTableOLD" localSheetId="10">#REF!</definedName>
    <definedName name="CRCTableOLD" localSheetId="9">#REF!</definedName>
    <definedName name="CRCTableOLD" localSheetId="6">#REF!</definedName>
    <definedName name="CRCTableOLD" localSheetId="3">#REF!</definedName>
    <definedName name="CRCTableOLD" localSheetId="11">#REF!</definedName>
    <definedName name="CRCTableOLD" localSheetId="1">#REF!</definedName>
    <definedName name="CriteriaType">[18]ControlPanel!$Z$2:$Z$5</definedName>
    <definedName name="CurrentMonth" localSheetId="16">'43001'!$J$8</definedName>
    <definedName name="CurrentMonth" localSheetId="17">'60225'!$J$8</definedName>
    <definedName name="CurrentMonth" localSheetId="18">'70195'!$J$8</definedName>
    <definedName name="CurrentMonth" localSheetId="19">'70225'!$J$8</definedName>
    <definedName name="CurrentMonth" localSheetId="8">#REF!</definedName>
    <definedName name="CurrentMonth" localSheetId="12">'[19]JE Query'!$J$8</definedName>
    <definedName name="CurrentMonth" localSheetId="15">'[20]38000 Other Rev'!$H$8</definedName>
    <definedName name="CurrentMonth" localSheetId="10">#REF!</definedName>
    <definedName name="CurrentMonth" localSheetId="9">#REF!</definedName>
    <definedName name="CurrentMonth" localSheetId="7">#REF!</definedName>
    <definedName name="Cutomers" localSheetId="8">#REF!</definedName>
    <definedName name="Cutomers" localSheetId="15">#REF!</definedName>
    <definedName name="Cutomers" localSheetId="6">#REF!</definedName>
    <definedName name="Cutomers" localSheetId="3">#REF!</definedName>
    <definedName name="Cutomers">#REF!</definedName>
    <definedName name="_xlnm.Database" localSheetId="8">#REF!</definedName>
    <definedName name="_xlnm.Database" localSheetId="12">#REF!</definedName>
    <definedName name="_xlnm.Database" localSheetId="15">#REF!</definedName>
    <definedName name="_xlnm.Database" localSheetId="10">#REF!</definedName>
    <definedName name="_xlnm.Database" localSheetId="9">#REF!</definedName>
    <definedName name="_xlnm.Database" localSheetId="6">#REF!</definedName>
    <definedName name="_xlnm.Database" localSheetId="3">#REF!</definedName>
    <definedName name="_xlnm.Database" localSheetId="11">#REF!</definedName>
    <definedName name="_xlnm.Database" localSheetId="1">#REF!</definedName>
    <definedName name="_xlnm.Database">#REF!</definedName>
    <definedName name="Database1" localSheetId="8">#REF!</definedName>
    <definedName name="Database1" localSheetId="15">#REF!</definedName>
    <definedName name="Database1" localSheetId="6">#REF!</definedName>
    <definedName name="Database1" localSheetId="3">#REF!</definedName>
    <definedName name="Database1" localSheetId="11">#REF!</definedName>
    <definedName name="Database1" localSheetId="1">#REF!</definedName>
    <definedName name="Database1">#REF!</definedName>
    <definedName name="DateFrom" localSheetId="16">'43001'!$I$12</definedName>
    <definedName name="DateFrom" localSheetId="17">'60225'!$I$12</definedName>
    <definedName name="DateFrom" localSheetId="18">'70195'!$I$12</definedName>
    <definedName name="DateFrom" localSheetId="19">'70225'!$I$12</definedName>
    <definedName name="DateFrom" localSheetId="8">#REF!</definedName>
    <definedName name="DateFrom" localSheetId="12">'[19]JE Query'!$I$12</definedName>
    <definedName name="DateFrom" localSheetId="15">'[20]38000 Other Rev'!$G$12</definedName>
    <definedName name="DateFrom" localSheetId="10">#REF!</definedName>
    <definedName name="DateFrom" localSheetId="9">#REF!</definedName>
    <definedName name="DateFrom" localSheetId="7">#REF!</definedName>
    <definedName name="DateTo" localSheetId="16">'43001'!$I$13</definedName>
    <definedName name="DateTo" localSheetId="17">'60225'!$I$13</definedName>
    <definedName name="DateTo" localSheetId="18">'70195'!$I$13</definedName>
    <definedName name="DateTo" localSheetId="19">'70225'!$I$13</definedName>
    <definedName name="DateTo" localSheetId="8">#REF!</definedName>
    <definedName name="DateTo" localSheetId="12">'[19]JE Query'!$I$13</definedName>
    <definedName name="DateTo" localSheetId="15">'[20]38000 Other Rev'!$G$13</definedName>
    <definedName name="DateTo" localSheetId="10">#REF!</definedName>
    <definedName name="DateTo" localSheetId="9">#REF!</definedName>
    <definedName name="DateTo" localSheetId="7">#REF!</definedName>
    <definedName name="DBxStaffPriceOut" localSheetId="8">'[17]Price Out-Reg EASTSIDE-Resi'!#REF!</definedName>
    <definedName name="DBxStaffPriceOut" localSheetId="7">'[17]Price Out-Reg EASTSIDE-Resi'!#REF!</definedName>
    <definedName name="DBxStaffPriceOut" localSheetId="6">'[17]Price Out-Reg EASTSIDE-Resi'!#REF!</definedName>
    <definedName name="DBxStaffPriceOut" localSheetId="26">'[17]Price Out-Reg EASTSIDE-Resi'!#REF!</definedName>
    <definedName name="DBxStaffPriceOut">'[17]Price Out-Reg EASTSIDE-Resi'!#REF!</definedName>
    <definedName name="DEPT" localSheetId="8">[4]Hidden!#REF!</definedName>
    <definedName name="DEPT" localSheetId="15">[5]Hidden!#REF!</definedName>
    <definedName name="DEPT" localSheetId="7">[4]Hidden!#REF!</definedName>
    <definedName name="DEPT" localSheetId="6">[6]Hidden!#REF!</definedName>
    <definedName name="DEPT" localSheetId="2">[6]Hidden!#REF!</definedName>
    <definedName name="DEPT" localSheetId="26">[7]Hidden!#REF!</definedName>
    <definedName name="DEPT" localSheetId="1">[8]Hidden!#REF!</definedName>
    <definedName name="DEPT">[8]Hidden!#REF!</definedName>
    <definedName name="Dist" localSheetId="15">[21]Data!$E$3</definedName>
    <definedName name="Dist" localSheetId="6">[22]Data!$E$3</definedName>
    <definedName name="Dist" localSheetId="2">[22]Data!$E$3</definedName>
    <definedName name="Dist">[23]Data!$E$3</definedName>
    <definedName name="District" localSheetId="0">'2010_IS'!$K$1</definedName>
    <definedName name="District" localSheetId="25">'9.30.16 BS'!$N$7</definedName>
    <definedName name="District" localSheetId="24">'9.30.17 BS'!$N$7</definedName>
    <definedName name="District" localSheetId="8">'[24]Yakima BS'!#REF!</definedName>
    <definedName name="District" localSheetId="15">'[25]Vashon BS'!#REF!</definedName>
    <definedName name="District" localSheetId="7">'[24]Yakima BS'!#REF!</definedName>
    <definedName name="District" localSheetId="4">'[26]Vashon BS'!#REF!</definedName>
    <definedName name="District" localSheetId="6">'[27]Vashon BS'!#REF!</definedName>
    <definedName name="District" localSheetId="2">'[27]Vashon BS'!#REF!</definedName>
    <definedName name="District" localSheetId="26">'[28]Vashon BS'!#REF!</definedName>
    <definedName name="District" localSheetId="22">'Region OH Calc'!$N$6</definedName>
    <definedName name="District" localSheetId="3">'[26]Vashon BS'!#REF!</definedName>
    <definedName name="District">'[24]Yakima BS'!#REF!</definedName>
    <definedName name="DistrictName" localSheetId="0">'2010_IS'!$K$2</definedName>
    <definedName name="DistrictName" localSheetId="25">'9.30.16 BS'!$N$8</definedName>
    <definedName name="DistrictName" localSheetId="24">'9.30.17 BS'!$N$8</definedName>
    <definedName name="DistrictName" localSheetId="22">'Region OH Calc'!$N$7</definedName>
    <definedName name="DistrictNum" localSheetId="8">#REF!</definedName>
    <definedName name="DistrictNum" localSheetId="15">#REF!</definedName>
    <definedName name="DistrictNum" localSheetId="6">#REF!</definedName>
    <definedName name="DistrictNum" localSheetId="3">#REF!</definedName>
    <definedName name="DistrictNum" localSheetId="11">#REF!</definedName>
    <definedName name="DistrictNum" localSheetId="1">#REF!</definedName>
    <definedName name="DistrictNum">#REF!</definedName>
    <definedName name="Districts" localSheetId="16">'43001'!$M$12</definedName>
    <definedName name="Districts" localSheetId="17">'60225'!$M$12</definedName>
    <definedName name="Districts" localSheetId="18">'70195'!$M$12</definedName>
    <definedName name="Districts" localSheetId="19">'70225'!$M$12</definedName>
    <definedName name="Districts" localSheetId="8">#REF!</definedName>
    <definedName name="Districts" localSheetId="10">#REF!</definedName>
    <definedName name="Districts" localSheetId="9">#REF!</definedName>
    <definedName name="Districts" localSheetId="7">#REF!</definedName>
    <definedName name="dOG" localSheetId="8">#REF!</definedName>
    <definedName name="dOG" localSheetId="15">#REF!</definedName>
    <definedName name="dOG" localSheetId="7">#REF!</definedName>
    <definedName name="dOG" localSheetId="6">#REF!</definedName>
    <definedName name="dOG" localSheetId="3">#REF!</definedName>
    <definedName name="dOG">#REF!</definedName>
    <definedName name="drlFilter">[1]Settings!$D$27</definedName>
    <definedName name="End" localSheetId="8">#REF!</definedName>
    <definedName name="End" localSheetId="15">#REF!</definedName>
    <definedName name="End" localSheetId="7">#REF!</definedName>
    <definedName name="End" localSheetId="4">#REF!</definedName>
    <definedName name="End" localSheetId="6">#REF!</definedName>
    <definedName name="End" localSheetId="2">#REF!</definedName>
    <definedName name="End" localSheetId="26">#REF!</definedName>
    <definedName name="End" localSheetId="3">#REF!</definedName>
    <definedName name="End" localSheetId="11">#REF!</definedName>
    <definedName name="End" localSheetId="1">'[29]IS-2120'!#REF!</definedName>
    <definedName name="End">#REF!</definedName>
    <definedName name="EntrieShownLimit" localSheetId="16">'43001'!$D$6</definedName>
    <definedName name="EntrieShownLimit" localSheetId="17">'60225'!$D$6</definedName>
    <definedName name="EntrieShownLimit" localSheetId="18">'70195'!$D$6</definedName>
    <definedName name="EntrieShownLimit" localSheetId="19">'70225'!$D$6</definedName>
    <definedName name="EntrieShownLimit" localSheetId="8">#REF!</definedName>
    <definedName name="EntrieShownLimit" localSheetId="12">'[19]JE Query'!$D$6</definedName>
    <definedName name="EntrieShownLimit" localSheetId="15">'[20]38000 Other Rev'!$D$6</definedName>
    <definedName name="EntrieShownLimit" localSheetId="10">#REF!</definedName>
    <definedName name="EntrieShownLimit" localSheetId="9">#REF!</definedName>
    <definedName name="EntrieShownLimit" localSheetId="7">#REF!</definedName>
    <definedName name="ExcludeIC" localSheetId="0">'2010_IS'!$O$1</definedName>
    <definedName name="ExcludeIC" localSheetId="25">'9.30.16 BS'!$V$7</definedName>
    <definedName name="ExcludeIC" localSheetId="24">'9.30.17 BS'!$V$7</definedName>
    <definedName name="ExcludeIC" localSheetId="8">'[24]Yakima BS'!#REF!</definedName>
    <definedName name="ExcludeIC" localSheetId="15">'[20]2025 BS'!#REF!</definedName>
    <definedName name="ExcludeIC" localSheetId="7">'[24]Yakima BS'!#REF!</definedName>
    <definedName name="ExcludeIC" localSheetId="4">'[30]2009 BS'!#REF!</definedName>
    <definedName name="ExcludeIC" localSheetId="6">'[31]2009 BS'!#REF!</definedName>
    <definedName name="ExcludeIC" localSheetId="2">'[31]2009 BS'!#REF!</definedName>
    <definedName name="ExcludeIC" localSheetId="26">'[28]Vashon BS'!#REF!</definedName>
    <definedName name="ExcludeIC" localSheetId="22">'Region OH Calc'!$R$6</definedName>
    <definedName name="ExcludeIC" localSheetId="3">'[32]2025 BS'!#REF!</definedName>
    <definedName name="ExcludeIC">'[24]Yakima BS'!#REF!</definedName>
    <definedName name="EXT" localSheetId="8">#REF!</definedName>
    <definedName name="EXT" localSheetId="7">#REF!</definedName>
    <definedName name="EXT" localSheetId="6">#REF!</definedName>
    <definedName name="EXT" localSheetId="26">#REF!</definedName>
    <definedName name="EXT">#REF!</definedName>
    <definedName name="FBTable" localSheetId="8">#REF!</definedName>
    <definedName name="FBTable" localSheetId="15">#REF!</definedName>
    <definedName name="FBTable" localSheetId="10">#REF!</definedName>
    <definedName name="FBTable" localSheetId="9">#REF!</definedName>
    <definedName name="FBTable" localSheetId="6">#REF!</definedName>
    <definedName name="FBTable" localSheetId="3">#REF!</definedName>
    <definedName name="FBTable" localSheetId="11">#REF!</definedName>
    <definedName name="FBTable" localSheetId="1">#REF!</definedName>
    <definedName name="FBTableOld" localSheetId="8">#REF!</definedName>
    <definedName name="FBTableOld" localSheetId="15">#REF!</definedName>
    <definedName name="FBTableOld" localSheetId="10">#REF!</definedName>
    <definedName name="FBTableOld" localSheetId="9">#REF!</definedName>
    <definedName name="FBTableOld" localSheetId="6">#REF!</definedName>
    <definedName name="FBTableOld" localSheetId="3">#REF!</definedName>
    <definedName name="FBTableOld" localSheetId="11">#REF!</definedName>
    <definedName name="FBTableOld" localSheetId="1">#REF!</definedName>
    <definedName name="filter">[1]Settings!$B$14:$H$25</definedName>
    <definedName name="FromMonth" localSheetId="16">'43001'!$C$8</definedName>
    <definedName name="FromMonth" localSheetId="17">'60225'!$C$8</definedName>
    <definedName name="FromMonth" localSheetId="18">'70195'!$C$8</definedName>
    <definedName name="FromMonth" localSheetId="19">'70225'!$C$8</definedName>
    <definedName name="FromMonth" localSheetId="8">#REF!</definedName>
    <definedName name="FromMonth" localSheetId="10">#REF!</definedName>
    <definedName name="FromMonth" localSheetId="9">#REF!</definedName>
    <definedName name="FromMonth" localSheetId="7">#REF!</definedName>
    <definedName name="FromMonth" localSheetId="26">#REF!</definedName>
    <definedName name="FundsApprPend" localSheetId="8">[23]Data!#REF!</definedName>
    <definedName name="FundsApprPend" localSheetId="15">[21]Data!#REF!</definedName>
    <definedName name="FundsApprPend" localSheetId="7">[23]Data!#REF!</definedName>
    <definedName name="FundsApprPend" localSheetId="4">[23]Data!#REF!</definedName>
    <definedName name="FundsApprPend" localSheetId="6">[22]Data!#REF!</definedName>
    <definedName name="FundsApprPend" localSheetId="2">[22]Data!#REF!</definedName>
    <definedName name="FundsApprPend" localSheetId="26">[23]Data!#REF!</definedName>
    <definedName name="FundsApprPend" localSheetId="3">[23]Data!#REF!</definedName>
    <definedName name="FundsApprPend">[23]Data!#REF!</definedName>
    <definedName name="FundsBudUnbud" localSheetId="8">[23]Data!#REF!</definedName>
    <definedName name="FundsBudUnbud" localSheetId="15">[21]Data!#REF!</definedName>
    <definedName name="FundsBudUnbud" localSheetId="7">[23]Data!#REF!</definedName>
    <definedName name="FundsBudUnbud" localSheetId="6">[22]Data!#REF!</definedName>
    <definedName name="FundsBudUnbud" localSheetId="2">[22]Data!#REF!</definedName>
    <definedName name="FundsBudUnbud">[23]Data!#REF!</definedName>
    <definedName name="GLMappingStart" localSheetId="8">#REF!</definedName>
    <definedName name="GLMappingStart" localSheetId="15">#REF!</definedName>
    <definedName name="GLMappingStart" localSheetId="6">#REF!</definedName>
    <definedName name="GLMappingStart" localSheetId="3">#REF!</definedName>
    <definedName name="GLMappingStart">#REF!</definedName>
    <definedName name="GLMappingStart1" localSheetId="15">#REF!</definedName>
    <definedName name="GLMappingStart1">#REF!</definedName>
    <definedName name="Import_Range" localSheetId="8">[23]Data!#REF!</definedName>
    <definedName name="Import_Range" localSheetId="15">[21]Data!#REF!</definedName>
    <definedName name="Import_Range" localSheetId="7">[23]Data!#REF!</definedName>
    <definedName name="Import_Range" localSheetId="4">[23]Data!#REF!</definedName>
    <definedName name="Import_Range" localSheetId="6">[22]Data!#REF!</definedName>
    <definedName name="Import_Range" localSheetId="2">[22]Data!#REF!</definedName>
    <definedName name="Import_Range" localSheetId="26">[23]Data!#REF!</definedName>
    <definedName name="Import_Range" localSheetId="3">[23]Data!#REF!</definedName>
    <definedName name="Import_Range">[23]Data!#REF!</definedName>
    <definedName name="IncomeStmnt" localSheetId="8">#REF!</definedName>
    <definedName name="IncomeStmnt" localSheetId="15">#REF!</definedName>
    <definedName name="IncomeStmnt" localSheetId="6">#REF!</definedName>
    <definedName name="IncomeStmnt" localSheetId="3">#REF!</definedName>
    <definedName name="IncomeStmnt" localSheetId="11">#REF!</definedName>
    <definedName name="IncomeStmnt" localSheetId="1">#REF!</definedName>
    <definedName name="IncomeStmnt">#REF!</definedName>
    <definedName name="INPUT" localSheetId="8">#REF!</definedName>
    <definedName name="INPUT" localSheetId="15">#REF!</definedName>
    <definedName name="INPUT" localSheetId="5">'LG Regulated'!$B$2</definedName>
    <definedName name="INPUT" localSheetId="6">#REF!</definedName>
    <definedName name="INPUT" localSheetId="3">#REF!</definedName>
    <definedName name="INPUT" localSheetId="11">#REF!</definedName>
    <definedName name="INPUT" localSheetId="1">#REF!</definedName>
    <definedName name="INPUT">#REF!</definedName>
    <definedName name="Insurance" localSheetId="8">#REF!</definedName>
    <definedName name="Insurance" localSheetId="15">#REF!</definedName>
    <definedName name="Insurance" localSheetId="6">#REF!</definedName>
    <definedName name="Insurance" localSheetId="3">#REF!</definedName>
    <definedName name="Insurance" localSheetId="1">#REF!</definedName>
    <definedName name="Insurance">#REF!</definedName>
    <definedName name="Interject_LastPulledValues_BalanceRange">#REF!</definedName>
    <definedName name="Interject_LastPulledValues_DescriptionRange">#REF!</definedName>
    <definedName name="Interject_LastPulledValues_LastChangeGUID">#REF!</definedName>
    <definedName name="Interject_LastPulledValues_PreviousLastChangeGUID">#REF!</definedName>
    <definedName name="Invoice_Start" localSheetId="8">[23]Invoice_Drill!#REF!</definedName>
    <definedName name="Invoice_Start" localSheetId="15">[21]Invoice_Drill!#REF!</definedName>
    <definedName name="Invoice_Start" localSheetId="7">[23]Invoice_Drill!#REF!</definedName>
    <definedName name="Invoice_Start" localSheetId="4">[23]Invoice_Drill!#REF!</definedName>
    <definedName name="Invoice_Start" localSheetId="6">[22]Invoice_Drill!#REF!</definedName>
    <definedName name="Invoice_Start" localSheetId="2">[22]Invoice_Drill!#REF!</definedName>
    <definedName name="Invoice_Start" localSheetId="26">[23]Invoice_Drill!#REF!</definedName>
    <definedName name="Invoice_Start" localSheetId="3">[23]Invoice_Drill!#REF!</definedName>
    <definedName name="Invoice_Start">[23]Invoice_Drill!#REF!</definedName>
    <definedName name="JEDetail" localSheetId="8">#REF!</definedName>
    <definedName name="JEDetail" localSheetId="15">#REF!</definedName>
    <definedName name="JEDetail" localSheetId="6">#REF!</definedName>
    <definedName name="JEDetail" localSheetId="3">#REF!</definedName>
    <definedName name="JEDetail">#REF!</definedName>
    <definedName name="JEDetail1" localSheetId="15">#REF!</definedName>
    <definedName name="JEDetail1">#REF!</definedName>
    <definedName name="JEType" localSheetId="8">#REF!</definedName>
    <definedName name="JEType" localSheetId="15">#REF!</definedName>
    <definedName name="JEType" localSheetId="6">#REF!</definedName>
    <definedName name="JEType" localSheetId="3">#REF!</definedName>
    <definedName name="JEType">#REF!</definedName>
    <definedName name="JEType1" localSheetId="15">#REF!</definedName>
    <definedName name="JEType1">#REF!</definedName>
    <definedName name="lblBillAreaStatus" localSheetId="8">#REF!</definedName>
    <definedName name="lblBillAreaStatus" localSheetId="15">#REF!</definedName>
    <definedName name="lblBillAreaStatus" localSheetId="6">#REF!</definedName>
    <definedName name="lblBillAreaStatus" localSheetId="3">#REF!</definedName>
    <definedName name="lblBillAreaStatus">#REF!</definedName>
    <definedName name="lblBillCycleStatus" localSheetId="8">#REF!</definedName>
    <definedName name="lblBillCycleStatus" localSheetId="15">#REF!</definedName>
    <definedName name="lblBillCycleStatus" localSheetId="6">#REF!</definedName>
    <definedName name="lblBillCycleStatus" localSheetId="3">#REF!</definedName>
    <definedName name="lblBillCycleStatus">#REF!</definedName>
    <definedName name="lblCategoryStatus" localSheetId="8">#REF!</definedName>
    <definedName name="lblCategoryStatus" localSheetId="15">#REF!</definedName>
    <definedName name="lblCategoryStatus" localSheetId="6">#REF!</definedName>
    <definedName name="lblCategoryStatus" localSheetId="3">#REF!</definedName>
    <definedName name="lblCategoryStatus">#REF!</definedName>
    <definedName name="lblCompanyStatus" localSheetId="8">#REF!</definedName>
    <definedName name="lblCompanyStatus" localSheetId="15">#REF!</definedName>
    <definedName name="lblCompanyStatus" localSheetId="6">#REF!</definedName>
    <definedName name="lblCompanyStatus" localSheetId="3">#REF!</definedName>
    <definedName name="lblCompanyStatus">#REF!</definedName>
    <definedName name="lblDatabaseStatus" localSheetId="8">#REF!</definedName>
    <definedName name="lblDatabaseStatus" localSheetId="15">#REF!</definedName>
    <definedName name="lblDatabaseStatus" localSheetId="6">#REF!</definedName>
    <definedName name="lblDatabaseStatus" localSheetId="3">#REF!</definedName>
    <definedName name="lblDatabaseStatus">#REF!</definedName>
    <definedName name="lblPullStatus" localSheetId="8">#REF!</definedName>
    <definedName name="lblPullStatus" localSheetId="15">#REF!</definedName>
    <definedName name="lblPullStatus" localSheetId="6">#REF!</definedName>
    <definedName name="lblPullStatus" localSheetId="3">#REF!</definedName>
    <definedName name="lblPullStatus">#REF!</definedName>
    <definedName name="lllllllllllllllllllll" localSheetId="8">#REF!</definedName>
    <definedName name="lllllllllllllllllllll" localSheetId="15">#REF!</definedName>
    <definedName name="lllllllllllllllllllll" localSheetId="6">#REF!</definedName>
    <definedName name="lllllllllllllllllllll" localSheetId="3">#REF!</definedName>
    <definedName name="lllllllllllllllllllll" localSheetId="1">#REF!</definedName>
    <definedName name="lllllllllllllllllllll">#REF!</definedName>
    <definedName name="MainDataEnd" localSheetId="8">#REF!</definedName>
    <definedName name="MainDataEnd" localSheetId="15">#REF!</definedName>
    <definedName name="MainDataEnd" localSheetId="6">#REF!</definedName>
    <definedName name="MainDataEnd" localSheetId="3">#REF!</definedName>
    <definedName name="MainDataEnd">#REF!</definedName>
    <definedName name="MainDataStart" localSheetId="8">#REF!</definedName>
    <definedName name="MainDataStart" localSheetId="15">#REF!</definedName>
    <definedName name="MainDataStart" localSheetId="6">#REF!</definedName>
    <definedName name="MainDataStart" localSheetId="3">#REF!</definedName>
    <definedName name="MainDataStart">#REF!</definedName>
    <definedName name="MapKeyStart" localSheetId="8">#REF!</definedName>
    <definedName name="MapKeyStart" localSheetId="15">#REF!</definedName>
    <definedName name="MapKeyStart" localSheetId="6">#REF!</definedName>
    <definedName name="MapKeyStart" localSheetId="3">#REF!</definedName>
    <definedName name="MapKeyStart">#REF!</definedName>
    <definedName name="master_def" localSheetId="8">#REF!</definedName>
    <definedName name="master_def" localSheetId="15">#REF!</definedName>
    <definedName name="master_def" localSheetId="7">#REF!</definedName>
    <definedName name="master_def" localSheetId="4">#REF!</definedName>
    <definedName name="master_def" localSheetId="6">#REF!</definedName>
    <definedName name="master_def" localSheetId="2">#REF!</definedName>
    <definedName name="master_def" localSheetId="26">#REF!</definedName>
    <definedName name="master_def" localSheetId="3">#REF!</definedName>
    <definedName name="master_def" localSheetId="11">#REF!</definedName>
    <definedName name="master_def" localSheetId="1">'[29]IS-2120'!#REF!</definedName>
    <definedName name="master_def">#REF!</definedName>
    <definedName name="MATRIX" localSheetId="7">#REF!</definedName>
    <definedName name="MATRIX" localSheetId="6">#REF!</definedName>
    <definedName name="MATRIX">#REF!</definedName>
    <definedName name="MemoAttachment" localSheetId="15">#REF!</definedName>
    <definedName name="MemoAttachment" localSheetId="6">#REF!</definedName>
    <definedName name="MemoAttachment" localSheetId="3">#REF!</definedName>
    <definedName name="MemoAttachment">#REF!</definedName>
    <definedName name="MetaSet">[1]Orientation!$C$22</definedName>
    <definedName name="MFStaffPriceOut" localSheetId="8">'[17]Price Out-Reg EASTSIDE-Resi'!#REF!</definedName>
    <definedName name="MFStaffPriceOut" localSheetId="7">'[17]Price Out-Reg EASTSIDE-Resi'!#REF!</definedName>
    <definedName name="MFStaffPriceOut" localSheetId="6">'[17]Price Out-Reg EASTSIDE-Resi'!#REF!</definedName>
    <definedName name="MFStaffPriceOut" localSheetId="26">'[17]Price Out-Reg EASTSIDE-Resi'!#REF!</definedName>
    <definedName name="MFStaffPriceOut">'[17]Price Out-Reg EASTSIDE-Resi'!#REF!</definedName>
    <definedName name="MonthList" localSheetId="15">'[21]Lookup Tables'!$A$1:$A$13</definedName>
    <definedName name="MonthList" localSheetId="6">'[22]Lookup Tables'!$A$1:$A$13</definedName>
    <definedName name="MonthList" localSheetId="2">'[22]Lookup Tables'!$A$1:$A$13</definedName>
    <definedName name="MonthList">'[23]Lookup Tables'!$A$1:$A$13</definedName>
    <definedName name="NewOnlyOrg">#N/A</definedName>
    <definedName name="nn" localSheetId="8">#REF!</definedName>
    <definedName name="nn" localSheetId="7">#REF!</definedName>
    <definedName name="nn" localSheetId="4">#REF!</definedName>
    <definedName name="nn" localSheetId="6">#REF!</definedName>
    <definedName name="nn" localSheetId="26">#REF!</definedName>
    <definedName name="nn" localSheetId="11">#REF!</definedName>
    <definedName name="nn">#REF!</definedName>
    <definedName name="NOTES" localSheetId="8">#REF!</definedName>
    <definedName name="NOTES" localSheetId="15">#REF!</definedName>
    <definedName name="NOTES" localSheetId="6">#REF!</definedName>
    <definedName name="NOTES" localSheetId="3">#REF!</definedName>
    <definedName name="NOTES" localSheetId="11">#REF!</definedName>
    <definedName name="NOTES" localSheetId="1">#REF!</definedName>
    <definedName name="NOTES">#REF!</definedName>
    <definedName name="NR" localSheetId="15">#REF!</definedName>
    <definedName name="NR" localSheetId="6">#REF!</definedName>
    <definedName name="NR" localSheetId="3">#REF!</definedName>
    <definedName name="NR">#REF!</definedName>
    <definedName name="OfficerSalary">#N/A</definedName>
    <definedName name="OffsetAcctBil">[33]JEexport!$L$10</definedName>
    <definedName name="OffsetAcctPmt">[33]JEexport!$L$9</definedName>
    <definedName name="Org11_13">#N/A</definedName>
    <definedName name="Org7_10">#N/A</definedName>
    <definedName name="p" localSheetId="8">#REF!</definedName>
    <definedName name="p" localSheetId="15">#REF!</definedName>
    <definedName name="p" localSheetId="6">#REF!</definedName>
    <definedName name="p" localSheetId="3">#REF!</definedName>
    <definedName name="p">#REF!</definedName>
    <definedName name="PAGE_1" localSheetId="8">#REF!</definedName>
    <definedName name="PAGE_1" localSheetId="15">#REF!</definedName>
    <definedName name="PAGE_1" localSheetId="6">#REF!</definedName>
    <definedName name="PAGE_1" localSheetId="3">#REF!</definedName>
    <definedName name="PAGE_1" localSheetId="11">#REF!</definedName>
    <definedName name="PAGE_1" localSheetId="1">#REF!</definedName>
    <definedName name="PAGE_1">#REF!</definedName>
    <definedName name="Page16" localSheetId="6">#REF!</definedName>
    <definedName name="Page16">#REF!</definedName>
    <definedName name="Page17" localSheetId="6">#REF!</definedName>
    <definedName name="Page17">#REF!</definedName>
    <definedName name="Page18" localSheetId="6">#REF!</definedName>
    <definedName name="Page18">#REF!</definedName>
    <definedName name="Page7a" localSheetId="6">#REF!</definedName>
    <definedName name="Page7a">#REF!</definedName>
    <definedName name="pBatchID" localSheetId="8">#REF!</definedName>
    <definedName name="pBatchID" localSheetId="15">#REF!</definedName>
    <definedName name="pBatchID" localSheetId="6">#REF!</definedName>
    <definedName name="pBatchID" localSheetId="3">#REF!</definedName>
    <definedName name="pBatchID">#REF!</definedName>
    <definedName name="pBillArea" localSheetId="8">#REF!</definedName>
    <definedName name="pBillArea" localSheetId="15">#REF!</definedName>
    <definedName name="pBillArea" localSheetId="6">#REF!</definedName>
    <definedName name="pBillArea" localSheetId="3">#REF!</definedName>
    <definedName name="pBillArea">#REF!</definedName>
    <definedName name="pBillCycle" localSheetId="8">#REF!</definedName>
    <definedName name="pBillCycle" localSheetId="15">#REF!</definedName>
    <definedName name="pBillCycle" localSheetId="6">#REF!</definedName>
    <definedName name="pBillCycle" localSheetId="3">#REF!</definedName>
    <definedName name="pBillCycle">#REF!</definedName>
    <definedName name="pCategory" localSheetId="8">#REF!</definedName>
    <definedName name="pCategory" localSheetId="15">#REF!</definedName>
    <definedName name="pCategory" localSheetId="6">#REF!</definedName>
    <definedName name="pCategory" localSheetId="3">#REF!</definedName>
    <definedName name="pCategory">#REF!</definedName>
    <definedName name="pCompany" localSheetId="8">#REF!</definedName>
    <definedName name="pCompany" localSheetId="15">#REF!</definedName>
    <definedName name="pCompany" localSheetId="6">#REF!</definedName>
    <definedName name="pCompany" localSheetId="3">#REF!</definedName>
    <definedName name="pCompany">#REF!</definedName>
    <definedName name="pCustomerNumber" localSheetId="8">#REF!</definedName>
    <definedName name="pCustomerNumber" localSheetId="15">#REF!</definedName>
    <definedName name="pCustomerNumber" localSheetId="6">#REF!</definedName>
    <definedName name="pCustomerNumber" localSheetId="3">#REF!</definedName>
    <definedName name="pCustomerNumber">#REF!</definedName>
    <definedName name="pDatabase" localSheetId="8">#REF!</definedName>
    <definedName name="pDatabase" localSheetId="15">#REF!</definedName>
    <definedName name="pDatabase" localSheetId="6">#REF!</definedName>
    <definedName name="pDatabase" localSheetId="3">#REF!</definedName>
    <definedName name="pDatabase">#REF!</definedName>
    <definedName name="pEndPostDate" localSheetId="8">#REF!</definedName>
    <definedName name="pEndPostDate" localSheetId="15">#REF!</definedName>
    <definedName name="pEndPostDate" localSheetId="6">#REF!</definedName>
    <definedName name="pEndPostDate" localSheetId="3">#REF!</definedName>
    <definedName name="pEndPostDate">#REF!</definedName>
    <definedName name="Period" localSheetId="8">#REF!</definedName>
    <definedName name="Period" localSheetId="15">#REF!</definedName>
    <definedName name="Period" localSheetId="6">#REF!</definedName>
    <definedName name="Period" localSheetId="3">#REF!</definedName>
    <definedName name="Period" localSheetId="1">#REF!</definedName>
    <definedName name="Period">#REF!</definedName>
    <definedName name="pMonth" localSheetId="8">#REF!</definedName>
    <definedName name="pMonth" localSheetId="15">#REF!</definedName>
    <definedName name="pMonth" localSheetId="6">#REF!</definedName>
    <definedName name="pMonth" localSheetId="3">#REF!</definedName>
    <definedName name="pMonth">#REF!</definedName>
    <definedName name="pOnlyShowLastTranx" localSheetId="8">#REF!</definedName>
    <definedName name="pOnlyShowLastTranx" localSheetId="15">#REF!</definedName>
    <definedName name="pOnlyShowLastTranx" localSheetId="6">#REF!</definedName>
    <definedName name="pOnlyShowLastTranx" localSheetId="3">#REF!</definedName>
    <definedName name="pOnlyShowLastTranx">#REF!</definedName>
    <definedName name="Posting" localSheetId="16">'43001'!$P$15</definedName>
    <definedName name="Posting" localSheetId="17">'60225'!$P$15</definedName>
    <definedName name="Posting" localSheetId="18">'70195'!$P$15</definedName>
    <definedName name="Posting" localSheetId="19">'70225'!$P$15</definedName>
    <definedName name="Posting" localSheetId="8">#REF!</definedName>
    <definedName name="Posting" localSheetId="10">#REF!</definedName>
    <definedName name="Posting" localSheetId="9">#REF!</definedName>
    <definedName name="Posting" localSheetId="7">#REF!</definedName>
    <definedName name="primtbl">[1]Orientation!$C$23</definedName>
    <definedName name="_xlnm.Print_Area" localSheetId="0">'2010_IS'!$A$1:$AE$360</definedName>
    <definedName name="_xlnm.Print_Area" localSheetId="16">'43001'!$A$1:$N$112</definedName>
    <definedName name="_xlnm.Print_Area" localSheetId="17">'60225'!$A$1:$O$305</definedName>
    <definedName name="_xlnm.Print_Area" localSheetId="18">'70195'!$A$1:$O$140</definedName>
    <definedName name="_xlnm.Print_Area" localSheetId="19">'70225'!$A$1:$Q$98</definedName>
    <definedName name="_xlnm.Print_Area" localSheetId="25">'9.30.16 BS'!$D$7:$V$262</definedName>
    <definedName name="_xlnm.Print_Area" localSheetId="24">'9.30.17 BS'!$D$7:$V$264</definedName>
    <definedName name="_xlnm.Print_Area" localSheetId="23">'Corp OH'!$A$5:$G$89</definedName>
    <definedName name="_xlnm.Print_Area" localSheetId="15">#REF!</definedName>
    <definedName name="_xlnm.Print_Area" localSheetId="5">'LG Regulated'!$B$2:$K$43</definedName>
    <definedName name="_xlnm.Print_Area" localSheetId="10">'Payroll Detail'!$A$1:$AL$358,'Payroll Detail'!$A$360:$Y$496</definedName>
    <definedName name="_xlnm.Print_Area" localSheetId="9">#REF!</definedName>
    <definedName name="_xlnm.Print_Area" localSheetId="7">'Price Out'!$A$1:$O$234</definedName>
    <definedName name="_xlnm.Print_Area" localSheetId="4">'Pro-forma Adj''s'!$A$1:$G$88</definedName>
    <definedName name="_xlnm.Print_Area" localSheetId="6">'Proposed Rates'!$A$1:$H$382</definedName>
    <definedName name="_xlnm.Print_Area" localSheetId="2">Ratios!$B$1:$H$86</definedName>
    <definedName name="_xlnm.Print_Area" localSheetId="26">References!$A$1:$I$64</definedName>
    <definedName name="_xlnm.Print_Area" localSheetId="22">'Region OH Calc'!$D$6:$AL$53,'Region OH Calc'!$AO$9:$AU$118</definedName>
    <definedName name="_xlnm.Print_Area" localSheetId="3">'Restating Adj''s'!$A$1:$I$112,'Restating Adj''s'!$L$1:$X$76</definedName>
    <definedName name="_xlnm.Print_Area" localSheetId="11">'Total Depreciation Summary'!$A$1:$H$61,'Total Depreciation Summary'!$K$1:$Y$61,'Total Depreciation Summary'!$AA$1:$AO$61</definedName>
    <definedName name="_xlnm.Print_Area" localSheetId="1">'Vancouver Consolidated IS'!$A$1:$N$331</definedName>
    <definedName name="_xlnm.Print_Area" localSheetId="20">'WCI P&amp;L'!$A$1:$G$48</definedName>
    <definedName name="_xlnm.Print_Area">#REF!</definedName>
    <definedName name="Print_Area_MI" localSheetId="8">#REF!</definedName>
    <definedName name="Print_Area_MI" localSheetId="15">#REF!</definedName>
    <definedName name="Print_Area_MI" localSheetId="5">'LG Regulated'!$B$2:$I$24</definedName>
    <definedName name="Print_Area_MI" localSheetId="6">#REF!</definedName>
    <definedName name="Print_Area_MI" localSheetId="3">#REF!</definedName>
    <definedName name="Print_Area_MI" localSheetId="11">#REF!</definedName>
    <definedName name="Print_Area_MI" localSheetId="1">#REF!</definedName>
    <definedName name="Print_Area_MI">#REF!</definedName>
    <definedName name="Print_Area1" localSheetId="8">#REF!</definedName>
    <definedName name="Print_Area1" localSheetId="15">#REF!</definedName>
    <definedName name="Print_Area1" localSheetId="6">#REF!</definedName>
    <definedName name="Print_Area1" localSheetId="3">#REF!</definedName>
    <definedName name="Print_Area1" localSheetId="11">#REF!</definedName>
    <definedName name="Print_Area1" localSheetId="1">#REF!</definedName>
    <definedName name="Print_Area1">#REF!</definedName>
    <definedName name="Print_Area2" localSheetId="8">#REF!</definedName>
    <definedName name="Print_Area2" localSheetId="15">#REF!</definedName>
    <definedName name="Print_Area2" localSheetId="6">#REF!</definedName>
    <definedName name="Print_Area2" localSheetId="3">#REF!</definedName>
    <definedName name="Print_Area2" localSheetId="11">#REF!</definedName>
    <definedName name="Print_Area2" localSheetId="1">#REF!</definedName>
    <definedName name="Print_Area2">#REF!</definedName>
    <definedName name="Print_Area3" localSheetId="8">#REF!</definedName>
    <definedName name="Print_Area3" localSheetId="15">#REF!</definedName>
    <definedName name="Print_Area3" localSheetId="6">#REF!</definedName>
    <definedName name="Print_Area3" localSheetId="3">#REF!</definedName>
    <definedName name="Print_Area3" localSheetId="11">#REF!</definedName>
    <definedName name="Print_Area3" localSheetId="1">#REF!</definedName>
    <definedName name="Print_Area3">#REF!</definedName>
    <definedName name="Print_Area5" localSheetId="8">#REF!</definedName>
    <definedName name="Print_Area5" localSheetId="15">#REF!</definedName>
    <definedName name="Print_Area5" localSheetId="6">#REF!</definedName>
    <definedName name="Print_Area5" localSheetId="3">#REF!</definedName>
    <definedName name="Print_Area5" localSheetId="11">#REF!</definedName>
    <definedName name="Print_Area5" localSheetId="1">#REF!</definedName>
    <definedName name="Print_Area5">#REF!</definedName>
    <definedName name="_xlnm.Print_Titles" localSheetId="0">'2010_IS'!$A:$E,'2010_IS'!$1:$7</definedName>
    <definedName name="_xlnm.Print_Titles" localSheetId="16">'43001'!$B:$B,'43001'!$9:$20</definedName>
    <definedName name="_xlnm.Print_Titles" localSheetId="17">'60225'!$B:$B,'60225'!$9:$20</definedName>
    <definedName name="_xlnm.Print_Titles" localSheetId="18">'70195'!$B:$B,'70195'!$9:$20</definedName>
    <definedName name="_xlnm.Print_Titles" localSheetId="19">'70225'!$B:$B,'70225'!$9:$20</definedName>
    <definedName name="_xlnm.Print_Titles" localSheetId="25">'9.30.16 BS'!$D:$H,'9.30.16 BS'!$7:$15</definedName>
    <definedName name="_xlnm.Print_Titles" localSheetId="24">'9.30.17 BS'!$7:$15</definedName>
    <definedName name="_xlnm.Print_Titles" localSheetId="23">'Corp OH'!$5:$10</definedName>
    <definedName name="_xlnm.Print_Titles" localSheetId="12">Disposal!$1:$3</definedName>
    <definedName name="_xlnm.Print_Titles" localSheetId="10">'Payroll Detail'!$A:$E,'Payroll Detail'!$1:$8</definedName>
    <definedName name="_xlnm.Print_Titles" localSheetId="7">'Price Out'!$A:$B,'Price Out'!$1:$7</definedName>
    <definedName name="_xlnm.Print_Titles" localSheetId="4">'Pro-forma Adj''s'!$1:$3</definedName>
    <definedName name="_xlnm.Print_Titles" localSheetId="6">'Proposed Rates'!$1:$9</definedName>
    <definedName name="_xlnm.Print_Titles" localSheetId="2">Ratios!$1:$2</definedName>
    <definedName name="_xlnm.Print_Titles" localSheetId="22">'Region OH Calc'!$6:$12</definedName>
    <definedName name="_xlnm.Print_Titles" localSheetId="3">'Restating Adj''s'!$1:$3</definedName>
    <definedName name="_xlnm.Print_Titles" localSheetId="11">'Total Depreciation Summary'!$A:$A,'Total Depreciation Summary'!$1:$6</definedName>
    <definedName name="_xlnm.Print_Titles" localSheetId="1">'Vancouver Consolidated IS'!$A:$B,'Vancouver Consolidated IS'!$1:$8</definedName>
    <definedName name="_xlnm.Print_Titles" localSheetId="21">'WCI BS'!$7:$8</definedName>
    <definedName name="Print1" localSheetId="8">#REF!</definedName>
    <definedName name="Print1" localSheetId="15">#REF!</definedName>
    <definedName name="Print1" localSheetId="6">#REF!</definedName>
    <definedName name="Print1" localSheetId="3">#REF!</definedName>
    <definedName name="Print1" localSheetId="11">#REF!</definedName>
    <definedName name="Print1" localSheetId="1">#REF!</definedName>
    <definedName name="Print1">#REF!</definedName>
    <definedName name="Print2" localSheetId="8">#REF!</definedName>
    <definedName name="Print2" localSheetId="15">#REF!</definedName>
    <definedName name="Print2" localSheetId="6">#REF!</definedName>
    <definedName name="Print2" localSheetId="3">#REF!</definedName>
    <definedName name="Print2" localSheetId="11">#REF!</definedName>
    <definedName name="Print2" localSheetId="1">#REF!</definedName>
    <definedName name="Print2">#REF!</definedName>
    <definedName name="Print5" localSheetId="8">#REF!</definedName>
    <definedName name="Print5" localSheetId="15">#REF!</definedName>
    <definedName name="Print5" localSheetId="6">#REF!</definedName>
    <definedName name="Print5" localSheetId="3">#REF!</definedName>
    <definedName name="Print5" localSheetId="11">#REF!</definedName>
    <definedName name="Print5" localSheetId="1">#REF!</definedName>
    <definedName name="Print5">#REF!</definedName>
    <definedName name="ProRev" localSheetId="15">'[9]Pacific Regulated - Price Out'!$M$49</definedName>
    <definedName name="ProRev" localSheetId="6">'[10]Pacific Regulated - Price Out'!$M$49</definedName>
    <definedName name="ProRev" localSheetId="2">'[10]Pacific Regulated - Price Out'!$M$49</definedName>
    <definedName name="ProRev" localSheetId="26">'[11]Pacific Regulated - Price Out'!$M$49</definedName>
    <definedName name="ProRev">'[12]Pacific Regulated - Price Out'!$M$49</definedName>
    <definedName name="ProRev_com" localSheetId="15">'[9]Pacific Regulated - Price Out'!$M$213</definedName>
    <definedName name="ProRev_com" localSheetId="6">'[10]Pacific Regulated - Price Out'!$M$213</definedName>
    <definedName name="ProRev_com" localSheetId="2">'[10]Pacific Regulated - Price Out'!$M$213</definedName>
    <definedName name="ProRev_com" localSheetId="26">'[11]Pacific Regulated - Price Out'!$M$213</definedName>
    <definedName name="ProRev_com">'[12]Pacific Regulated - Price Out'!$M$213</definedName>
    <definedName name="ProRev_mfr" localSheetId="15">'[9]Pacific Regulated - Price Out'!$M$221</definedName>
    <definedName name="ProRev_mfr" localSheetId="6">'[10]Pacific Regulated - Price Out'!$M$221</definedName>
    <definedName name="ProRev_mfr" localSheetId="2">'[10]Pacific Regulated - Price Out'!$M$221</definedName>
    <definedName name="ProRev_mfr" localSheetId="26">'[11]Pacific Regulated - Price Out'!$M$221</definedName>
    <definedName name="ProRev_mfr">'[12]Pacific Regulated - Price Out'!$M$221</definedName>
    <definedName name="ProRev_ro" localSheetId="15">'[9]Pacific Regulated - Price Out'!$M$281</definedName>
    <definedName name="ProRev_ro" localSheetId="6">'[10]Pacific Regulated - Price Out'!$M$281</definedName>
    <definedName name="ProRev_ro" localSheetId="2">'[10]Pacific Regulated - Price Out'!$M$281</definedName>
    <definedName name="ProRev_ro" localSheetId="26">'[11]Pacific Regulated - Price Out'!$M$281</definedName>
    <definedName name="ProRev_ro">'[12]Pacific Regulated - Price Out'!$M$281</definedName>
    <definedName name="ProRev_rr" localSheetId="15">'[9]Pacific Regulated - Price Out'!$M$58</definedName>
    <definedName name="ProRev_rr" localSheetId="6">'[10]Pacific Regulated - Price Out'!$M$58</definedName>
    <definedName name="ProRev_rr" localSheetId="2">'[10]Pacific Regulated - Price Out'!$M$58</definedName>
    <definedName name="ProRev_rr" localSheetId="26">'[11]Pacific Regulated - Price Out'!$M$58</definedName>
    <definedName name="ProRev_rr">'[12]Pacific Regulated - Price Out'!$M$58</definedName>
    <definedName name="ProRev_yw" localSheetId="15">'[9]Pacific Regulated - Price Out'!$M$69</definedName>
    <definedName name="ProRev_yw" localSheetId="6">'[10]Pacific Regulated - Price Out'!$M$69</definedName>
    <definedName name="ProRev_yw" localSheetId="2">'[10]Pacific Regulated - Price Out'!$M$69</definedName>
    <definedName name="ProRev_yw" localSheetId="26">'[11]Pacific Regulated - Price Out'!$M$69</definedName>
    <definedName name="ProRev_yw">'[12]Pacific Regulated - Price Out'!$M$69</definedName>
    <definedName name="pServer" localSheetId="8">#REF!</definedName>
    <definedName name="pServer" localSheetId="15">#REF!</definedName>
    <definedName name="pServer" localSheetId="6">#REF!</definedName>
    <definedName name="pServer" localSheetId="3">#REF!</definedName>
    <definedName name="pServer">#REF!</definedName>
    <definedName name="pServiceCode" localSheetId="8">#REF!</definedName>
    <definedName name="pServiceCode" localSheetId="15">#REF!</definedName>
    <definedName name="pServiceCode" localSheetId="6">#REF!</definedName>
    <definedName name="pServiceCode" localSheetId="3">#REF!</definedName>
    <definedName name="pServiceCode">#REF!</definedName>
    <definedName name="pShowAllUnposted" localSheetId="8">#REF!</definedName>
    <definedName name="pShowAllUnposted" localSheetId="15">#REF!</definedName>
    <definedName name="pShowAllUnposted" localSheetId="6">#REF!</definedName>
    <definedName name="pShowAllUnposted" localSheetId="3">#REF!</definedName>
    <definedName name="pShowAllUnposted">#REF!</definedName>
    <definedName name="pShowCustomerDetail" localSheetId="8">#REF!</definedName>
    <definedName name="pShowCustomerDetail" localSheetId="15">#REF!</definedName>
    <definedName name="pShowCustomerDetail" localSheetId="6">#REF!</definedName>
    <definedName name="pShowCustomerDetail" localSheetId="3">#REF!</definedName>
    <definedName name="pShowCustomerDetail">#REF!</definedName>
    <definedName name="pSortOption" localSheetId="8">#REF!</definedName>
    <definedName name="pSortOption" localSheetId="15">#REF!</definedName>
    <definedName name="pSortOption" localSheetId="6">#REF!</definedName>
    <definedName name="pSortOption" localSheetId="3">#REF!</definedName>
    <definedName name="pSortOption">#REF!</definedName>
    <definedName name="pStartPostDate" localSheetId="8">#REF!</definedName>
    <definedName name="pStartPostDate" localSheetId="15">#REF!</definedName>
    <definedName name="pStartPostDate" localSheetId="6">#REF!</definedName>
    <definedName name="pStartPostDate" localSheetId="3">#REF!</definedName>
    <definedName name="pStartPostDate">#REF!</definedName>
    <definedName name="pTransType" localSheetId="8">#REF!</definedName>
    <definedName name="pTransType" localSheetId="15">#REF!</definedName>
    <definedName name="pTransType" localSheetId="6">#REF!</definedName>
    <definedName name="pTransType" localSheetId="3">#REF!</definedName>
    <definedName name="pTransType">#REF!</definedName>
    <definedName name="RCW_81.04.080">#N/A</definedName>
    <definedName name="RecyDisposal">#N/A</definedName>
    <definedName name="Reg_Cust_Billed_Percent" localSheetId="15">'[34]Consolidated IS 2009 2010'!$AK$20</definedName>
    <definedName name="Reg_Cust_Billed_Percent" localSheetId="6">'[35]Consolidated IS 2009 2010'!$AK$20</definedName>
    <definedName name="Reg_Cust_Billed_Percent" localSheetId="2">'[35]Consolidated IS 2009 2010'!$AK$20</definedName>
    <definedName name="Reg_Cust_Billed_Percent">'[36]Consolidated IS 2009 2010'!$AK$20</definedName>
    <definedName name="Reg_Cust_Percent" localSheetId="15">'[34]Consolidated IS 2009 2010'!$AC$20</definedName>
    <definedName name="Reg_Cust_Percent" localSheetId="6">'[35]Consolidated IS 2009 2010'!$AC$20</definedName>
    <definedName name="Reg_Cust_Percent" localSheetId="2">'[35]Consolidated IS 2009 2010'!$AC$20</definedName>
    <definedName name="Reg_Cust_Percent">'[36]Consolidated IS 2009 2010'!$AC$20</definedName>
    <definedName name="Reg_Drive_Percent" localSheetId="15">'[34]Consolidated IS 2009 2010'!$AC$40</definedName>
    <definedName name="Reg_Drive_Percent" localSheetId="6">'[35]Consolidated IS 2009 2010'!$AC$40</definedName>
    <definedName name="Reg_Drive_Percent" localSheetId="2">'[35]Consolidated IS 2009 2010'!$AC$40</definedName>
    <definedName name="Reg_Drive_Percent">'[36]Consolidated IS 2009 2010'!$AC$40</definedName>
    <definedName name="Reg_Haul_Rev_Percent" localSheetId="15">'[34]Consolidated IS 2009 2010'!$Z$18</definedName>
    <definedName name="Reg_Haul_Rev_Percent" localSheetId="6">'[35]Consolidated IS 2009 2010'!$Z$18</definedName>
    <definedName name="Reg_Haul_Rev_Percent" localSheetId="2">'[35]Consolidated IS 2009 2010'!$Z$18</definedName>
    <definedName name="Reg_Haul_Rev_Percent">'[36]Consolidated IS 2009 2010'!$Z$18</definedName>
    <definedName name="Reg_Lab_Percent" localSheetId="15">'[34]Consolidated IS 2009 2010'!$AC$39</definedName>
    <definedName name="Reg_Lab_Percent" localSheetId="6">'[35]Consolidated IS 2009 2010'!$AC$39</definedName>
    <definedName name="Reg_Lab_Percent" localSheetId="2">'[35]Consolidated IS 2009 2010'!$AC$39</definedName>
    <definedName name="Reg_Lab_Percent">'[36]Consolidated IS 2009 2010'!$AC$39</definedName>
    <definedName name="Reg_Steel_Cont_Percent" localSheetId="15">'[34]Consolidated IS 2009 2010'!$AE$120</definedName>
    <definedName name="Reg_Steel_Cont_Percent" localSheetId="6">'[35]Consolidated IS 2009 2010'!$AE$120</definedName>
    <definedName name="Reg_Steel_Cont_Percent" localSheetId="2">'[35]Consolidated IS 2009 2010'!$AE$120</definedName>
    <definedName name="Reg_Steel_Cont_Percent">'[36]Consolidated IS 2009 2010'!$AE$120</definedName>
    <definedName name="RegulatedIS" localSheetId="15">'[34]2009 IS'!$A$12:$Q$655</definedName>
    <definedName name="RegulatedIS" localSheetId="6">'[35]2009 IS'!$A$12:$Q$655</definedName>
    <definedName name="RegulatedIS" localSheetId="2">'[35]2009 IS'!$A$12:$Q$655</definedName>
    <definedName name="RegulatedIS">'[36]2009 IS'!$A$12:$Q$655</definedName>
    <definedName name="RelatedSalary">#N/A</definedName>
    <definedName name="report_type">[1]Orientation!$C$24</definedName>
    <definedName name="ReportNames" localSheetId="8">[18]ControlPanel!$X$2:$X$8</definedName>
    <definedName name="ReportNames" localSheetId="7">[18]ControlPanel!$X$2:$X$8</definedName>
    <definedName name="ReportNames" localSheetId="11">[18]ControlPanel!$X$2:$X$8</definedName>
    <definedName name="ReportNames" localSheetId="1">[18]ControlPanel!$X$2:$X$8</definedName>
    <definedName name="ReportNames">[37]ControlPanel!$S$2:$S$16</definedName>
    <definedName name="ReportVersion">[1]Settings!$D$5</definedName>
    <definedName name="ReslStaffPriceOut" localSheetId="8">'[17]Price Out-Reg EASTSIDE-Resi'!#REF!</definedName>
    <definedName name="ReslStaffPriceOut" localSheetId="7">'[17]Price Out-Reg EASTSIDE-Resi'!#REF!</definedName>
    <definedName name="ReslStaffPriceOut" localSheetId="6">'[17]Price Out-Reg EASTSIDE-Resi'!#REF!</definedName>
    <definedName name="ReslStaffPriceOut" localSheetId="26">'[17]Price Out-Reg EASTSIDE-Resi'!#REF!</definedName>
    <definedName name="ReslStaffPriceOut">'[17]Price Out-Reg EASTSIDE-Resi'!#REF!</definedName>
    <definedName name="RetainedEarnings" localSheetId="8">#REF!</definedName>
    <definedName name="RetainedEarnings" localSheetId="15">#REF!</definedName>
    <definedName name="RetainedEarnings" localSheetId="6">#REF!</definedName>
    <definedName name="RetainedEarnings" localSheetId="3">#REF!</definedName>
    <definedName name="RetainedEarnings" localSheetId="1">#REF!</definedName>
    <definedName name="RetainedEarnings">#REF!</definedName>
    <definedName name="RevCust" localSheetId="8">[38]RevenuesCust!#REF!</definedName>
    <definedName name="RevCust" localSheetId="15">[39]RevenuesCust!#REF!</definedName>
    <definedName name="RevCust" localSheetId="7">[38]RevenuesCust!#REF!</definedName>
    <definedName name="RevCust" localSheetId="6">[40]RevenuesCust!#REF!</definedName>
    <definedName name="RevCust" localSheetId="2">[40]RevenuesCust!#REF!</definedName>
    <definedName name="RevCust" localSheetId="26">[41]RevenuesCust!#REF!</definedName>
    <definedName name="RevCust" localSheetId="11">[42]RevenuesCust!#REF!</definedName>
    <definedName name="RevCust">[42]RevenuesCust!#REF!</definedName>
    <definedName name="RevCustomer" localSheetId="8">#REF!</definedName>
    <definedName name="RevCustomer" localSheetId="15">#REF!</definedName>
    <definedName name="RevCustomer" localSheetId="7">#REF!</definedName>
    <definedName name="RevCustomer" localSheetId="6">#REF!</definedName>
    <definedName name="RevCustomer" localSheetId="3">#REF!</definedName>
    <definedName name="RevCustomer">#REF!</definedName>
    <definedName name="rngCreateLog">[1]Delivery!$B$12</definedName>
    <definedName name="rngFilePassword">[1]Delivery!$B$6</definedName>
    <definedName name="rngSourceTab">[1]Delivery!$E$8</definedName>
    <definedName name="rowgroup">[1]Orientation!$C$17</definedName>
    <definedName name="rowsegment">[1]Orientation!$B$17</definedName>
    <definedName name="Sequential_Group">[1]Settings!$J$6</definedName>
    <definedName name="Sequential_Segment">[1]Settings!$I$6</definedName>
    <definedName name="Sequential_sort">[1]Settings!$I$10:$J$11</definedName>
    <definedName name="sortcol" localSheetId="8">#REF!</definedName>
    <definedName name="sortcol" localSheetId="15">#REF!</definedName>
    <definedName name="sortcol" localSheetId="7">#REF!</definedName>
    <definedName name="sortcol" localSheetId="4">#REF!</definedName>
    <definedName name="sortcol" localSheetId="6">#REF!</definedName>
    <definedName name="sortcol" localSheetId="2">#REF!</definedName>
    <definedName name="sortcol" localSheetId="26">#REF!</definedName>
    <definedName name="sortcol" localSheetId="3">#REF!</definedName>
    <definedName name="sortcol" localSheetId="11">#REF!</definedName>
    <definedName name="sortcol" localSheetId="1">'[29]IS-2120'!#REF!</definedName>
    <definedName name="sortcol">#REF!</definedName>
    <definedName name="sSRCDate" localSheetId="8">'[43]Feb''12 FAR Data'!#REF!</definedName>
    <definedName name="sSRCDate" localSheetId="15">'[43]Feb''12 FAR Data'!#REF!</definedName>
    <definedName name="sSRCDate" localSheetId="7">'[43]Feb''12 FAR Data'!#REF!</definedName>
    <definedName name="sSRCDate" localSheetId="6">'[44]Feb''12 FAR Data'!#REF!</definedName>
    <definedName name="sSRCDate" localSheetId="2">'[44]Feb''12 FAR Data'!#REF!</definedName>
    <definedName name="sSRCDate" localSheetId="26">'[45]Feb''12 FAR Data'!#REF!</definedName>
    <definedName name="sSRCDate" localSheetId="3">'[43]Feb''12 FAR Data'!#REF!</definedName>
    <definedName name="sSRCDate">'[46]Feb''12 FAR Data'!#REF!</definedName>
    <definedName name="SubSystems" localSheetId="16">'43001'!$M$15</definedName>
    <definedName name="SubSystems" localSheetId="17">'60225'!$M$15</definedName>
    <definedName name="SubSystems" localSheetId="18">'70195'!$M$15</definedName>
    <definedName name="SubSystems" localSheetId="19">'70225'!$M$15</definedName>
    <definedName name="SubSystems" localSheetId="8">#REF!</definedName>
    <definedName name="SubSystems" localSheetId="10">#REF!</definedName>
    <definedName name="SubSystems" localSheetId="9">#REF!</definedName>
    <definedName name="SubSystems" localSheetId="7">#REF!</definedName>
    <definedName name="SubSystems" localSheetId="26">#REF!</definedName>
    <definedName name="Supplemental_filter">[1]Settings!$C$31</definedName>
    <definedName name="SWDisposal">#N/A</definedName>
    <definedName name="System" localSheetId="0">'2010_IS'!$O$2</definedName>
    <definedName name="System" localSheetId="25">'9.30.16 BS'!$V$8</definedName>
    <definedName name="System" localSheetId="24">'9.30.17 BS'!$V$8</definedName>
    <definedName name="System" localSheetId="8">[47]BS_Close!$V$8</definedName>
    <definedName name="System" localSheetId="7">[47]BS_Close!$V$8</definedName>
    <definedName name="System" localSheetId="4">[47]BS_Close!$V$8</definedName>
    <definedName name="System" localSheetId="6">[47]BS_Close!$V$8</definedName>
    <definedName name="System" localSheetId="26">[47]BS_Close!$V$8</definedName>
    <definedName name="System" localSheetId="22">'Region OH Calc'!$R$7</definedName>
    <definedName name="System">'[24]Yakima BS'!#REF!</definedName>
    <definedName name="Systems" localSheetId="16">'43001'!$M$14</definedName>
    <definedName name="Systems" localSheetId="17">'60225'!$M$14</definedName>
    <definedName name="Systems" localSheetId="18">'70195'!$M$14</definedName>
    <definedName name="Systems" localSheetId="19">'70225'!$M$14</definedName>
    <definedName name="Systems" localSheetId="8">#REF!</definedName>
    <definedName name="Systems" localSheetId="10">#REF!</definedName>
    <definedName name="Systems" localSheetId="9">#REF!</definedName>
    <definedName name="Systems" localSheetId="7">#REF!</definedName>
    <definedName name="Systems" localSheetId="26">#REF!</definedName>
    <definedName name="TemplateEnd" localSheetId="8">#REF!</definedName>
    <definedName name="TemplateEnd" localSheetId="15">#REF!</definedName>
    <definedName name="TemplateEnd" localSheetId="6">#REF!</definedName>
    <definedName name="TemplateEnd" localSheetId="3">#REF!</definedName>
    <definedName name="TemplateEnd">#REF!</definedName>
    <definedName name="TemplateStart" localSheetId="8">#REF!</definedName>
    <definedName name="TemplateStart" localSheetId="15">#REF!</definedName>
    <definedName name="TemplateStart" localSheetId="6">#REF!</definedName>
    <definedName name="TemplateStart" localSheetId="3">#REF!</definedName>
    <definedName name="TemplateStart">#REF!</definedName>
    <definedName name="TheTable" localSheetId="8">#REF!</definedName>
    <definedName name="TheTable" localSheetId="15">#REF!</definedName>
    <definedName name="TheTable" localSheetId="10">#REF!</definedName>
    <definedName name="TheTable" localSheetId="9">#REF!</definedName>
    <definedName name="TheTable" localSheetId="6">#REF!</definedName>
    <definedName name="TheTable" localSheetId="3">#REF!</definedName>
    <definedName name="TheTable" localSheetId="11">#REF!</definedName>
    <definedName name="TheTable" localSheetId="1">#REF!</definedName>
    <definedName name="TheTableOLD" localSheetId="8">#REF!</definedName>
    <definedName name="TheTableOLD" localSheetId="15">#REF!</definedName>
    <definedName name="TheTableOLD" localSheetId="10">#REF!</definedName>
    <definedName name="TheTableOLD" localSheetId="9">#REF!</definedName>
    <definedName name="TheTableOLD" localSheetId="6">#REF!</definedName>
    <definedName name="TheTableOLD" localSheetId="3">#REF!</definedName>
    <definedName name="TheTableOLD" localSheetId="11">#REF!</definedName>
    <definedName name="TheTableOLD" localSheetId="1">#REF!</definedName>
    <definedName name="timeseries">[1]Orientation!$B$6:$C$13</definedName>
    <definedName name="ToMonth" localSheetId="16">'43001'!$G$8</definedName>
    <definedName name="ToMonth" localSheetId="17">'60225'!$G$8</definedName>
    <definedName name="ToMonth" localSheetId="18">'70195'!$G$8</definedName>
    <definedName name="ToMonth" localSheetId="19">'70225'!$G$8</definedName>
    <definedName name="ToMonth" localSheetId="8">#REF!</definedName>
    <definedName name="ToMonth" localSheetId="10">#REF!</definedName>
    <definedName name="ToMonth" localSheetId="9">#REF!</definedName>
    <definedName name="ToMonth" localSheetId="7">#REF!</definedName>
    <definedName name="ToMonth" localSheetId="26">#REF!</definedName>
    <definedName name="Tons" localSheetId="8">#REF!</definedName>
    <definedName name="Tons" localSheetId="7">#REF!</definedName>
    <definedName name="Tons" localSheetId="4">#REF!</definedName>
    <definedName name="Tons" localSheetId="6">#REF!</definedName>
    <definedName name="Tons" localSheetId="2">#REF!</definedName>
    <definedName name="Tons">#REF!</definedName>
    <definedName name="Total_Comm" localSheetId="15">'[13]Tariff Rate Sheet'!$L$214</definedName>
    <definedName name="Total_Comm" localSheetId="6">'[14]Tariff Rate Sheet'!$L$214</definedName>
    <definedName name="Total_Comm" localSheetId="2">'[14]Tariff Rate Sheet'!$L$214</definedName>
    <definedName name="Total_Comm" localSheetId="26">'[15]Tariff Rate Sheet'!$L$214</definedName>
    <definedName name="Total_Comm">'[16]Tariff Rate Sheet'!$L$214</definedName>
    <definedName name="Total_DB" localSheetId="15">'[13]Tariff Rate Sheet'!$L$278</definedName>
    <definedName name="Total_DB" localSheetId="6">'[14]Tariff Rate Sheet'!$L$278</definedName>
    <definedName name="Total_DB" localSheetId="2">'[14]Tariff Rate Sheet'!$L$278</definedName>
    <definedName name="Total_DB" localSheetId="26">'[15]Tariff Rate Sheet'!$L$278</definedName>
    <definedName name="Total_DB">'[16]Tariff Rate Sheet'!$L$278</definedName>
    <definedName name="Total_Resi" localSheetId="15">'[13]Tariff Rate Sheet'!$L$107</definedName>
    <definedName name="Total_Resi" localSheetId="6">'[14]Tariff Rate Sheet'!$L$107</definedName>
    <definedName name="Total_Resi" localSheetId="2">'[14]Tariff Rate Sheet'!$L$107</definedName>
    <definedName name="Total_Resi" localSheetId="26">'[15]Tariff Rate Sheet'!$L$107</definedName>
    <definedName name="Total_Resi">'[16]Tariff Rate Sheet'!$L$107</definedName>
    <definedName name="Transactions" localSheetId="8">#REF!</definedName>
    <definedName name="Transactions" localSheetId="15">#REF!</definedName>
    <definedName name="Transactions" localSheetId="6">#REF!</definedName>
    <definedName name="Transactions" localSheetId="3">#REF!</definedName>
    <definedName name="Transactions">#REF!</definedName>
    <definedName name="UnregulatedIS" localSheetId="15">'[34]2010 IS'!$A$12:$Q$654</definedName>
    <definedName name="UnregulatedIS" localSheetId="6">'[35]2010 IS'!$A$12:$Q$654</definedName>
    <definedName name="UnregulatedIS" localSheetId="2">'[35]2010 IS'!$A$12:$Q$654</definedName>
    <definedName name="UnregulatedIS">'[36]2010 IS'!$A$12:$Q$654</definedName>
    <definedName name="VendorCode" localSheetId="16">'43001'!$P$12</definedName>
    <definedName name="VendorCode" localSheetId="17">'60225'!$P$12</definedName>
    <definedName name="VendorCode" localSheetId="18">'70195'!$P$12</definedName>
    <definedName name="VendorCode" localSheetId="19">'70225'!$P$12</definedName>
    <definedName name="VendorCode" localSheetId="8">#REF!</definedName>
    <definedName name="VendorCode" localSheetId="10">#REF!</definedName>
    <definedName name="VendorCode" localSheetId="9">#REF!</definedName>
    <definedName name="VendorCode" localSheetId="7">#REF!</definedName>
    <definedName name="VendorCode" localSheetId="26">#REF!</definedName>
    <definedName name="Version" localSheetId="8">[23]Data!#REF!</definedName>
    <definedName name="Version" localSheetId="15">[21]Data!#REF!</definedName>
    <definedName name="Version" localSheetId="7">[23]Data!#REF!</definedName>
    <definedName name="Version" localSheetId="4">[23]Data!#REF!</definedName>
    <definedName name="Version" localSheetId="6">[22]Data!#REF!</definedName>
    <definedName name="Version" localSheetId="2">[22]Data!#REF!</definedName>
    <definedName name="Version" localSheetId="26">[23]Data!#REF!</definedName>
    <definedName name="Version" localSheetId="3">[23]Data!#REF!</definedName>
    <definedName name="Version">[23]Data!#REF!</definedName>
    <definedName name="wrn.PrintReview." localSheetId="8"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15"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7"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4"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6"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2"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26" hidden="1">{#N/A,#N/A,TRUE,"SUMM";#N/A,#N/A,TRUE,"Rev";#N/A,#N/A,TRUE,"Dir_Costs";#N/A,#N/A,TRUE,"G and A Costs";#N/A,#N/A,TRUE,"Itemize";#N/A,#N/A,TRUE,"Cust_Count1";#N/A,#N/A,TRUE,"Cust_Count2";#N/A,#N/A,TRUE,"Rev_Breakdown";#N/A,#N/A,TRUE,"Truck Hours";#N/A,#N/A,TRUE,"Labor Hours";#N/A,#N/A,TRUE,"Container Breakdown";#N/A,#N/A,TRUE,"Cart Breakdown"}</definedName>
    <definedName name="wrn.PrintReview."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8"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15"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7"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4"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6"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2"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26" hidden="1">{#N/A,#N/A,TRUE,"SUMM";#N/A,#N/A,TRUE,"Rev";#N/A,#N/A,TRUE,"Dir_Costs";#N/A,#N/A,TRUE,"G and A Costs";#N/A,#N/A,TRUE,"Itemize";#N/A,#N/A,TRUE,"Cust_Count1";#N/A,#N/A,TRUE,"Cust_Count2";#N/A,#N/A,TRUE,"Rev_Breakdown";#N/A,#N/A,TRUE,"Truck Hours";#N/A,#N/A,TRUE,"Labor Hours";#N/A,#N/A,TRUE,"Container Breakdown";#N/A,#N/A,TRUE,"Cart Breakdown"}</definedName>
    <definedName name="wrn.PrintReview2" hidden="1">{#N/A,#N/A,TRUE,"SUMM";#N/A,#N/A,TRUE,"Rev";#N/A,#N/A,TRUE,"Dir_Costs";#N/A,#N/A,TRUE,"G and A Costs";#N/A,#N/A,TRUE,"Itemize";#N/A,#N/A,TRUE,"Cust_Count1";#N/A,#N/A,TRUE,"Cust_Count2";#N/A,#N/A,TRUE,"Rev_Breakdown";#N/A,#N/A,TRUE,"Truck Hours";#N/A,#N/A,TRUE,"Labor Hours";#N/A,#N/A,TRUE,"Container Breakdown";#N/A,#N/A,TRUE,"Cart Breakdown"}</definedName>
    <definedName name="wrn.PrnPg1_Pg11." localSheetId="8"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15"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7"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4"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6"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2"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26"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hidden="1">{"Page1",#N/A,TRUE,"SUMM";"Page2",#N/A,TRUE,"Rev";"Page3",#N/A,TRUE,"Dir_Costs";"Page4",#N/A,TRUE,"G and A Costs";"Page5",#N/A,TRUE,"Itemize";"Page6",#N/A,TRUE,"Cust_Count1";"Page7",#N/A,TRUE,"Cust_Count2";"Page8",#N/A,TRUE,"Rev_Breakdown";"Page9",#N/A,TRUE,"Truck Hours";"Page10",#N/A,TRUE,"Labor Hours";"Page11",#N/A,TRUE,"Container Breakdown"}</definedName>
    <definedName name="wrn.test." localSheetId="8" hidden="1">{"Page1",#N/A,TRUE,"SUMM";"Page2",#N/A,TRUE,"Rev";"Page3",#N/A,TRUE,"Dir_Costs"}</definedName>
    <definedName name="wrn.test." localSheetId="15" hidden="1">{"Page1",#N/A,TRUE,"SUMM";"Page2",#N/A,TRUE,"Rev";"Page3",#N/A,TRUE,"Dir_Costs"}</definedName>
    <definedName name="wrn.test." localSheetId="7" hidden="1">{"Page1",#N/A,TRUE,"SUMM";"Page2",#N/A,TRUE,"Rev";"Page3",#N/A,TRUE,"Dir_Costs"}</definedName>
    <definedName name="wrn.test." localSheetId="4" hidden="1">{"Page1",#N/A,TRUE,"SUMM";"Page2",#N/A,TRUE,"Rev";"Page3",#N/A,TRUE,"Dir_Costs"}</definedName>
    <definedName name="wrn.test." localSheetId="6" hidden="1">{"Page1",#N/A,TRUE,"SUMM";"Page2",#N/A,TRUE,"Rev";"Page3",#N/A,TRUE,"Dir_Costs"}</definedName>
    <definedName name="wrn.test." localSheetId="2" hidden="1">{"Page1",#N/A,TRUE,"SUMM";"Page2",#N/A,TRUE,"Rev";"Page3",#N/A,TRUE,"Dir_Costs"}</definedName>
    <definedName name="wrn.test." localSheetId="26" hidden="1">{"Page1",#N/A,TRUE,"SUMM";"Page2",#N/A,TRUE,"Rev";"Page3",#N/A,TRUE,"Dir_Costs"}</definedName>
    <definedName name="wrn.test." hidden="1">{"Page1",#N/A,TRUE,"SUMM";"Page2",#N/A,TRUE,"Rev";"Page3",#N/A,TRUE,"Dir_Costs"}</definedName>
    <definedName name="WTable" localSheetId="8">#REF!</definedName>
    <definedName name="WTable" localSheetId="15">#REF!</definedName>
    <definedName name="WTable" localSheetId="10">#REF!</definedName>
    <definedName name="WTable" localSheetId="9">#REF!</definedName>
    <definedName name="WTable" localSheetId="6">#REF!</definedName>
    <definedName name="WTable" localSheetId="3">#REF!</definedName>
    <definedName name="WTable" localSheetId="11">#REF!</definedName>
    <definedName name="WTable" localSheetId="1">#REF!</definedName>
    <definedName name="WTableOld" localSheetId="8">#REF!</definedName>
    <definedName name="WTableOld" localSheetId="15">#REF!</definedName>
    <definedName name="WTableOld" localSheetId="10">#REF!</definedName>
    <definedName name="WTableOld" localSheetId="9">#REF!</definedName>
    <definedName name="WTableOld" localSheetId="6">#REF!</definedName>
    <definedName name="WTableOld" localSheetId="3">#REF!</definedName>
    <definedName name="WTableOld" localSheetId="11">#REF!</definedName>
    <definedName name="WTableOld" localSheetId="1">#REF!</definedName>
    <definedName name="ww" localSheetId="15">#REF!</definedName>
    <definedName name="ww" localSheetId="6">#REF!</definedName>
    <definedName name="ww" localSheetId="3">#REF!</definedName>
    <definedName name="ww">#REF!</definedName>
    <definedName name="xperiod">[1]Orientation!$G$15</definedName>
    <definedName name="xtabin" localSheetId="8">[4]Hidden!#REF!</definedName>
    <definedName name="xtabin" localSheetId="15">[5]Hidden!#REF!</definedName>
    <definedName name="xtabin" localSheetId="7">[4]Hidden!#REF!</definedName>
    <definedName name="xtabin" localSheetId="6">[6]Hidden!#REF!</definedName>
    <definedName name="xtabin" localSheetId="2">[6]Hidden!#REF!</definedName>
    <definedName name="xtabin" localSheetId="26">[7]Hidden!#REF!</definedName>
    <definedName name="xtabin" localSheetId="1">[8]Hidden!#REF!</definedName>
    <definedName name="xtabin">[8]Hidden!#REF!</definedName>
    <definedName name="xx" localSheetId="8">#REF!</definedName>
    <definedName name="xx" localSheetId="15">#REF!</definedName>
    <definedName name="xx" localSheetId="6">#REF!</definedName>
    <definedName name="xx" localSheetId="3">#REF!</definedName>
    <definedName name="xx" localSheetId="11">#REF!</definedName>
    <definedName name="xx" localSheetId="1">#REF!</definedName>
    <definedName name="xx">#REF!</definedName>
    <definedName name="xxx" localSheetId="15">#REF!</definedName>
    <definedName name="xxx" localSheetId="6">#REF!</definedName>
    <definedName name="xxx" localSheetId="3">#REF!</definedName>
    <definedName name="xxx">#REF!</definedName>
    <definedName name="xxxx" localSheetId="15">#REF!</definedName>
    <definedName name="xxxx" localSheetId="6">#REF!</definedName>
    <definedName name="xxxx" localSheetId="3">#REF!</definedName>
    <definedName name="xxxx">#REF!</definedName>
    <definedName name="YearMonth" localSheetId="0">'2010_IS'!$A$3</definedName>
    <definedName name="YearMonth" localSheetId="25">'9.30.16 BS'!$D$9</definedName>
    <definedName name="YearMonth" localSheetId="24">'9.30.17 BS'!$D$9</definedName>
    <definedName name="YearMonth" localSheetId="8">'[24]Yakima BS'!#REF!</definedName>
    <definedName name="YearMonth" localSheetId="15">'[25]Vashon BS'!#REF!</definedName>
    <definedName name="YearMonth" localSheetId="7">'[24]Yakima BS'!#REF!</definedName>
    <definedName name="YearMonth" localSheetId="4">'[26]Vashon BS'!#REF!</definedName>
    <definedName name="YearMonth" localSheetId="6">'[27]Vashon BS'!#REF!</definedName>
    <definedName name="YearMonth" localSheetId="2">'[27]Vashon BS'!#REF!</definedName>
    <definedName name="YearMonth" localSheetId="26">'[28]Vashon BS'!#REF!</definedName>
    <definedName name="YearMonth" localSheetId="22">'Region OH Calc'!$D$8</definedName>
    <definedName name="YearMonth" localSheetId="3">'[26]Vashon BS'!#REF!</definedName>
    <definedName name="YearMonth">'[24]Yakima BS'!#REF!</definedName>
    <definedName name="YWMedWasteDisp">#N/A</definedName>
    <definedName name="yy" localSheetId="8">#REF!</definedName>
    <definedName name="yy" localSheetId="15">#REF!</definedName>
    <definedName name="yy" localSheetId="7">#REF!</definedName>
    <definedName name="yy" localSheetId="6">#REF!</definedName>
    <definedName name="yy" localSheetId="3">#REF!</definedName>
    <definedName name="yy">#REF!</definedName>
  </definedNames>
  <calcPr calcId="145621" concurrentManualCount="4"/>
  <pivotCaches>
    <pivotCache cacheId="0" r:id="rId86"/>
    <pivotCache cacheId="1" r:id="rId87"/>
    <pivotCache cacheId="2" r:id="rId88"/>
    <pivotCache cacheId="3" r:id="rId89"/>
  </pivotCaches>
</workbook>
</file>

<file path=xl/calcChain.xml><?xml version="1.0" encoding="utf-8"?>
<calcChain xmlns="http://schemas.openxmlformats.org/spreadsheetml/2006/main">
  <c r="C118" i="19" l="1"/>
  <c r="C192" i="19"/>
  <c r="D205" i="14" l="1"/>
  <c r="D206" i="14"/>
  <c r="D207" i="14"/>
  <c r="D208" i="14"/>
  <c r="D209" i="14"/>
  <c r="D210" i="14"/>
  <c r="D211" i="14"/>
  <c r="D204" i="14"/>
  <c r="H159" i="14" l="1"/>
  <c r="H158" i="14"/>
  <c r="H157" i="14"/>
  <c r="H156" i="14"/>
  <c r="H155" i="14"/>
  <c r="H154" i="14"/>
  <c r="H152" i="14"/>
  <c r="H151" i="14"/>
  <c r="D315" i="14"/>
  <c r="D312" i="14"/>
  <c r="D293" i="14"/>
  <c r="D292" i="14"/>
  <c r="D291" i="14"/>
  <c r="D290" i="14"/>
  <c r="D278" i="14"/>
  <c r="D279" i="14"/>
  <c r="D280" i="14"/>
  <c r="D277" i="14"/>
  <c r="D274" i="14"/>
  <c r="D273" i="14"/>
  <c r="D272" i="14"/>
  <c r="D271" i="14"/>
  <c r="D260" i="14"/>
  <c r="D259" i="14"/>
  <c r="D257" i="14"/>
  <c r="D254" i="14"/>
  <c r="D184" i="14"/>
  <c r="D185" i="14"/>
  <c r="D186" i="14"/>
  <c r="D187" i="14"/>
  <c r="D188" i="14"/>
  <c r="D189" i="14"/>
  <c r="D190" i="14"/>
  <c r="D183" i="14"/>
  <c r="D174" i="14"/>
  <c r="D175" i="14"/>
  <c r="D176" i="14"/>
  <c r="D177" i="14"/>
  <c r="D178" i="14"/>
  <c r="D179" i="14"/>
  <c r="D180" i="14"/>
  <c r="D173" i="14"/>
  <c r="D150" i="14"/>
  <c r="H150" i="14" s="1"/>
  <c r="D153" i="14"/>
  <c r="H153" i="14" s="1"/>
  <c r="D149" i="14"/>
  <c r="H149" i="14" s="1"/>
  <c r="D140" i="14"/>
  <c r="D139" i="14"/>
  <c r="D138" i="14"/>
  <c r="D124" i="14" l="1"/>
  <c r="D125" i="14"/>
  <c r="D126" i="14"/>
  <c r="D127" i="14"/>
  <c r="D128" i="14"/>
  <c r="D129" i="14"/>
  <c r="D123" i="14"/>
  <c r="D85" i="14"/>
  <c r="D86" i="14"/>
  <c r="D84" i="14"/>
  <c r="D77" i="14"/>
  <c r="D78" i="14"/>
  <c r="D79" i="14"/>
  <c r="D80" i="14"/>
  <c r="D81" i="14"/>
  <c r="D76" i="14"/>
  <c r="D60" i="14"/>
  <c r="D61" i="14"/>
  <c r="D62" i="14"/>
  <c r="D63" i="14"/>
  <c r="D64" i="14"/>
  <c r="D65" i="14"/>
  <c r="D66" i="14"/>
  <c r="D67" i="14"/>
  <c r="D68" i="14"/>
  <c r="D69" i="14"/>
  <c r="D70" i="14"/>
  <c r="D71" i="14"/>
  <c r="D72" i="14"/>
  <c r="D59" i="14"/>
  <c r="D20" i="14"/>
  <c r="C32" i="19" l="1"/>
  <c r="C42" i="19" l="1"/>
  <c r="C41" i="19"/>
  <c r="B1" i="6"/>
  <c r="N11" i="25" l="1"/>
  <c r="B19" i="8"/>
  <c r="B32" i="8"/>
  <c r="B29" i="8"/>
  <c r="D36" i="7"/>
  <c r="D84" i="1"/>
  <c r="E84" i="1" s="1"/>
  <c r="B49" i="7"/>
  <c r="D34" i="1"/>
  <c r="D33" i="1" s="1"/>
  <c r="B40" i="7"/>
  <c r="B54" i="7"/>
  <c r="D182" i="1" s="1"/>
  <c r="H182" i="1" s="1"/>
  <c r="D83" i="1" l="1"/>
  <c r="H84" i="1"/>
  <c r="H34" i="1"/>
  <c r="K34" i="1" s="1"/>
  <c r="E34" i="1"/>
  <c r="E182" i="1"/>
  <c r="J182" i="1"/>
  <c r="N182" i="1" s="1"/>
  <c r="K182" i="1"/>
  <c r="F46" i="26"/>
  <c r="F49" i="26"/>
  <c r="F48" i="26"/>
  <c r="F47" i="26"/>
  <c r="F45" i="26"/>
  <c r="F44" i="26"/>
  <c r="E46" i="26"/>
  <c r="E49" i="26"/>
  <c r="E48" i="26"/>
  <c r="E47" i="26"/>
  <c r="E45" i="26"/>
  <c r="E44" i="26"/>
  <c r="C49" i="26"/>
  <c r="C48" i="26"/>
  <c r="C47" i="26"/>
  <c r="C45" i="26"/>
  <c r="C44" i="26"/>
  <c r="B49" i="26"/>
  <c r="B48" i="26"/>
  <c r="B47" i="26"/>
  <c r="B46" i="26"/>
  <c r="B45" i="26"/>
  <c r="B44" i="26"/>
  <c r="F38" i="26"/>
  <c r="F37" i="26"/>
  <c r="F36" i="26"/>
  <c r="F35" i="26"/>
  <c r="F34" i="26"/>
  <c r="F33" i="26"/>
  <c r="F32" i="26"/>
  <c r="F31" i="26"/>
  <c r="F30" i="26"/>
  <c r="F29" i="26"/>
  <c r="F28" i="26"/>
  <c r="F27" i="26"/>
  <c r="F26" i="26"/>
  <c r="E38" i="26"/>
  <c r="E37" i="26"/>
  <c r="E36" i="26"/>
  <c r="E35" i="26"/>
  <c r="E34" i="26"/>
  <c r="E33" i="26"/>
  <c r="E32" i="26"/>
  <c r="E31" i="26"/>
  <c r="E30" i="26"/>
  <c r="E29" i="26"/>
  <c r="E28" i="26"/>
  <c r="E27" i="26"/>
  <c r="E26" i="26"/>
  <c r="D27" i="26"/>
  <c r="D28" i="26"/>
  <c r="D29" i="26"/>
  <c r="D30" i="26"/>
  <c r="D31" i="26"/>
  <c r="D32" i="26"/>
  <c r="D33" i="26"/>
  <c r="D34" i="26"/>
  <c r="D35" i="26"/>
  <c r="D36" i="26"/>
  <c r="D37" i="26"/>
  <c r="D38" i="26"/>
  <c r="C27" i="26"/>
  <c r="C28" i="26"/>
  <c r="C29" i="26"/>
  <c r="C30" i="26"/>
  <c r="C31" i="26"/>
  <c r="C32" i="26"/>
  <c r="C33" i="26"/>
  <c r="C34" i="26"/>
  <c r="C35" i="26"/>
  <c r="C36" i="26"/>
  <c r="C37" i="26"/>
  <c r="C38" i="26"/>
  <c r="C26" i="26"/>
  <c r="B39" i="26"/>
  <c r="B38" i="26"/>
  <c r="B37" i="26"/>
  <c r="B36" i="26"/>
  <c r="B35" i="26"/>
  <c r="B34" i="26"/>
  <c r="B33" i="26"/>
  <c r="B32" i="26"/>
  <c r="B31" i="26"/>
  <c r="B30" i="26"/>
  <c r="B29" i="26"/>
  <c r="B28" i="26"/>
  <c r="B27" i="26"/>
  <c r="B20" i="26"/>
  <c r="C20" i="26" s="1"/>
  <c r="B19" i="26"/>
  <c r="C19" i="26" s="1"/>
  <c r="B18" i="26"/>
  <c r="B17" i="26"/>
  <c r="B16" i="26"/>
  <c r="B15" i="26"/>
  <c r="B14" i="26"/>
  <c r="B13" i="26"/>
  <c r="B12" i="26"/>
  <c r="B11" i="26"/>
  <c r="B10" i="26"/>
  <c r="B9" i="26"/>
  <c r="C9" i="26" s="1"/>
  <c r="B26" i="26"/>
  <c r="C10" i="26"/>
  <c r="C11" i="26"/>
  <c r="C12" i="26"/>
  <c r="C13" i="26"/>
  <c r="C14" i="26"/>
  <c r="C15" i="26"/>
  <c r="C16" i="26"/>
  <c r="C17" i="26"/>
  <c r="C18" i="26"/>
  <c r="C8" i="26"/>
  <c r="D20" i="26"/>
  <c r="D19" i="26"/>
  <c r="D18" i="26"/>
  <c r="D17" i="26"/>
  <c r="D16" i="26"/>
  <c r="D15" i="26"/>
  <c r="D14" i="26"/>
  <c r="D13" i="26"/>
  <c r="D12" i="26"/>
  <c r="D11" i="26"/>
  <c r="D8" i="26"/>
  <c r="D9" i="26"/>
  <c r="D10" i="26"/>
  <c r="B8" i="26"/>
  <c r="AA353" i="37"/>
  <c r="AC353" i="37" s="1"/>
  <c r="AF353" i="37" s="1"/>
  <c r="R353" i="37"/>
  <c r="T353" i="37"/>
  <c r="S353" i="37"/>
  <c r="U353" i="37" s="1"/>
  <c r="R352" i="37"/>
  <c r="T352" i="37"/>
  <c r="S352" i="37"/>
  <c r="U352" i="37" s="1"/>
  <c r="R351" i="37"/>
  <c r="T351" i="37"/>
  <c r="S351" i="37"/>
  <c r="U351" i="37" s="1"/>
  <c r="AA350" i="37"/>
  <c r="AC350" i="37" s="1"/>
  <c r="AF350" i="37" s="1"/>
  <c r="R350" i="37"/>
  <c r="T350" i="37"/>
  <c r="S350" i="37"/>
  <c r="R349" i="37"/>
  <c r="T349" i="37"/>
  <c r="S349" i="37"/>
  <c r="R348" i="37"/>
  <c r="T348" i="37"/>
  <c r="S348" i="37"/>
  <c r="R347" i="37"/>
  <c r="T347" i="37"/>
  <c r="S347" i="37"/>
  <c r="AA346" i="37"/>
  <c r="AC346" i="37" s="1"/>
  <c r="AF346" i="37" s="1"/>
  <c r="R346" i="37"/>
  <c r="T346" i="37"/>
  <c r="S346" i="37"/>
  <c r="AA345" i="37"/>
  <c r="AC345" i="37" s="1"/>
  <c r="AF345" i="37" s="1"/>
  <c r="T345" i="37"/>
  <c r="R345" i="37"/>
  <c r="S345" i="37"/>
  <c r="U345" i="37" s="1"/>
  <c r="AA344" i="37"/>
  <c r="AC344" i="37" s="1"/>
  <c r="AF344" i="37" s="1"/>
  <c r="R344" i="37"/>
  <c r="T344" i="37"/>
  <c r="S344" i="37"/>
  <c r="U344" i="37" s="1"/>
  <c r="R343" i="37"/>
  <c r="T343" i="37"/>
  <c r="S343" i="37"/>
  <c r="U343" i="37" s="1"/>
  <c r="AA342" i="37"/>
  <c r="AC342" i="37" s="1"/>
  <c r="AF342" i="37" s="1"/>
  <c r="Q355" i="37"/>
  <c r="P355" i="37"/>
  <c r="O355" i="37"/>
  <c r="N355" i="37"/>
  <c r="M355" i="37"/>
  <c r="L355" i="37"/>
  <c r="K355" i="37"/>
  <c r="J355" i="37"/>
  <c r="I355" i="37"/>
  <c r="H355" i="37"/>
  <c r="S342" i="37"/>
  <c r="AA336" i="37"/>
  <c r="AC336" i="37"/>
  <c r="AF336" i="37" s="1"/>
  <c r="T336" i="37"/>
  <c r="S336" i="37"/>
  <c r="U336" i="37" s="1"/>
  <c r="R335" i="37"/>
  <c r="T335" i="37"/>
  <c r="S335" i="37"/>
  <c r="U335" i="37" s="1"/>
  <c r="R334" i="37"/>
  <c r="T334" i="37"/>
  <c r="S334" i="37"/>
  <c r="U334" i="37" s="1"/>
  <c r="R333" i="37"/>
  <c r="T333" i="37"/>
  <c r="S333" i="37"/>
  <c r="U333" i="37" s="1"/>
  <c r="R332" i="37"/>
  <c r="T332" i="37"/>
  <c r="S332" i="37"/>
  <c r="U332" i="37" s="1"/>
  <c r="R331" i="37"/>
  <c r="T331" i="37"/>
  <c r="S331" i="37"/>
  <c r="U331" i="37" s="1"/>
  <c r="R330" i="37"/>
  <c r="T330" i="37"/>
  <c r="S330" i="37"/>
  <c r="U330" i="37" s="1"/>
  <c r="AA329" i="37"/>
  <c r="R329" i="37"/>
  <c r="T329" i="37"/>
  <c r="T328" i="37"/>
  <c r="R327" i="37"/>
  <c r="T327" i="37"/>
  <c r="R326" i="37"/>
  <c r="T326" i="37"/>
  <c r="T325" i="37"/>
  <c r="R324" i="37"/>
  <c r="T324" i="37"/>
  <c r="S324" i="37"/>
  <c r="U324" i="37" s="1"/>
  <c r="AA323" i="37"/>
  <c r="T323" i="37"/>
  <c r="R323" i="37"/>
  <c r="S323" i="37"/>
  <c r="U323" i="37" s="1"/>
  <c r="AA322" i="37"/>
  <c r="AC322" i="37" s="1"/>
  <c r="AF322" i="37" s="1"/>
  <c r="R322" i="37"/>
  <c r="T322" i="37"/>
  <c r="S322" i="37"/>
  <c r="U322" i="37" s="1"/>
  <c r="R321" i="37"/>
  <c r="T321" i="37"/>
  <c r="S321" i="37"/>
  <c r="U321" i="37" s="1"/>
  <c r="T320" i="37"/>
  <c r="S320" i="37"/>
  <c r="U320" i="37" s="1"/>
  <c r="T319" i="37"/>
  <c r="S319" i="37"/>
  <c r="U319" i="37" s="1"/>
  <c r="T318" i="37"/>
  <c r="S318" i="37"/>
  <c r="U318" i="37" s="1"/>
  <c r="T317" i="37"/>
  <c r="S317" i="37"/>
  <c r="U317" i="37" s="1"/>
  <c r="T316" i="37"/>
  <c r="S316" i="37"/>
  <c r="U316" i="37" s="1"/>
  <c r="AA315" i="37"/>
  <c r="AC315" i="37" s="1"/>
  <c r="AF315" i="37" s="1"/>
  <c r="R315" i="37"/>
  <c r="T315" i="37"/>
  <c r="S315" i="37"/>
  <c r="T314" i="37"/>
  <c r="S314" i="37"/>
  <c r="T313" i="37"/>
  <c r="S313" i="37"/>
  <c r="T312" i="37"/>
  <c r="S312" i="37"/>
  <c r="T311" i="37"/>
  <c r="S311" i="37"/>
  <c r="T310" i="37"/>
  <c r="S310" i="37"/>
  <c r="T309" i="37"/>
  <c r="S309" i="37"/>
  <c r="T308" i="37"/>
  <c r="S308" i="37"/>
  <c r="T307" i="37"/>
  <c r="S307" i="37"/>
  <c r="AA306" i="37"/>
  <c r="AC306" i="37" s="1"/>
  <c r="AF306" i="37" s="1"/>
  <c r="R306" i="37"/>
  <c r="T306" i="37"/>
  <c r="S306" i="37"/>
  <c r="AA305" i="37"/>
  <c r="T305" i="37"/>
  <c r="R305" i="37"/>
  <c r="S305" i="37"/>
  <c r="U305" i="37" s="1"/>
  <c r="T304" i="37"/>
  <c r="R304" i="37"/>
  <c r="T303" i="37"/>
  <c r="R303" i="37"/>
  <c r="T302" i="37"/>
  <c r="R302" i="37"/>
  <c r="T301" i="37"/>
  <c r="R301" i="37"/>
  <c r="T300" i="37"/>
  <c r="R300" i="37"/>
  <c r="T299" i="37"/>
  <c r="R299" i="37"/>
  <c r="T298" i="37"/>
  <c r="R298" i="37"/>
  <c r="T297" i="37"/>
  <c r="R297" i="37"/>
  <c r="T296" i="37"/>
  <c r="R296" i="37"/>
  <c r="AA295" i="37"/>
  <c r="AC295" i="37" s="1"/>
  <c r="AF295" i="37" s="1"/>
  <c r="R295" i="37"/>
  <c r="T295" i="37"/>
  <c r="AF294" i="37"/>
  <c r="AA294" i="37"/>
  <c r="AC294" i="37" s="1"/>
  <c r="R294" i="37"/>
  <c r="T294" i="37"/>
  <c r="S294" i="37"/>
  <c r="AA293" i="37"/>
  <c r="S293" i="37"/>
  <c r="R292" i="37"/>
  <c r="T292" i="37"/>
  <c r="S292" i="37"/>
  <c r="U292" i="37" s="1"/>
  <c r="AC291" i="37"/>
  <c r="AF291" i="37" s="1"/>
  <c r="AA291" i="37"/>
  <c r="T291" i="37"/>
  <c r="R291" i="37"/>
  <c r="AA290" i="37"/>
  <c r="AC290" i="37" s="1"/>
  <c r="AF290" i="37" s="1"/>
  <c r="R290" i="37"/>
  <c r="T290" i="37"/>
  <c r="S290" i="37"/>
  <c r="U290" i="37" s="1"/>
  <c r="R289" i="37"/>
  <c r="T289" i="37"/>
  <c r="R288" i="37"/>
  <c r="T288" i="37"/>
  <c r="T287" i="37"/>
  <c r="R287" i="37"/>
  <c r="T286" i="37"/>
  <c r="R286" i="37"/>
  <c r="S286" i="37"/>
  <c r="U286" i="37" s="1"/>
  <c r="R285" i="37"/>
  <c r="T285" i="37"/>
  <c r="R284" i="37"/>
  <c r="T284" i="37"/>
  <c r="R283" i="37"/>
  <c r="T283" i="37"/>
  <c r="S283" i="37"/>
  <c r="R282" i="37"/>
  <c r="T282" i="37"/>
  <c r="S282" i="37"/>
  <c r="T281" i="37"/>
  <c r="R281" i="37"/>
  <c r="S281" i="37"/>
  <c r="U281" i="37" s="1"/>
  <c r="AA280" i="37"/>
  <c r="AC280" i="37" s="1"/>
  <c r="AF280" i="37" s="1"/>
  <c r="R280" i="37"/>
  <c r="T280" i="37"/>
  <c r="S280" i="37"/>
  <c r="AA279" i="37"/>
  <c r="T279" i="37"/>
  <c r="R279" i="37"/>
  <c r="S279" i="37"/>
  <c r="U279" i="37" s="1"/>
  <c r="T278" i="37"/>
  <c r="R278" i="37"/>
  <c r="S278" i="37"/>
  <c r="U278" i="37" s="1"/>
  <c r="T277" i="37"/>
  <c r="P338" i="37"/>
  <c r="O338" i="37"/>
  <c r="L338" i="37"/>
  <c r="K338" i="37"/>
  <c r="H338" i="37"/>
  <c r="G338" i="37"/>
  <c r="AA269" i="37"/>
  <c r="AC269" i="37" s="1"/>
  <c r="AF269" i="37" s="1"/>
  <c r="R269" i="37"/>
  <c r="T269" i="37"/>
  <c r="S269" i="37"/>
  <c r="U269" i="37" s="1"/>
  <c r="AA268" i="37"/>
  <c r="AC268" i="37" s="1"/>
  <c r="AF268" i="37" s="1"/>
  <c r="R268" i="37"/>
  <c r="T268" i="37"/>
  <c r="S268" i="37"/>
  <c r="U268" i="37" s="1"/>
  <c r="AA267" i="37"/>
  <c r="T267" i="37"/>
  <c r="R267" i="37"/>
  <c r="S267" i="37"/>
  <c r="U267" i="37" s="1"/>
  <c r="AA266" i="37"/>
  <c r="AC266" i="37" s="1"/>
  <c r="AF266" i="37" s="1"/>
  <c r="R266" i="37"/>
  <c r="T266" i="37"/>
  <c r="S266" i="37"/>
  <c r="AA265" i="37"/>
  <c r="AC265" i="37" s="1"/>
  <c r="AF265" i="37" s="1"/>
  <c r="R265" i="37"/>
  <c r="T265" i="37"/>
  <c r="S265" i="37"/>
  <c r="U265" i="37" s="1"/>
  <c r="T264" i="37"/>
  <c r="S264" i="37"/>
  <c r="U264" i="37" s="1"/>
  <c r="R263" i="37"/>
  <c r="T263" i="37"/>
  <c r="S263" i="37"/>
  <c r="U263" i="37" s="1"/>
  <c r="AA262" i="37"/>
  <c r="R262" i="37"/>
  <c r="T262" i="37"/>
  <c r="S262" i="37"/>
  <c r="U262" i="37" s="1"/>
  <c r="R261" i="37"/>
  <c r="T261" i="37"/>
  <c r="S261" i="37"/>
  <c r="U261" i="37" s="1"/>
  <c r="R260" i="37"/>
  <c r="T260" i="37"/>
  <c r="S260" i="37"/>
  <c r="U260" i="37" s="1"/>
  <c r="AA259" i="37"/>
  <c r="AC259" i="37" s="1"/>
  <c r="AF259" i="37" s="1"/>
  <c r="R259" i="37"/>
  <c r="T259" i="37"/>
  <c r="S259" i="37"/>
  <c r="T258" i="37"/>
  <c r="S258" i="37"/>
  <c r="T257" i="37"/>
  <c r="S257" i="37"/>
  <c r="Y271" i="37"/>
  <c r="Q271" i="37"/>
  <c r="P271" i="37"/>
  <c r="O271" i="37"/>
  <c r="N271" i="37"/>
  <c r="M271" i="37"/>
  <c r="K271" i="37"/>
  <c r="J271" i="37"/>
  <c r="I271" i="37"/>
  <c r="H271" i="37"/>
  <c r="G271" i="37"/>
  <c r="Y253" i="37"/>
  <c r="O253" i="37"/>
  <c r="N253" i="37"/>
  <c r="K253" i="37"/>
  <c r="J253" i="37"/>
  <c r="Q253" i="37"/>
  <c r="P253" i="37"/>
  <c r="M253" i="37"/>
  <c r="L253" i="37"/>
  <c r="I253" i="37"/>
  <c r="H253" i="37"/>
  <c r="S251" i="37"/>
  <c r="AA245" i="37"/>
  <c r="AC245" i="37" s="1"/>
  <c r="AF245" i="37" s="1"/>
  <c r="R245" i="37"/>
  <c r="T245" i="37"/>
  <c r="S245" i="37"/>
  <c r="R244" i="37"/>
  <c r="T244" i="37"/>
  <c r="S244" i="37"/>
  <c r="R243" i="37"/>
  <c r="T243" i="37"/>
  <c r="S243" i="37"/>
  <c r="R242" i="37"/>
  <c r="T242" i="37"/>
  <c r="S242" i="37"/>
  <c r="R241" i="37"/>
  <c r="T241" i="37"/>
  <c r="S241" i="37"/>
  <c r="AA240" i="37"/>
  <c r="AC240" i="37" s="1"/>
  <c r="AF240" i="37" s="1"/>
  <c r="R240" i="37"/>
  <c r="T240" i="37"/>
  <c r="S240" i="37"/>
  <c r="U240" i="37" s="1"/>
  <c r="R238" i="37"/>
  <c r="S238" i="37"/>
  <c r="R237" i="37"/>
  <c r="S237" i="37"/>
  <c r="R236" i="37"/>
  <c r="S236" i="37"/>
  <c r="R235" i="37"/>
  <c r="S235" i="37"/>
  <c r="R234" i="37"/>
  <c r="R233" i="37"/>
  <c r="T233" i="37"/>
  <c r="T232" i="37"/>
  <c r="R232" i="37"/>
  <c r="T231" i="37"/>
  <c r="R231" i="37"/>
  <c r="S231" i="37"/>
  <c r="U231" i="37" s="1"/>
  <c r="R230" i="37"/>
  <c r="T230" i="37"/>
  <c r="S230" i="37"/>
  <c r="U230" i="37" s="1"/>
  <c r="R229" i="37"/>
  <c r="T229" i="37"/>
  <c r="S229" i="37"/>
  <c r="U229" i="37" s="1"/>
  <c r="R228" i="37"/>
  <c r="T228" i="37"/>
  <c r="S228" i="37"/>
  <c r="U228" i="37" s="1"/>
  <c r="R227" i="37"/>
  <c r="T227" i="37"/>
  <c r="S227" i="37"/>
  <c r="U227" i="37" s="1"/>
  <c r="R226" i="37"/>
  <c r="T226" i="37"/>
  <c r="S226" i="37"/>
  <c r="U226" i="37" s="1"/>
  <c r="AA225" i="37"/>
  <c r="Q248" i="37"/>
  <c r="P248" i="37"/>
  <c r="N248" i="37"/>
  <c r="M248" i="37"/>
  <c r="L248" i="37"/>
  <c r="J248" i="37"/>
  <c r="I248" i="37"/>
  <c r="H248" i="37"/>
  <c r="AA218" i="37"/>
  <c r="AC218" i="37" s="1"/>
  <c r="AF218" i="37" s="1"/>
  <c r="R218" i="37"/>
  <c r="T218" i="37"/>
  <c r="S218" i="37"/>
  <c r="T217" i="37"/>
  <c r="Q220" i="37"/>
  <c r="P220" i="37"/>
  <c r="O220" i="37"/>
  <c r="N220" i="37"/>
  <c r="M220" i="37"/>
  <c r="R217" i="37"/>
  <c r="R220" i="37" s="1"/>
  <c r="K220" i="37"/>
  <c r="J220" i="37"/>
  <c r="I220" i="37"/>
  <c r="H220" i="37"/>
  <c r="G220" i="37"/>
  <c r="Q214" i="37"/>
  <c r="N214" i="37"/>
  <c r="M214" i="37"/>
  <c r="I214" i="37"/>
  <c r="Y214" i="37"/>
  <c r="T212" i="37"/>
  <c r="T214" i="37" s="1"/>
  <c r="P214" i="37"/>
  <c r="O214" i="37"/>
  <c r="L214" i="37"/>
  <c r="K214" i="37"/>
  <c r="J214" i="37"/>
  <c r="H214" i="37"/>
  <c r="S212" i="37"/>
  <c r="AA207" i="37"/>
  <c r="AC207" i="37" s="1"/>
  <c r="AF207" i="37" s="1"/>
  <c r="R207" i="37"/>
  <c r="T207" i="37"/>
  <c r="S207" i="37"/>
  <c r="U207" i="37" s="1"/>
  <c r="AA206" i="37"/>
  <c r="AC206" i="37" s="1"/>
  <c r="AF206" i="37" s="1"/>
  <c r="R206" i="37"/>
  <c r="T206" i="37"/>
  <c r="S206" i="37"/>
  <c r="AA205" i="37"/>
  <c r="AC205" i="37" s="1"/>
  <c r="AF205" i="37" s="1"/>
  <c r="R205" i="37"/>
  <c r="T205" i="37"/>
  <c r="S205" i="37"/>
  <c r="T204" i="37"/>
  <c r="S204" i="37"/>
  <c r="U204" i="37" s="1"/>
  <c r="AA203" i="37"/>
  <c r="AC203" i="37" s="1"/>
  <c r="AF203" i="37" s="1"/>
  <c r="R203" i="37"/>
  <c r="T203" i="37"/>
  <c r="S203" i="37"/>
  <c r="U203" i="37" s="1"/>
  <c r="T202" i="37"/>
  <c r="S202" i="37"/>
  <c r="AA201" i="37"/>
  <c r="AC201" i="37" s="1"/>
  <c r="AF201" i="37" s="1"/>
  <c r="R201" i="37"/>
  <c r="T201" i="37"/>
  <c r="S201" i="37"/>
  <c r="U201" i="37" s="1"/>
  <c r="AA200" i="37"/>
  <c r="R200" i="37"/>
  <c r="T200" i="37"/>
  <c r="S200" i="37"/>
  <c r="AA199" i="37"/>
  <c r="AC199" i="37" s="1"/>
  <c r="AF199" i="37" s="1"/>
  <c r="R199" i="37"/>
  <c r="T199" i="37"/>
  <c r="S199" i="37"/>
  <c r="AA198" i="37"/>
  <c r="AC198" i="37" s="1"/>
  <c r="AF198" i="37" s="1"/>
  <c r="R198" i="37"/>
  <c r="T198" i="37"/>
  <c r="S198" i="37"/>
  <c r="R197" i="37"/>
  <c r="T197" i="37"/>
  <c r="S197" i="37"/>
  <c r="R196" i="37"/>
  <c r="T196" i="37"/>
  <c r="S196" i="37"/>
  <c r="AA195" i="37"/>
  <c r="R195" i="37"/>
  <c r="T195" i="37"/>
  <c r="S195" i="37"/>
  <c r="AA194" i="37"/>
  <c r="AC194" i="37" s="1"/>
  <c r="AF194" i="37" s="1"/>
  <c r="R194" i="37"/>
  <c r="T194" i="37"/>
  <c r="S194" i="37"/>
  <c r="U194" i="37" s="1"/>
  <c r="AA193" i="37"/>
  <c r="AC193" i="37" s="1"/>
  <c r="AF193" i="37" s="1"/>
  <c r="R193" i="37"/>
  <c r="T193" i="37"/>
  <c r="S193" i="37"/>
  <c r="U193" i="37" s="1"/>
  <c r="AA192" i="37"/>
  <c r="T192" i="37"/>
  <c r="R192" i="37"/>
  <c r="S192" i="37"/>
  <c r="U192" i="37" s="1"/>
  <c r="AA191" i="37"/>
  <c r="R191" i="37"/>
  <c r="T191" i="37"/>
  <c r="AA190" i="37"/>
  <c r="S190" i="37"/>
  <c r="AA189" i="37"/>
  <c r="T189" i="37"/>
  <c r="R189" i="37"/>
  <c r="AA188" i="37"/>
  <c r="R188" i="37"/>
  <c r="T188" i="37"/>
  <c r="AA187" i="37"/>
  <c r="R187" i="37"/>
  <c r="T187" i="37"/>
  <c r="R186" i="37"/>
  <c r="AA185" i="37"/>
  <c r="AC185" i="37" s="1"/>
  <c r="AF185" i="37" s="1"/>
  <c r="R185" i="37"/>
  <c r="T185" i="37"/>
  <c r="S185" i="37"/>
  <c r="U185" i="37" s="1"/>
  <c r="R184" i="37"/>
  <c r="T184" i="37"/>
  <c r="S184" i="37"/>
  <c r="U184" i="37" s="1"/>
  <c r="AA183" i="37"/>
  <c r="AC183" i="37" s="1"/>
  <c r="AF183" i="37" s="1"/>
  <c r="R183" i="37"/>
  <c r="T183" i="37"/>
  <c r="S183" i="37"/>
  <c r="Y209" i="37"/>
  <c r="Q209" i="37"/>
  <c r="P209" i="37"/>
  <c r="O209" i="37"/>
  <c r="N209" i="37"/>
  <c r="M209" i="37"/>
  <c r="K209" i="37"/>
  <c r="J209" i="37"/>
  <c r="I209" i="37"/>
  <c r="G209" i="37"/>
  <c r="T177" i="37"/>
  <c r="S177" i="37"/>
  <c r="U177" i="37" s="1"/>
  <c r="T176" i="37"/>
  <c r="S176" i="37"/>
  <c r="U176" i="37" s="1"/>
  <c r="T175" i="37"/>
  <c r="S175" i="37"/>
  <c r="U175" i="37" s="1"/>
  <c r="T174" i="37"/>
  <c r="S174" i="37"/>
  <c r="U174" i="37" s="1"/>
  <c r="T173" i="37"/>
  <c r="S173" i="37"/>
  <c r="U173" i="37" s="1"/>
  <c r="T172" i="37"/>
  <c r="R172" i="37"/>
  <c r="S172" i="37"/>
  <c r="U172" i="37" s="1"/>
  <c r="T171" i="37"/>
  <c r="R171" i="37"/>
  <c r="S171" i="37"/>
  <c r="U171" i="37" s="1"/>
  <c r="T170" i="37"/>
  <c r="R170" i="37"/>
  <c r="S170" i="37"/>
  <c r="U170" i="37" s="1"/>
  <c r="T169" i="37"/>
  <c r="R169" i="37"/>
  <c r="S169" i="37"/>
  <c r="U169" i="37" s="1"/>
  <c r="T168" i="37"/>
  <c r="T179" i="37" s="1"/>
  <c r="Q179" i="37"/>
  <c r="P179" i="37"/>
  <c r="O179" i="37"/>
  <c r="N179" i="37"/>
  <c r="M179" i="37"/>
  <c r="R168" i="37"/>
  <c r="K179" i="37"/>
  <c r="J179" i="37"/>
  <c r="I179" i="37"/>
  <c r="H179" i="37"/>
  <c r="G179" i="37"/>
  <c r="Q165" i="37"/>
  <c r="P165" i="37"/>
  <c r="M165" i="37"/>
  <c r="L165" i="37"/>
  <c r="I165" i="37"/>
  <c r="H165" i="37"/>
  <c r="R163" i="37"/>
  <c r="T163" i="37"/>
  <c r="S163" i="37"/>
  <c r="U163" i="37" s="1"/>
  <c r="O165" i="37"/>
  <c r="N165" i="37"/>
  <c r="R162" i="37"/>
  <c r="R165" i="37" s="1"/>
  <c r="T162" i="37"/>
  <c r="T165" i="37" s="1"/>
  <c r="J165" i="37"/>
  <c r="S162" i="37"/>
  <c r="Q159" i="37"/>
  <c r="M159" i="37"/>
  <c r="R157" i="37"/>
  <c r="T157" i="37"/>
  <c r="S157" i="37"/>
  <c r="U157" i="37" s="1"/>
  <c r="R156" i="37"/>
  <c r="T156" i="37"/>
  <c r="S156" i="37"/>
  <c r="U156" i="37" s="1"/>
  <c r="R155" i="37"/>
  <c r="T155" i="37"/>
  <c r="S155" i="37"/>
  <c r="U155" i="37" s="1"/>
  <c r="Z159" i="37"/>
  <c r="P159" i="37"/>
  <c r="O159" i="37"/>
  <c r="N159" i="37"/>
  <c r="L159" i="37"/>
  <c r="T154" i="37"/>
  <c r="T159" i="37" s="1"/>
  <c r="J159" i="37"/>
  <c r="I159" i="37"/>
  <c r="H159" i="37"/>
  <c r="S154" i="37"/>
  <c r="AA149" i="37"/>
  <c r="AC149" i="37" s="1"/>
  <c r="AF149" i="37" s="1"/>
  <c r="R149" i="37"/>
  <c r="T149" i="37"/>
  <c r="S149" i="37"/>
  <c r="U149" i="37" s="1"/>
  <c r="R148" i="37"/>
  <c r="T148" i="37"/>
  <c r="S148" i="37"/>
  <c r="U148" i="37" s="1"/>
  <c r="R147" i="37"/>
  <c r="T147" i="37"/>
  <c r="S147" i="37"/>
  <c r="U147" i="37" s="1"/>
  <c r="R146" i="37"/>
  <c r="T146" i="37"/>
  <c r="S146" i="37"/>
  <c r="U146" i="37" s="1"/>
  <c r="R145" i="37"/>
  <c r="T145" i="37"/>
  <c r="S145" i="37"/>
  <c r="U145" i="37" s="1"/>
  <c r="R144" i="37"/>
  <c r="T144" i="37"/>
  <c r="S144" i="37"/>
  <c r="U144" i="37" s="1"/>
  <c r="R143" i="37"/>
  <c r="T143" i="37"/>
  <c r="S143" i="37"/>
  <c r="U143" i="37" s="1"/>
  <c r="R142" i="37"/>
  <c r="T142" i="37"/>
  <c r="S142" i="37"/>
  <c r="U142" i="37" s="1"/>
  <c r="R141" i="37"/>
  <c r="T141" i="37"/>
  <c r="S141" i="37"/>
  <c r="U141" i="37" s="1"/>
  <c r="AA140" i="37"/>
  <c r="T140" i="37"/>
  <c r="T151" i="37" s="1"/>
  <c r="Q151" i="37"/>
  <c r="P151" i="37"/>
  <c r="O151" i="37"/>
  <c r="N151" i="37"/>
  <c r="M151" i="37"/>
  <c r="R140" i="37"/>
  <c r="R151" i="37" s="1"/>
  <c r="K151" i="37"/>
  <c r="J151" i="37"/>
  <c r="I151" i="37"/>
  <c r="H151" i="37"/>
  <c r="G151" i="37"/>
  <c r="R135" i="37"/>
  <c r="T135" i="37"/>
  <c r="S135" i="37"/>
  <c r="U135" i="37" s="1"/>
  <c r="R134" i="37"/>
  <c r="T134" i="37"/>
  <c r="S134" i="37"/>
  <c r="U134" i="37" s="1"/>
  <c r="T133" i="37"/>
  <c r="S133" i="37"/>
  <c r="T132" i="37"/>
  <c r="S132" i="37"/>
  <c r="T131" i="37"/>
  <c r="S131" i="37"/>
  <c r="T130" i="37"/>
  <c r="S130" i="37"/>
  <c r="T129" i="37"/>
  <c r="S129" i="37"/>
  <c r="T128" i="37"/>
  <c r="S128" i="37"/>
  <c r="T127" i="37"/>
  <c r="S127" i="37"/>
  <c r="S126" i="37"/>
  <c r="Q137" i="37"/>
  <c r="P137" i="37"/>
  <c r="N137" i="37"/>
  <c r="M137" i="37"/>
  <c r="L137" i="37"/>
  <c r="J137" i="37"/>
  <c r="I137" i="37"/>
  <c r="H137" i="37"/>
  <c r="S125" i="37"/>
  <c r="AB122" i="37"/>
  <c r="S120" i="37"/>
  <c r="R120" i="37"/>
  <c r="T120" i="37"/>
  <c r="S119" i="37"/>
  <c r="S118" i="37"/>
  <c r="X117" i="37"/>
  <c r="AA117" i="37" s="1"/>
  <c r="AC117" i="37" s="1"/>
  <c r="AF117" i="37" s="1"/>
  <c r="R117" i="37"/>
  <c r="S117" i="37"/>
  <c r="X116" i="37"/>
  <c r="AA116" i="37" s="1"/>
  <c r="AC116" i="37" s="1"/>
  <c r="AF116" i="37" s="1"/>
  <c r="R116" i="37"/>
  <c r="S116" i="37"/>
  <c r="X115" i="37"/>
  <c r="AA115" i="37" s="1"/>
  <c r="AC115" i="37" s="1"/>
  <c r="AF115" i="37" s="1"/>
  <c r="S115" i="37"/>
  <c r="T114" i="37"/>
  <c r="R114" i="37"/>
  <c r="S114" i="37"/>
  <c r="U114" i="37" s="1"/>
  <c r="T113" i="37"/>
  <c r="Q122" i="37"/>
  <c r="P122" i="37"/>
  <c r="N122" i="37"/>
  <c r="M122" i="37"/>
  <c r="R113" i="37"/>
  <c r="J122" i="37"/>
  <c r="I122" i="37"/>
  <c r="H122" i="37"/>
  <c r="X108" i="37"/>
  <c r="AA108" i="37" s="1"/>
  <c r="AC108" i="37" s="1"/>
  <c r="AF108" i="37" s="1"/>
  <c r="R108" i="37"/>
  <c r="S108" i="37"/>
  <c r="X107" i="37"/>
  <c r="AA107" i="37" s="1"/>
  <c r="AC107" i="37" s="1"/>
  <c r="AF107" i="37" s="1"/>
  <c r="T107" i="37"/>
  <c r="S107" i="37"/>
  <c r="U107" i="37" s="1"/>
  <c r="X106" i="37"/>
  <c r="AA106" i="37" s="1"/>
  <c r="AC106" i="37" s="1"/>
  <c r="AF106" i="37" s="1"/>
  <c r="T106" i="37"/>
  <c r="S106" i="37"/>
  <c r="U106" i="37" s="1"/>
  <c r="X105" i="37"/>
  <c r="AA105" i="37" s="1"/>
  <c r="AC105" i="37" s="1"/>
  <c r="AF105" i="37" s="1"/>
  <c r="R105" i="37"/>
  <c r="T105" i="37"/>
  <c r="S105" i="37"/>
  <c r="U105" i="37" s="1"/>
  <c r="Q110" i="37"/>
  <c r="P110" i="37"/>
  <c r="O110" i="37"/>
  <c r="N110" i="37"/>
  <c r="M110" i="37"/>
  <c r="L110" i="37"/>
  <c r="K110" i="37"/>
  <c r="J110" i="37"/>
  <c r="I110" i="37"/>
  <c r="H110" i="37"/>
  <c r="S104" i="37"/>
  <c r="X99" i="37"/>
  <c r="AA99" i="37" s="1"/>
  <c r="AC99" i="37" s="1"/>
  <c r="AF99" i="37" s="1"/>
  <c r="T99" i="37"/>
  <c r="S99" i="37"/>
  <c r="U99" i="37" s="1"/>
  <c r="X98" i="37"/>
  <c r="AA98" i="37" s="1"/>
  <c r="AC98" i="37" s="1"/>
  <c r="AF98" i="37" s="1"/>
  <c r="T98" i="37"/>
  <c r="S98" i="37"/>
  <c r="U98" i="37" s="1"/>
  <c r="X97" i="37"/>
  <c r="AA97" i="37" s="1"/>
  <c r="AC97" i="37" s="1"/>
  <c r="AF97" i="37" s="1"/>
  <c r="T97" i="37"/>
  <c r="S97" i="37"/>
  <c r="U97" i="37" s="1"/>
  <c r="X96" i="37"/>
  <c r="AA96" i="37" s="1"/>
  <c r="AC96" i="37" s="1"/>
  <c r="AF96" i="37" s="1"/>
  <c r="R96" i="37"/>
  <c r="T96" i="37"/>
  <c r="S96" i="37"/>
  <c r="U96" i="37" s="1"/>
  <c r="X95" i="37"/>
  <c r="AA95" i="37" s="1"/>
  <c r="AC95" i="37" s="1"/>
  <c r="AF95" i="37" s="1"/>
  <c r="R95" i="37"/>
  <c r="T95" i="37"/>
  <c r="S95" i="37"/>
  <c r="U95" i="37" s="1"/>
  <c r="X94" i="37"/>
  <c r="AA94" i="37" s="1"/>
  <c r="AC94" i="37" s="1"/>
  <c r="AF94" i="37" s="1"/>
  <c r="R94" i="37"/>
  <c r="T94" i="37"/>
  <c r="S94" i="37"/>
  <c r="U94" i="37" s="1"/>
  <c r="X93" i="37"/>
  <c r="AA93" i="37" s="1"/>
  <c r="AC93" i="37" s="1"/>
  <c r="AF93" i="37" s="1"/>
  <c r="R93" i="37"/>
  <c r="T93" i="37"/>
  <c r="S93" i="37"/>
  <c r="U93" i="37" s="1"/>
  <c r="X92" i="37"/>
  <c r="AA92" i="37" s="1"/>
  <c r="AC92" i="37" s="1"/>
  <c r="AF92" i="37" s="1"/>
  <c r="R92" i="37"/>
  <c r="T92" i="37"/>
  <c r="S92" i="37"/>
  <c r="U92" i="37" s="1"/>
  <c r="X91" i="37"/>
  <c r="AA91" i="37" s="1"/>
  <c r="AC91" i="37" s="1"/>
  <c r="AF91" i="37" s="1"/>
  <c r="R91" i="37"/>
  <c r="T91" i="37"/>
  <c r="S91" i="37"/>
  <c r="U91" i="37" s="1"/>
  <c r="X90" i="37"/>
  <c r="AA90" i="37" s="1"/>
  <c r="AC90" i="37" s="1"/>
  <c r="AF90" i="37" s="1"/>
  <c r="R90" i="37"/>
  <c r="T90" i="37"/>
  <c r="S90" i="37"/>
  <c r="U90" i="37" s="1"/>
  <c r="X89" i="37"/>
  <c r="AA89" i="37" s="1"/>
  <c r="AC89" i="37" s="1"/>
  <c r="AF89" i="37" s="1"/>
  <c r="T89" i="37"/>
  <c r="R89" i="37"/>
  <c r="S89" i="37"/>
  <c r="U89" i="37" s="1"/>
  <c r="X88" i="37"/>
  <c r="AA88" i="37" s="1"/>
  <c r="AC88" i="37" s="1"/>
  <c r="AF88" i="37" s="1"/>
  <c r="T88" i="37"/>
  <c r="R88" i="37"/>
  <c r="S88" i="37"/>
  <c r="U88" i="37" s="1"/>
  <c r="X87" i="37"/>
  <c r="AA87" i="37" s="1"/>
  <c r="AC87" i="37" s="1"/>
  <c r="AF87" i="37" s="1"/>
  <c r="T87" i="37"/>
  <c r="R87" i="37"/>
  <c r="S87" i="37"/>
  <c r="U87" i="37" s="1"/>
  <c r="X86" i="37"/>
  <c r="AA86" i="37" s="1"/>
  <c r="AC86" i="37" s="1"/>
  <c r="AF86" i="37" s="1"/>
  <c r="T86" i="37"/>
  <c r="R86" i="37"/>
  <c r="S86" i="37"/>
  <c r="U86" i="37" s="1"/>
  <c r="X85" i="37"/>
  <c r="AA85" i="37" s="1"/>
  <c r="AC85" i="37" s="1"/>
  <c r="AF85" i="37" s="1"/>
  <c r="T85" i="37"/>
  <c r="R85" i="37"/>
  <c r="S85" i="37"/>
  <c r="U85" i="37" s="1"/>
  <c r="X84" i="37"/>
  <c r="AA84" i="37" s="1"/>
  <c r="AC84" i="37" s="1"/>
  <c r="AF84" i="37" s="1"/>
  <c r="T84" i="37"/>
  <c r="R84" i="37"/>
  <c r="S84" i="37"/>
  <c r="U84" i="37" s="1"/>
  <c r="X83" i="37"/>
  <c r="AA83" i="37" s="1"/>
  <c r="AC83" i="37" s="1"/>
  <c r="AF83" i="37" s="1"/>
  <c r="T83" i="37"/>
  <c r="R83" i="37"/>
  <c r="S83" i="37"/>
  <c r="U83" i="37" s="1"/>
  <c r="AA82" i="37"/>
  <c r="AC82" i="37" s="1"/>
  <c r="AF82" i="37" s="1"/>
  <c r="R82" i="37"/>
  <c r="T82" i="37"/>
  <c r="S82" i="37"/>
  <c r="U82" i="37" s="1"/>
  <c r="X81" i="37"/>
  <c r="AA81" i="37" s="1"/>
  <c r="AC81" i="37" s="1"/>
  <c r="AF81" i="37" s="1"/>
  <c r="R81" i="37"/>
  <c r="T81" i="37"/>
  <c r="S81" i="37"/>
  <c r="U81" i="37" s="1"/>
  <c r="X80" i="37"/>
  <c r="AA80" i="37" s="1"/>
  <c r="AC80" i="37" s="1"/>
  <c r="AF80" i="37" s="1"/>
  <c r="R80" i="37"/>
  <c r="T80" i="37"/>
  <c r="S80" i="37"/>
  <c r="U80" i="37" s="1"/>
  <c r="X79" i="37"/>
  <c r="AA79" i="37" s="1"/>
  <c r="AC79" i="37" s="1"/>
  <c r="AF79" i="37" s="1"/>
  <c r="R79" i="37"/>
  <c r="T79" i="37"/>
  <c r="S79" i="37"/>
  <c r="U79" i="37" s="1"/>
  <c r="X78" i="37"/>
  <c r="AA78" i="37" s="1"/>
  <c r="AC78" i="37" s="1"/>
  <c r="AF78" i="37" s="1"/>
  <c r="T78" i="37"/>
  <c r="S78" i="37"/>
  <c r="U78" i="37" s="1"/>
  <c r="X77" i="37"/>
  <c r="AA77" i="37" s="1"/>
  <c r="AC77" i="37" s="1"/>
  <c r="AF77" i="37" s="1"/>
  <c r="T77" i="37"/>
  <c r="S77" i="37"/>
  <c r="U77" i="37" s="1"/>
  <c r="X76" i="37"/>
  <c r="AA76" i="37" s="1"/>
  <c r="AC76" i="37" s="1"/>
  <c r="AF76" i="37" s="1"/>
  <c r="T76" i="37"/>
  <c r="S76" i="37"/>
  <c r="U76" i="37" s="1"/>
  <c r="AA75" i="37"/>
  <c r="AC75" i="37" s="1"/>
  <c r="AF75" i="37" s="1"/>
  <c r="R75" i="37"/>
  <c r="T75" i="37"/>
  <c r="S75" i="37"/>
  <c r="U75" i="37" s="1"/>
  <c r="X74" i="37"/>
  <c r="AA74" i="37" s="1"/>
  <c r="AC74" i="37" s="1"/>
  <c r="AF74" i="37" s="1"/>
  <c r="T74" i="37"/>
  <c r="S74" i="37"/>
  <c r="U74" i="37" s="1"/>
  <c r="X73" i="37"/>
  <c r="AA73" i="37" s="1"/>
  <c r="AC73" i="37" s="1"/>
  <c r="AF73" i="37" s="1"/>
  <c r="T73" i="37"/>
  <c r="R73" i="37"/>
  <c r="S73" i="37"/>
  <c r="U73" i="37" s="1"/>
  <c r="X72" i="37"/>
  <c r="AA72" i="37" s="1"/>
  <c r="AC72" i="37" s="1"/>
  <c r="AF72" i="37" s="1"/>
  <c r="T72" i="37"/>
  <c r="R72" i="37"/>
  <c r="S72" i="37"/>
  <c r="U72" i="37" s="1"/>
  <c r="X71" i="37"/>
  <c r="AA71" i="37" s="1"/>
  <c r="AC71" i="37" s="1"/>
  <c r="AF71" i="37" s="1"/>
  <c r="T71" i="37"/>
  <c r="R71" i="37"/>
  <c r="S71" i="37"/>
  <c r="U71" i="37" s="1"/>
  <c r="X70" i="37"/>
  <c r="AA70" i="37" s="1"/>
  <c r="AC70" i="37" s="1"/>
  <c r="AF70" i="37" s="1"/>
  <c r="T70" i="37"/>
  <c r="R70" i="37"/>
  <c r="S70" i="37"/>
  <c r="U70" i="37" s="1"/>
  <c r="X69" i="37"/>
  <c r="AA69" i="37" s="1"/>
  <c r="AC69" i="37" s="1"/>
  <c r="AF69" i="37" s="1"/>
  <c r="R69" i="37"/>
  <c r="T69" i="37"/>
  <c r="S69" i="37"/>
  <c r="U69" i="37" s="1"/>
  <c r="X68" i="37"/>
  <c r="AA68" i="37" s="1"/>
  <c r="AC68" i="37" s="1"/>
  <c r="AF68" i="37" s="1"/>
  <c r="R68" i="37"/>
  <c r="T68" i="37"/>
  <c r="S68" i="37"/>
  <c r="U68" i="37" s="1"/>
  <c r="X67" i="37"/>
  <c r="AA67" i="37" s="1"/>
  <c r="AC67" i="37" s="1"/>
  <c r="AF67" i="37" s="1"/>
  <c r="R67" i="37"/>
  <c r="T67" i="37"/>
  <c r="S67" i="37"/>
  <c r="U67" i="37" s="1"/>
  <c r="X66" i="37"/>
  <c r="AA66" i="37" s="1"/>
  <c r="AC66" i="37" s="1"/>
  <c r="AF66" i="37" s="1"/>
  <c r="R66" i="37"/>
  <c r="T66" i="37"/>
  <c r="S66" i="37"/>
  <c r="U66" i="37" s="1"/>
  <c r="X65" i="37"/>
  <c r="Q101" i="37"/>
  <c r="P101" i="37"/>
  <c r="O101" i="37"/>
  <c r="N101" i="37"/>
  <c r="M101" i="37"/>
  <c r="L101" i="37"/>
  <c r="K101" i="37"/>
  <c r="J101" i="37"/>
  <c r="I101" i="37"/>
  <c r="H101" i="37"/>
  <c r="G101" i="37"/>
  <c r="X60" i="37"/>
  <c r="AA60" i="37" s="1"/>
  <c r="AC60" i="37" s="1"/>
  <c r="AF60" i="37" s="1"/>
  <c r="R60" i="37"/>
  <c r="T60" i="37"/>
  <c r="S60" i="37"/>
  <c r="U60" i="37" s="1"/>
  <c r="X59" i="37"/>
  <c r="AA59" i="37" s="1"/>
  <c r="AC59" i="37" s="1"/>
  <c r="AF59" i="37" s="1"/>
  <c r="R59" i="37"/>
  <c r="T59" i="37"/>
  <c r="S59" i="37"/>
  <c r="U59" i="37" s="1"/>
  <c r="X58" i="37"/>
  <c r="AA58" i="37" s="1"/>
  <c r="AC58" i="37" s="1"/>
  <c r="AF58" i="37" s="1"/>
  <c r="R58" i="37"/>
  <c r="T58" i="37"/>
  <c r="S58" i="37"/>
  <c r="U58" i="37" s="1"/>
  <c r="X57" i="37"/>
  <c r="AA57" i="37" s="1"/>
  <c r="AC57" i="37" s="1"/>
  <c r="AF57" i="37" s="1"/>
  <c r="R57" i="37"/>
  <c r="T57" i="37"/>
  <c r="S57" i="37"/>
  <c r="U57" i="37" s="1"/>
  <c r="X56" i="37"/>
  <c r="AA56" i="37" s="1"/>
  <c r="AC56" i="37" s="1"/>
  <c r="AF56" i="37" s="1"/>
  <c r="R56" i="37"/>
  <c r="T56" i="37"/>
  <c r="S56" i="37"/>
  <c r="U56" i="37" s="1"/>
  <c r="X55" i="37"/>
  <c r="AA55" i="37" s="1"/>
  <c r="AC55" i="37" s="1"/>
  <c r="AF55" i="37" s="1"/>
  <c r="R55" i="37"/>
  <c r="T55" i="37"/>
  <c r="S55" i="37"/>
  <c r="U55" i="37" s="1"/>
  <c r="X54" i="37"/>
  <c r="AA54" i="37" s="1"/>
  <c r="AC54" i="37" s="1"/>
  <c r="AF54" i="37" s="1"/>
  <c r="S54" i="37"/>
  <c r="U54" i="37" s="1"/>
  <c r="R54" i="37"/>
  <c r="T54" i="37"/>
  <c r="X53" i="37"/>
  <c r="AA53" i="37" s="1"/>
  <c r="AC53" i="37" s="1"/>
  <c r="AF53" i="37" s="1"/>
  <c r="S53" i="37"/>
  <c r="U53" i="37" s="1"/>
  <c r="R53" i="37"/>
  <c r="T53" i="37"/>
  <c r="X52" i="37"/>
  <c r="AA52" i="37" s="1"/>
  <c r="AC52" i="37" s="1"/>
  <c r="AF52" i="37" s="1"/>
  <c r="S52" i="37"/>
  <c r="U52" i="37" s="1"/>
  <c r="R52" i="37"/>
  <c r="T52" i="37"/>
  <c r="X51" i="37"/>
  <c r="AA51" i="37" s="1"/>
  <c r="AC51" i="37" s="1"/>
  <c r="AF51" i="37" s="1"/>
  <c r="T51" i="37"/>
  <c r="S51" i="37"/>
  <c r="R51" i="37"/>
  <c r="X50" i="37"/>
  <c r="AA50" i="37" s="1"/>
  <c r="AC50" i="37" s="1"/>
  <c r="AF50" i="37" s="1"/>
  <c r="T50" i="37"/>
  <c r="S50" i="37"/>
  <c r="U50" i="37" s="1"/>
  <c r="R50" i="37"/>
  <c r="X49" i="37"/>
  <c r="AA49" i="37" s="1"/>
  <c r="AC49" i="37" s="1"/>
  <c r="AF49" i="37" s="1"/>
  <c r="T49" i="37"/>
  <c r="S49" i="37"/>
  <c r="R49" i="37"/>
  <c r="X48" i="37"/>
  <c r="AA48" i="37" s="1"/>
  <c r="AC48" i="37" s="1"/>
  <c r="AF48" i="37" s="1"/>
  <c r="T48" i="37"/>
  <c r="S48" i="37"/>
  <c r="U48" i="37" s="1"/>
  <c r="R48" i="37"/>
  <c r="Z62" i="37"/>
  <c r="X47" i="37"/>
  <c r="T47" i="37"/>
  <c r="S47" i="37"/>
  <c r="R47" i="37"/>
  <c r="R62" i="37" s="1"/>
  <c r="Q62" i="37"/>
  <c r="P62" i="37"/>
  <c r="O62" i="37"/>
  <c r="N62" i="37"/>
  <c r="M62" i="37"/>
  <c r="L62" i="37"/>
  <c r="K62" i="37"/>
  <c r="J62" i="37"/>
  <c r="I62" i="37"/>
  <c r="H62" i="37"/>
  <c r="G62" i="37"/>
  <c r="Q44" i="37"/>
  <c r="P44" i="37"/>
  <c r="O44" i="37"/>
  <c r="N44" i="37"/>
  <c r="M44" i="37"/>
  <c r="L44" i="37"/>
  <c r="K44" i="37"/>
  <c r="J44" i="37"/>
  <c r="I44" i="37"/>
  <c r="H44" i="37"/>
  <c r="G44" i="37"/>
  <c r="X42" i="37"/>
  <c r="AA42" i="37" s="1"/>
  <c r="AC42" i="37" s="1"/>
  <c r="AF42" i="37" s="1"/>
  <c r="T42" i="37"/>
  <c r="S42" i="37"/>
  <c r="U42" i="37" s="1"/>
  <c r="R42" i="37"/>
  <c r="X41" i="37"/>
  <c r="AA41" i="37" s="1"/>
  <c r="AC41" i="37" s="1"/>
  <c r="AF41" i="37" s="1"/>
  <c r="T41" i="37"/>
  <c r="S41" i="37"/>
  <c r="U41" i="37" s="1"/>
  <c r="R41" i="37"/>
  <c r="X40" i="37"/>
  <c r="AA40" i="37" s="1"/>
  <c r="AC40" i="37" s="1"/>
  <c r="AF40" i="37" s="1"/>
  <c r="T40" i="37"/>
  <c r="S40" i="37"/>
  <c r="U40" i="37" s="1"/>
  <c r="R40" i="37"/>
  <c r="X39" i="37"/>
  <c r="AA39" i="37" s="1"/>
  <c r="AC39" i="37" s="1"/>
  <c r="AF39" i="37" s="1"/>
  <c r="T39" i="37"/>
  <c r="S39" i="37"/>
  <c r="U39" i="37" s="1"/>
  <c r="R39" i="37"/>
  <c r="X38" i="37"/>
  <c r="AA38" i="37" s="1"/>
  <c r="AC38" i="37" s="1"/>
  <c r="AF38" i="37" s="1"/>
  <c r="T38" i="37"/>
  <c r="S38" i="37"/>
  <c r="U38" i="37" s="1"/>
  <c r="R38" i="37"/>
  <c r="X37" i="37"/>
  <c r="AA37" i="37" s="1"/>
  <c r="AC37" i="37" s="1"/>
  <c r="AF37" i="37" s="1"/>
  <c r="T37" i="37"/>
  <c r="S37" i="37"/>
  <c r="U37" i="37" s="1"/>
  <c r="R37" i="37"/>
  <c r="X36" i="37"/>
  <c r="AA36" i="37" s="1"/>
  <c r="AC36" i="37" s="1"/>
  <c r="AF36" i="37" s="1"/>
  <c r="T36" i="37"/>
  <c r="S36" i="37"/>
  <c r="U36" i="37" s="1"/>
  <c r="R36" i="37"/>
  <c r="X35" i="37"/>
  <c r="AA35" i="37" s="1"/>
  <c r="AC35" i="37" s="1"/>
  <c r="AF35" i="37" s="1"/>
  <c r="T35" i="37"/>
  <c r="S35" i="37"/>
  <c r="U35" i="37" s="1"/>
  <c r="R35" i="37"/>
  <c r="X34" i="37"/>
  <c r="AA34" i="37" s="1"/>
  <c r="AC34" i="37" s="1"/>
  <c r="AF34" i="37" s="1"/>
  <c r="T34" i="37"/>
  <c r="S34" i="37"/>
  <c r="U34" i="37" s="1"/>
  <c r="R34" i="37"/>
  <c r="X33" i="37"/>
  <c r="AA33" i="37" s="1"/>
  <c r="AC33" i="37" s="1"/>
  <c r="AF33" i="37" s="1"/>
  <c r="T33" i="37"/>
  <c r="S33" i="37"/>
  <c r="U33" i="37" s="1"/>
  <c r="R33" i="37"/>
  <c r="X32" i="37"/>
  <c r="AA32" i="37" s="1"/>
  <c r="AC32" i="37" s="1"/>
  <c r="AF32" i="37" s="1"/>
  <c r="T32" i="37"/>
  <c r="S32" i="37"/>
  <c r="U32" i="37" s="1"/>
  <c r="R32" i="37"/>
  <c r="X31" i="37"/>
  <c r="AA31" i="37" s="1"/>
  <c r="AC31" i="37" s="1"/>
  <c r="AF31" i="37" s="1"/>
  <c r="T31" i="37"/>
  <c r="S31" i="37"/>
  <c r="U31" i="37" s="1"/>
  <c r="R31" i="37"/>
  <c r="AK30" i="37"/>
  <c r="AC30" i="37"/>
  <c r="AF30" i="37" s="1"/>
  <c r="AA30" i="37"/>
  <c r="U30" i="37"/>
  <c r="T30" i="37"/>
  <c r="S30" i="37"/>
  <c r="R30" i="37"/>
  <c r="AK29" i="37"/>
  <c r="X29" i="37"/>
  <c r="AA29" i="37" s="1"/>
  <c r="AC29" i="37" s="1"/>
  <c r="AF29" i="37" s="1"/>
  <c r="U29" i="37"/>
  <c r="T29" i="37"/>
  <c r="S29" i="37"/>
  <c r="R29" i="37"/>
  <c r="AK28" i="37"/>
  <c r="X28" i="37"/>
  <c r="AA28" i="37" s="1"/>
  <c r="AC28" i="37" s="1"/>
  <c r="AF28" i="37" s="1"/>
  <c r="T28" i="37"/>
  <c r="S28" i="37"/>
  <c r="U28" i="37" s="1"/>
  <c r="R28" i="37"/>
  <c r="AK27" i="37"/>
  <c r="AA27" i="37"/>
  <c r="AC27" i="37" s="1"/>
  <c r="AF27" i="37" s="1"/>
  <c r="X27" i="37"/>
  <c r="T27" i="37"/>
  <c r="S27" i="37"/>
  <c r="U27" i="37" s="1"/>
  <c r="R27" i="37"/>
  <c r="AK26" i="37"/>
  <c r="AA26" i="37"/>
  <c r="AC26" i="37" s="1"/>
  <c r="AF26" i="37" s="1"/>
  <c r="X26" i="37"/>
  <c r="U26" i="37"/>
  <c r="T26" i="37"/>
  <c r="S26" i="37"/>
  <c r="R26" i="37"/>
  <c r="AK25" i="37"/>
  <c r="X25" i="37"/>
  <c r="AA25" i="37" s="1"/>
  <c r="AC25" i="37" s="1"/>
  <c r="AF25" i="37" s="1"/>
  <c r="U25" i="37"/>
  <c r="T25" i="37"/>
  <c r="S25" i="37"/>
  <c r="R25" i="37"/>
  <c r="AK24" i="37"/>
  <c r="X24" i="37"/>
  <c r="AA24" i="37" s="1"/>
  <c r="AC24" i="37" s="1"/>
  <c r="AF24" i="37" s="1"/>
  <c r="T24" i="37"/>
  <c r="S24" i="37"/>
  <c r="U24" i="37" s="1"/>
  <c r="R24" i="37"/>
  <c r="AK23" i="37"/>
  <c r="AA23" i="37"/>
  <c r="AC23" i="37" s="1"/>
  <c r="AF23" i="37" s="1"/>
  <c r="X23" i="37"/>
  <c r="T23" i="37"/>
  <c r="S23" i="37"/>
  <c r="U23" i="37" s="1"/>
  <c r="R23" i="37"/>
  <c r="AK22" i="37"/>
  <c r="X289" i="37" s="1"/>
  <c r="AA289" i="37" s="1"/>
  <c r="AC289" i="37" s="1"/>
  <c r="AF289" i="37" s="1"/>
  <c r="AA22" i="37"/>
  <c r="AC22" i="37" s="1"/>
  <c r="AF22" i="37" s="1"/>
  <c r="X22" i="37"/>
  <c r="U22" i="37"/>
  <c r="T22" i="37"/>
  <c r="S22" i="37"/>
  <c r="R22" i="37"/>
  <c r="AK21" i="37"/>
  <c r="X21" i="37"/>
  <c r="AA21" i="37" s="1"/>
  <c r="AC21" i="37" s="1"/>
  <c r="AF21" i="37" s="1"/>
  <c r="U21" i="37"/>
  <c r="T21" i="37"/>
  <c r="S21" i="37"/>
  <c r="R21" i="37"/>
  <c r="AK20" i="37"/>
  <c r="X284" i="37" s="1"/>
  <c r="AA284" i="37" s="1"/>
  <c r="AC284" i="37" s="1"/>
  <c r="AF284" i="37" s="1"/>
  <c r="X20" i="37"/>
  <c r="AA20" i="37" s="1"/>
  <c r="AC20" i="37" s="1"/>
  <c r="AF20" i="37" s="1"/>
  <c r="T20" i="37"/>
  <c r="S20" i="37"/>
  <c r="U20" i="37" s="1"/>
  <c r="R20" i="37"/>
  <c r="AK19" i="37"/>
  <c r="AA19" i="37"/>
  <c r="AC19" i="37" s="1"/>
  <c r="AF19" i="37" s="1"/>
  <c r="X19" i="37"/>
  <c r="T19" i="37"/>
  <c r="S19" i="37"/>
  <c r="U19" i="37" s="1"/>
  <c r="R19" i="37"/>
  <c r="AK18" i="37"/>
  <c r="AA18" i="37"/>
  <c r="AC18" i="37" s="1"/>
  <c r="AF18" i="37" s="1"/>
  <c r="X18" i="37"/>
  <c r="U18" i="37"/>
  <c r="T18" i="37"/>
  <c r="S18" i="37"/>
  <c r="R18" i="37"/>
  <c r="AK17" i="37"/>
  <c r="X17" i="37"/>
  <c r="AA17" i="37" s="1"/>
  <c r="AC17" i="37" s="1"/>
  <c r="AF17" i="37" s="1"/>
  <c r="U17" i="37"/>
  <c r="T17" i="37"/>
  <c r="S17" i="37"/>
  <c r="R17" i="37"/>
  <c r="AK16" i="37"/>
  <c r="X16" i="37"/>
  <c r="AA16" i="37" s="1"/>
  <c r="AC16" i="37" s="1"/>
  <c r="AF16" i="37" s="1"/>
  <c r="T16" i="37"/>
  <c r="S16" i="37"/>
  <c r="U16" i="37" s="1"/>
  <c r="R16" i="37"/>
  <c r="AK15" i="37"/>
  <c r="AA15" i="37"/>
  <c r="AC15" i="37" s="1"/>
  <c r="AF15" i="37" s="1"/>
  <c r="X15" i="37"/>
  <c r="T15" i="37"/>
  <c r="S15" i="37"/>
  <c r="U15" i="37" s="1"/>
  <c r="R15" i="37"/>
  <c r="AK14" i="37"/>
  <c r="AA14" i="37"/>
  <c r="AC14" i="37" s="1"/>
  <c r="AF14" i="37" s="1"/>
  <c r="X14" i="37"/>
  <c r="U14" i="37"/>
  <c r="T14" i="37"/>
  <c r="T44" i="37" s="1"/>
  <c r="S14" i="37"/>
  <c r="R14" i="37"/>
  <c r="AK13" i="37"/>
  <c r="X13" i="37"/>
  <c r="AA13" i="37" s="1"/>
  <c r="AC13" i="37" s="1"/>
  <c r="AF13" i="37" s="1"/>
  <c r="U13" i="37"/>
  <c r="T13" i="37"/>
  <c r="S13" i="37"/>
  <c r="R13" i="37"/>
  <c r="AK12" i="37"/>
  <c r="X12" i="37"/>
  <c r="X44" i="37" s="1"/>
  <c r="T12" i="37"/>
  <c r="S12" i="37"/>
  <c r="S44" i="37" s="1"/>
  <c r="R12" i="37"/>
  <c r="R44" i="37" s="1"/>
  <c r="AK11" i="37"/>
  <c r="AK10" i="37"/>
  <c r="AK9" i="37"/>
  <c r="J34" i="1" l="1"/>
  <c r="M34" i="1" s="1"/>
  <c r="K84" i="1"/>
  <c r="J84" i="1"/>
  <c r="N34" i="1"/>
  <c r="M182" i="1"/>
  <c r="U12" i="37"/>
  <c r="U44" i="37" s="1"/>
  <c r="AA12" i="37"/>
  <c r="T62" i="37"/>
  <c r="U49" i="37"/>
  <c r="U51" i="37"/>
  <c r="U116" i="37"/>
  <c r="U108" i="37"/>
  <c r="X235" i="37"/>
  <c r="AA235" i="37" s="1"/>
  <c r="AC235" i="37" s="1"/>
  <c r="AF235" i="37" s="1"/>
  <c r="X113" i="37"/>
  <c r="S62" i="37"/>
  <c r="U47" i="37"/>
  <c r="X62" i="37"/>
  <c r="AA47" i="37"/>
  <c r="AA65" i="37"/>
  <c r="X101" i="37"/>
  <c r="S110" i="37"/>
  <c r="S137" i="37"/>
  <c r="S65" i="37"/>
  <c r="T108" i="37"/>
  <c r="G110" i="37"/>
  <c r="T115" i="37"/>
  <c r="U115" i="37" s="1"/>
  <c r="R115" i="37"/>
  <c r="R122" i="37" s="1"/>
  <c r="T116" i="37"/>
  <c r="T117" i="37"/>
  <c r="U117" i="37" s="1"/>
  <c r="T118" i="37"/>
  <c r="U118" i="37" s="1"/>
  <c r="R118" i="37"/>
  <c r="L122" i="37"/>
  <c r="X141" i="37"/>
  <c r="X142" i="37"/>
  <c r="AA142" i="37" s="1"/>
  <c r="AC142" i="37" s="1"/>
  <c r="AF142" i="37" s="1"/>
  <c r="X143" i="37"/>
  <c r="AA143" i="37" s="1"/>
  <c r="AC143" i="37" s="1"/>
  <c r="AF143" i="37" s="1"/>
  <c r="X144" i="37"/>
  <c r="AA144" i="37" s="1"/>
  <c r="AC144" i="37" s="1"/>
  <c r="AF144" i="37" s="1"/>
  <c r="X145" i="37"/>
  <c r="AA145" i="37" s="1"/>
  <c r="AC145" i="37" s="1"/>
  <c r="AF145" i="37" s="1"/>
  <c r="X146" i="37"/>
  <c r="AA146" i="37" s="1"/>
  <c r="AC146" i="37" s="1"/>
  <c r="AF146" i="37" s="1"/>
  <c r="X147" i="37"/>
  <c r="AA147" i="37" s="1"/>
  <c r="AC147" i="37" s="1"/>
  <c r="AF147" i="37" s="1"/>
  <c r="X148" i="37"/>
  <c r="AA148" i="37" s="1"/>
  <c r="AC148" i="37" s="1"/>
  <c r="AF148" i="37" s="1"/>
  <c r="U154" i="37"/>
  <c r="U159" i="37" s="1"/>
  <c r="S159" i="37"/>
  <c r="X168" i="37"/>
  <c r="X172" i="37"/>
  <c r="AA172" i="37" s="1"/>
  <c r="AC172" i="37" s="1"/>
  <c r="AF172" i="37" s="1"/>
  <c r="X175" i="37"/>
  <c r="AA175" i="37" s="1"/>
  <c r="AC175" i="37" s="1"/>
  <c r="AF175" i="37" s="1"/>
  <c r="T65" i="37"/>
  <c r="T101" i="37" s="1"/>
  <c r="R74" i="37"/>
  <c r="R76" i="37"/>
  <c r="R77" i="37"/>
  <c r="R78" i="37"/>
  <c r="R104" i="37"/>
  <c r="R110" i="37" s="1"/>
  <c r="X104" i="37"/>
  <c r="R106" i="37"/>
  <c r="R107" i="37"/>
  <c r="X118" i="37"/>
  <c r="AA118" i="37" s="1"/>
  <c r="AC118" i="37" s="1"/>
  <c r="AF118" i="37" s="1"/>
  <c r="T119" i="37"/>
  <c r="U119" i="37" s="1"/>
  <c r="R119" i="37"/>
  <c r="G137" i="37"/>
  <c r="K137" i="37"/>
  <c r="O137" i="37"/>
  <c r="X125" i="37"/>
  <c r="T126" i="37"/>
  <c r="U126" i="37" s="1"/>
  <c r="R126" i="37"/>
  <c r="X134" i="37"/>
  <c r="AA134" i="37" s="1"/>
  <c r="AC134" i="37" s="1"/>
  <c r="AF134" i="37" s="1"/>
  <c r="X135" i="37"/>
  <c r="AA135" i="37" s="1"/>
  <c r="AC135" i="37" s="1"/>
  <c r="AF135" i="37" s="1"/>
  <c r="X162" i="37"/>
  <c r="X163" i="37"/>
  <c r="AA163" i="37" s="1"/>
  <c r="AC163" i="37" s="1"/>
  <c r="AF163" i="37" s="1"/>
  <c r="X169" i="37"/>
  <c r="AA169" i="37" s="1"/>
  <c r="AC169" i="37" s="1"/>
  <c r="AF169" i="37" s="1"/>
  <c r="X176" i="37"/>
  <c r="AA176" i="37" s="1"/>
  <c r="AC176" i="37" s="1"/>
  <c r="AF176" i="37" s="1"/>
  <c r="R97" i="37"/>
  <c r="R98" i="37"/>
  <c r="R99" i="37"/>
  <c r="X114" i="37"/>
  <c r="AA114" i="37" s="1"/>
  <c r="AC114" i="37" s="1"/>
  <c r="AF114" i="37" s="1"/>
  <c r="X119" i="37"/>
  <c r="AA119" i="37" s="1"/>
  <c r="AC119" i="37" s="1"/>
  <c r="AF119" i="37" s="1"/>
  <c r="U120" i="37"/>
  <c r="X126" i="37"/>
  <c r="AA126" i="37" s="1"/>
  <c r="AC126" i="37" s="1"/>
  <c r="AF126" i="37" s="1"/>
  <c r="X127" i="37"/>
  <c r="AA127" i="37" s="1"/>
  <c r="AC127" i="37" s="1"/>
  <c r="AF127" i="37" s="1"/>
  <c r="X128" i="37"/>
  <c r="AA128" i="37" s="1"/>
  <c r="AC128" i="37" s="1"/>
  <c r="AF128" i="37" s="1"/>
  <c r="X129" i="37"/>
  <c r="AA129" i="37" s="1"/>
  <c r="AC129" i="37" s="1"/>
  <c r="AF129" i="37" s="1"/>
  <c r="X130" i="37"/>
  <c r="AA130" i="37" s="1"/>
  <c r="AC130" i="37" s="1"/>
  <c r="AF130" i="37" s="1"/>
  <c r="X131" i="37"/>
  <c r="AA131" i="37" s="1"/>
  <c r="AC131" i="37" s="1"/>
  <c r="AF131" i="37" s="1"/>
  <c r="X132" i="37"/>
  <c r="AA132" i="37" s="1"/>
  <c r="AC132" i="37" s="1"/>
  <c r="AF132" i="37" s="1"/>
  <c r="X133" i="37"/>
  <c r="AA133" i="37" s="1"/>
  <c r="AC133" i="37" s="1"/>
  <c r="AF133" i="37" s="1"/>
  <c r="AC140" i="37"/>
  <c r="U162" i="37"/>
  <c r="U165" i="37" s="1"/>
  <c r="S165" i="37"/>
  <c r="X170" i="37"/>
  <c r="AA170" i="37" s="1"/>
  <c r="AC170" i="37" s="1"/>
  <c r="AF170" i="37" s="1"/>
  <c r="X173" i="37"/>
  <c r="AA173" i="37" s="1"/>
  <c r="AC173" i="37" s="1"/>
  <c r="AF173" i="37" s="1"/>
  <c r="X177" i="37"/>
  <c r="AA177" i="37" s="1"/>
  <c r="AC177" i="37" s="1"/>
  <c r="AF177" i="37" s="1"/>
  <c r="U183" i="37"/>
  <c r="R65" i="37"/>
  <c r="R101" i="37" s="1"/>
  <c r="T104" i="37"/>
  <c r="T110" i="37" s="1"/>
  <c r="G122" i="37"/>
  <c r="K122" i="37"/>
  <c r="O122" i="37"/>
  <c r="S113" i="37"/>
  <c r="X120" i="37"/>
  <c r="AA120" i="37" s="1"/>
  <c r="AC120" i="37" s="1"/>
  <c r="AF120" i="37" s="1"/>
  <c r="U127" i="37"/>
  <c r="U128" i="37"/>
  <c r="U129" i="37"/>
  <c r="U130" i="37"/>
  <c r="U131" i="37"/>
  <c r="U132" i="37"/>
  <c r="U133" i="37"/>
  <c r="X154" i="37"/>
  <c r="X155" i="37"/>
  <c r="AA155" i="37" s="1"/>
  <c r="AC155" i="37" s="1"/>
  <c r="AF155" i="37" s="1"/>
  <c r="X156" i="37"/>
  <c r="AA156" i="37" s="1"/>
  <c r="AC156" i="37" s="1"/>
  <c r="AF156" i="37" s="1"/>
  <c r="X157" i="37"/>
  <c r="AA157" i="37" s="1"/>
  <c r="AC157" i="37" s="1"/>
  <c r="AF157" i="37" s="1"/>
  <c r="X171" i="37"/>
  <c r="AA171" i="37" s="1"/>
  <c r="AC171" i="37" s="1"/>
  <c r="AF171" i="37" s="1"/>
  <c r="X174" i="37"/>
  <c r="AA174" i="37" s="1"/>
  <c r="AC174" i="37" s="1"/>
  <c r="AF174" i="37" s="1"/>
  <c r="X186" i="37"/>
  <c r="AA186" i="37" s="1"/>
  <c r="AC186" i="37" s="1"/>
  <c r="AF186" i="37" s="1"/>
  <c r="S140" i="37"/>
  <c r="R154" i="37"/>
  <c r="R159" i="37" s="1"/>
  <c r="G159" i="37"/>
  <c r="K159" i="37"/>
  <c r="G165" i="37"/>
  <c r="K165" i="37"/>
  <c r="S168" i="37"/>
  <c r="L179" i="37"/>
  <c r="H209" i="37"/>
  <c r="L209" i="37"/>
  <c r="T182" i="37"/>
  <c r="T186" i="37"/>
  <c r="S187" i="37"/>
  <c r="U187" i="37" s="1"/>
  <c r="AC187" i="37"/>
  <c r="AF187" i="37" s="1"/>
  <c r="S188" i="37"/>
  <c r="U188" i="37" s="1"/>
  <c r="S189" i="37"/>
  <c r="U189" i="37" s="1"/>
  <c r="R190" i="37"/>
  <c r="U200" i="37"/>
  <c r="N222" i="37"/>
  <c r="X226" i="37"/>
  <c r="X227" i="37"/>
  <c r="AA227" i="37" s="1"/>
  <c r="AC227" i="37" s="1"/>
  <c r="AF227" i="37" s="1"/>
  <c r="X228" i="37"/>
  <c r="AA228" i="37" s="1"/>
  <c r="AC228" i="37" s="1"/>
  <c r="AF228" i="37" s="1"/>
  <c r="X229" i="37"/>
  <c r="AA229" i="37" s="1"/>
  <c r="AC229" i="37" s="1"/>
  <c r="AF229" i="37" s="1"/>
  <c r="X230" i="37"/>
  <c r="AA230" i="37" s="1"/>
  <c r="AC230" i="37" s="1"/>
  <c r="AF230" i="37" s="1"/>
  <c r="X234" i="37"/>
  <c r="AA234" i="37" s="1"/>
  <c r="AC234" i="37" s="1"/>
  <c r="AF234" i="37" s="1"/>
  <c r="R125" i="37"/>
  <c r="R127" i="37"/>
  <c r="R128" i="37"/>
  <c r="R129" i="37"/>
  <c r="R130" i="37"/>
  <c r="R131" i="37"/>
  <c r="R132" i="37"/>
  <c r="R133" i="37"/>
  <c r="X202" i="37"/>
  <c r="AA202" i="37" s="1"/>
  <c r="AC202" i="37" s="1"/>
  <c r="AF202" i="37" s="1"/>
  <c r="J222" i="37"/>
  <c r="Q222" i="37"/>
  <c r="AC225" i="37"/>
  <c r="X236" i="37"/>
  <c r="AA236" i="37" s="1"/>
  <c r="AC236" i="37" s="1"/>
  <c r="AF236" i="37" s="1"/>
  <c r="X237" i="37"/>
  <c r="AA237" i="37" s="1"/>
  <c r="AC237" i="37" s="1"/>
  <c r="AF237" i="37" s="1"/>
  <c r="X239" i="37"/>
  <c r="AA239" i="37" s="1"/>
  <c r="AC239" i="37" s="1"/>
  <c r="AF239" i="37" s="1"/>
  <c r="L151" i="37"/>
  <c r="R182" i="37"/>
  <c r="X182" i="37"/>
  <c r="X184" i="37"/>
  <c r="AA184" i="37" s="1"/>
  <c r="AC184" i="37" s="1"/>
  <c r="AF184" i="37" s="1"/>
  <c r="S186" i="37"/>
  <c r="U186" i="37" s="1"/>
  <c r="AC189" i="37"/>
  <c r="AF189" i="37" s="1"/>
  <c r="AC190" i="37"/>
  <c r="AF190" i="37" s="1"/>
  <c r="X196" i="37"/>
  <c r="AA196" i="37" s="1"/>
  <c r="AC196" i="37" s="1"/>
  <c r="AF196" i="37" s="1"/>
  <c r="X197" i="37"/>
  <c r="AA197" i="37" s="1"/>
  <c r="AC197" i="37" s="1"/>
  <c r="AF197" i="37" s="1"/>
  <c r="U199" i="37"/>
  <c r="U202" i="37"/>
  <c r="U206" i="37"/>
  <c r="S214" i="37"/>
  <c r="U212" i="37"/>
  <c r="U214" i="37" s="1"/>
  <c r="K222" i="37"/>
  <c r="O222" i="37"/>
  <c r="I222" i="37"/>
  <c r="T220" i="37"/>
  <c r="X231" i="37"/>
  <c r="AA231" i="37" s="1"/>
  <c r="AC231" i="37" s="1"/>
  <c r="AF231" i="37" s="1"/>
  <c r="T125" i="37"/>
  <c r="T137" i="37" s="1"/>
  <c r="R173" i="37"/>
  <c r="R179" i="37" s="1"/>
  <c r="R174" i="37"/>
  <c r="R175" i="37"/>
  <c r="R176" i="37"/>
  <c r="R177" i="37"/>
  <c r="S182" i="37"/>
  <c r="T190" i="37"/>
  <c r="U190" i="37" s="1"/>
  <c r="S191" i="37"/>
  <c r="U191" i="37" s="1"/>
  <c r="U195" i="37"/>
  <c r="U196" i="37"/>
  <c r="U197" i="37"/>
  <c r="U198" i="37"/>
  <c r="X204" i="37"/>
  <c r="AA204" i="37" s="1"/>
  <c r="AC204" i="37" s="1"/>
  <c r="AF204" i="37" s="1"/>
  <c r="U205" i="37"/>
  <c r="H222" i="37"/>
  <c r="P222" i="37"/>
  <c r="M222" i="37"/>
  <c r="X217" i="37"/>
  <c r="U218" i="37"/>
  <c r="AC188" i="37"/>
  <c r="AF188" i="37" s="1"/>
  <c r="AC191" i="37"/>
  <c r="AF191" i="37" s="1"/>
  <c r="AC195" i="37"/>
  <c r="AF195" i="37" s="1"/>
  <c r="AC200" i="37"/>
  <c r="AF200" i="37" s="1"/>
  <c r="R202" i="37"/>
  <c r="R204" i="37"/>
  <c r="L220" i="37"/>
  <c r="L222" i="37" s="1"/>
  <c r="L357" i="37" s="1"/>
  <c r="X233" i="37"/>
  <c r="AA233" i="37" s="1"/>
  <c r="AC233" i="37" s="1"/>
  <c r="AF233" i="37" s="1"/>
  <c r="X238" i="37"/>
  <c r="AA238" i="37" s="1"/>
  <c r="AC238" i="37" s="1"/>
  <c r="AF238" i="37" s="1"/>
  <c r="U241" i="37"/>
  <c r="U242" i="37"/>
  <c r="U243" i="37"/>
  <c r="U244" i="37"/>
  <c r="U245" i="37"/>
  <c r="U257" i="37"/>
  <c r="U258" i="37"/>
  <c r="U266" i="37"/>
  <c r="X277" i="37"/>
  <c r="AC192" i="37"/>
  <c r="AF192" i="37" s="1"/>
  <c r="R225" i="37"/>
  <c r="X232" i="37"/>
  <c r="AA232" i="37" s="1"/>
  <c r="AC232" i="37" s="1"/>
  <c r="AF232" i="37" s="1"/>
  <c r="S234" i="37"/>
  <c r="T235" i="37"/>
  <c r="U235" i="37" s="1"/>
  <c r="T239" i="37"/>
  <c r="X256" i="37"/>
  <c r="X257" i="37"/>
  <c r="AA257" i="37" s="1"/>
  <c r="AC257" i="37" s="1"/>
  <c r="AF257" i="37" s="1"/>
  <c r="X258" i="37"/>
  <c r="AA258" i="37" s="1"/>
  <c r="AC258" i="37" s="1"/>
  <c r="AF258" i="37" s="1"/>
  <c r="X260" i="37"/>
  <c r="AA260" i="37" s="1"/>
  <c r="AC260" i="37" s="1"/>
  <c r="AF260" i="37" s="1"/>
  <c r="X261" i="37"/>
  <c r="AA261" i="37" s="1"/>
  <c r="AC261" i="37" s="1"/>
  <c r="AF261" i="37" s="1"/>
  <c r="X263" i="37"/>
  <c r="AA263" i="37" s="1"/>
  <c r="AC263" i="37" s="1"/>
  <c r="AF263" i="37" s="1"/>
  <c r="X264" i="37"/>
  <c r="AA264" i="37" s="1"/>
  <c r="AC264" i="37" s="1"/>
  <c r="AF264" i="37" s="1"/>
  <c r="X278" i="37"/>
  <c r="AA278" i="37" s="1"/>
  <c r="AC278" i="37" s="1"/>
  <c r="AF278" i="37" s="1"/>
  <c r="X282" i="37"/>
  <c r="X283" i="37"/>
  <c r="AA283" i="37" s="1"/>
  <c r="AC283" i="37" s="1"/>
  <c r="AF283" i="37" s="1"/>
  <c r="R212" i="37"/>
  <c r="R214" i="37" s="1"/>
  <c r="X212" i="37"/>
  <c r="G214" i="37"/>
  <c r="G222" i="37" s="1"/>
  <c r="G248" i="37"/>
  <c r="K248" i="37"/>
  <c r="O248" i="37"/>
  <c r="S225" i="37"/>
  <c r="S233" i="37"/>
  <c r="U233" i="37" s="1"/>
  <c r="T236" i="37"/>
  <c r="U236" i="37" s="1"/>
  <c r="T237" i="37"/>
  <c r="U237" i="37" s="1"/>
  <c r="T238" i="37"/>
  <c r="U238" i="37" s="1"/>
  <c r="R239" i="37"/>
  <c r="X281" i="37"/>
  <c r="AA281" i="37" s="1"/>
  <c r="AC281" i="37" s="1"/>
  <c r="AF281" i="37" s="1"/>
  <c r="U282" i="37"/>
  <c r="U283" i="37"/>
  <c r="S217" i="37"/>
  <c r="T225" i="37"/>
  <c r="S232" i="37"/>
  <c r="U232" i="37" s="1"/>
  <c r="T234" i="37"/>
  <c r="S239" i="37"/>
  <c r="U239" i="37" s="1"/>
  <c r="X241" i="37"/>
  <c r="AA241" i="37" s="1"/>
  <c r="AC241" i="37" s="1"/>
  <c r="AF241" i="37" s="1"/>
  <c r="X242" i="37"/>
  <c r="AA242" i="37" s="1"/>
  <c r="AC242" i="37" s="1"/>
  <c r="AF242" i="37" s="1"/>
  <c r="X243" i="37"/>
  <c r="AA243" i="37" s="1"/>
  <c r="AC243" i="37" s="1"/>
  <c r="AF243" i="37" s="1"/>
  <c r="X244" i="37"/>
  <c r="AA244" i="37" s="1"/>
  <c r="AC244" i="37" s="1"/>
  <c r="AF244" i="37" s="1"/>
  <c r="S253" i="37"/>
  <c r="U259" i="37"/>
  <c r="U280" i="37"/>
  <c r="X286" i="37"/>
  <c r="AA286" i="37" s="1"/>
  <c r="AC286" i="37" s="1"/>
  <c r="AF286" i="37" s="1"/>
  <c r="T251" i="37"/>
  <c r="T253" i="37" s="1"/>
  <c r="T256" i="37"/>
  <c r="T271" i="37" s="1"/>
  <c r="L271" i="37"/>
  <c r="S277" i="37"/>
  <c r="X285" i="37"/>
  <c r="AA285" i="37" s="1"/>
  <c r="AC285" i="37" s="1"/>
  <c r="AF285" i="37" s="1"/>
  <c r="S287" i="37"/>
  <c r="U287" i="37" s="1"/>
  <c r="U294" i="37"/>
  <c r="S295" i="37"/>
  <c r="U295" i="37" s="1"/>
  <c r="S297" i="37"/>
  <c r="U297" i="37" s="1"/>
  <c r="X297" i="37"/>
  <c r="AA297" i="37" s="1"/>
  <c r="AC297" i="37" s="1"/>
  <c r="AF297" i="37" s="1"/>
  <c r="S301" i="37"/>
  <c r="U301" i="37" s="1"/>
  <c r="X301" i="37"/>
  <c r="AA301" i="37" s="1"/>
  <c r="AC301" i="37" s="1"/>
  <c r="AF301" i="37" s="1"/>
  <c r="U306" i="37"/>
  <c r="X321" i="37"/>
  <c r="AA321" i="37" s="1"/>
  <c r="AC321" i="37" s="1"/>
  <c r="AF321" i="37" s="1"/>
  <c r="AC262" i="37"/>
  <c r="AF262" i="37" s="1"/>
  <c r="R264" i="37"/>
  <c r="AC267" i="37"/>
  <c r="AF267" i="37" s="1"/>
  <c r="AC279" i="37"/>
  <c r="AF279" i="37" s="1"/>
  <c r="X288" i="37"/>
  <c r="AA288" i="37" s="1"/>
  <c r="AC288" i="37" s="1"/>
  <c r="AF288" i="37" s="1"/>
  <c r="R293" i="37"/>
  <c r="AC293" i="37"/>
  <c r="AF293" i="37" s="1"/>
  <c r="S298" i="37"/>
  <c r="U298" i="37" s="1"/>
  <c r="X298" i="37"/>
  <c r="AA298" i="37" s="1"/>
  <c r="AC298" i="37" s="1"/>
  <c r="AF298" i="37" s="1"/>
  <c r="S302" i="37"/>
  <c r="U302" i="37" s="1"/>
  <c r="X302" i="37"/>
  <c r="AA302" i="37" s="1"/>
  <c r="AC302" i="37" s="1"/>
  <c r="AF302" i="37" s="1"/>
  <c r="R251" i="37"/>
  <c r="R253" i="37" s="1"/>
  <c r="R397" i="37" s="1"/>
  <c r="X251" i="37"/>
  <c r="G253" i="37"/>
  <c r="R256" i="37"/>
  <c r="R271" i="37" s="1"/>
  <c r="R469" i="37" s="1"/>
  <c r="R257" i="37"/>
  <c r="R258" i="37"/>
  <c r="I338" i="37"/>
  <c r="M338" i="37"/>
  <c r="Q338" i="37"/>
  <c r="S285" i="37"/>
  <c r="U285" i="37" s="1"/>
  <c r="X287" i="37"/>
  <c r="AA287" i="37" s="1"/>
  <c r="AC287" i="37" s="1"/>
  <c r="AF287" i="37" s="1"/>
  <c r="S289" i="37"/>
  <c r="U289" i="37" s="1"/>
  <c r="S291" i="37"/>
  <c r="U291" i="37" s="1"/>
  <c r="S299" i="37"/>
  <c r="U299" i="37" s="1"/>
  <c r="X299" i="37"/>
  <c r="AA299" i="37" s="1"/>
  <c r="AC299" i="37" s="1"/>
  <c r="AF299" i="37" s="1"/>
  <c r="S303" i="37"/>
  <c r="U303" i="37" s="1"/>
  <c r="X303" i="37"/>
  <c r="AA303" i="37" s="1"/>
  <c r="AC303" i="37" s="1"/>
  <c r="AF303" i="37" s="1"/>
  <c r="X307" i="37"/>
  <c r="AA307" i="37" s="1"/>
  <c r="AC307" i="37" s="1"/>
  <c r="AF307" i="37" s="1"/>
  <c r="X308" i="37"/>
  <c r="AA308" i="37" s="1"/>
  <c r="AC308" i="37" s="1"/>
  <c r="AF308" i="37" s="1"/>
  <c r="X309" i="37"/>
  <c r="AA309" i="37" s="1"/>
  <c r="AC309" i="37" s="1"/>
  <c r="AF309" i="37" s="1"/>
  <c r="X310" i="37"/>
  <c r="AA310" i="37" s="1"/>
  <c r="AC310" i="37" s="1"/>
  <c r="AF310" i="37" s="1"/>
  <c r="X311" i="37"/>
  <c r="AA311" i="37" s="1"/>
  <c r="AC311" i="37" s="1"/>
  <c r="AF311" i="37" s="1"/>
  <c r="X312" i="37"/>
  <c r="AA312" i="37" s="1"/>
  <c r="AC312" i="37" s="1"/>
  <c r="AF312" i="37" s="1"/>
  <c r="X313" i="37"/>
  <c r="AA313" i="37" s="1"/>
  <c r="AC313" i="37" s="1"/>
  <c r="AF313" i="37" s="1"/>
  <c r="X314" i="37"/>
  <c r="AA314" i="37" s="1"/>
  <c r="AC314" i="37" s="1"/>
  <c r="AF314" i="37" s="1"/>
  <c r="X316" i="37"/>
  <c r="AA316" i="37" s="1"/>
  <c r="AC316" i="37" s="1"/>
  <c r="AF316" i="37" s="1"/>
  <c r="X317" i="37"/>
  <c r="AA317" i="37" s="1"/>
  <c r="AC317" i="37" s="1"/>
  <c r="AF317" i="37" s="1"/>
  <c r="X318" i="37"/>
  <c r="AA318" i="37" s="1"/>
  <c r="AC318" i="37" s="1"/>
  <c r="AF318" i="37" s="1"/>
  <c r="X319" i="37"/>
  <c r="AA319" i="37" s="1"/>
  <c r="AC319" i="37" s="1"/>
  <c r="AF319" i="37" s="1"/>
  <c r="X320" i="37"/>
  <c r="AA320" i="37" s="1"/>
  <c r="AC320" i="37" s="1"/>
  <c r="AF320" i="37" s="1"/>
  <c r="S256" i="37"/>
  <c r="J338" i="37"/>
  <c r="N338" i="37"/>
  <c r="R277" i="37"/>
  <c r="S284" i="37"/>
  <c r="U284" i="37" s="1"/>
  <c r="S288" i="37"/>
  <c r="U288" i="37" s="1"/>
  <c r="X292" i="37"/>
  <c r="AA292" i="37" s="1"/>
  <c r="AC292" i="37" s="1"/>
  <c r="AF292" i="37" s="1"/>
  <c r="T293" i="37"/>
  <c r="U293" i="37" s="1"/>
  <c r="S296" i="37"/>
  <c r="U296" i="37" s="1"/>
  <c r="X296" i="37"/>
  <c r="AA296" i="37" s="1"/>
  <c r="AC296" i="37" s="1"/>
  <c r="AF296" i="37" s="1"/>
  <c r="S300" i="37"/>
  <c r="U300" i="37" s="1"/>
  <c r="X300" i="37"/>
  <c r="AA300" i="37" s="1"/>
  <c r="AC300" i="37" s="1"/>
  <c r="AF300" i="37" s="1"/>
  <c r="S304" i="37"/>
  <c r="U304" i="37" s="1"/>
  <c r="X304" i="37"/>
  <c r="AA304" i="37" s="1"/>
  <c r="AC304" i="37" s="1"/>
  <c r="AF304" i="37" s="1"/>
  <c r="U307" i="37"/>
  <c r="U308" i="37"/>
  <c r="U309" i="37"/>
  <c r="U310" i="37"/>
  <c r="U311" i="37"/>
  <c r="U312" i="37"/>
  <c r="U313" i="37"/>
  <c r="U314" i="37"/>
  <c r="U315" i="37"/>
  <c r="X324" i="37"/>
  <c r="AA324" i="37" s="1"/>
  <c r="AC324" i="37" s="1"/>
  <c r="AF324" i="37" s="1"/>
  <c r="R325" i="37"/>
  <c r="S326" i="37"/>
  <c r="U326" i="37" s="1"/>
  <c r="S327" i="37"/>
  <c r="U327" i="37" s="1"/>
  <c r="S328" i="37"/>
  <c r="U328" i="37" s="1"/>
  <c r="S329" i="37"/>
  <c r="U329" i="37" s="1"/>
  <c r="X330" i="37"/>
  <c r="AA330" i="37" s="1"/>
  <c r="AC330" i="37" s="1"/>
  <c r="AF330" i="37" s="1"/>
  <c r="X331" i="37"/>
  <c r="AA331" i="37" s="1"/>
  <c r="AC331" i="37" s="1"/>
  <c r="AF331" i="37" s="1"/>
  <c r="X332" i="37"/>
  <c r="AA332" i="37" s="1"/>
  <c r="AC332" i="37" s="1"/>
  <c r="AF332" i="37" s="1"/>
  <c r="X333" i="37"/>
  <c r="AA333" i="37" s="1"/>
  <c r="AC333" i="37" s="1"/>
  <c r="AF333" i="37" s="1"/>
  <c r="X334" i="37"/>
  <c r="AA334" i="37" s="1"/>
  <c r="AC334" i="37" s="1"/>
  <c r="AF334" i="37" s="1"/>
  <c r="X335" i="37"/>
  <c r="AA335" i="37" s="1"/>
  <c r="AC335" i="37" s="1"/>
  <c r="AF335" i="37" s="1"/>
  <c r="J357" i="37"/>
  <c r="N357" i="37"/>
  <c r="X343" i="37"/>
  <c r="AA343" i="37" s="1"/>
  <c r="AC343" i="37" s="1"/>
  <c r="AF343" i="37" s="1"/>
  <c r="X351" i="37"/>
  <c r="AA351" i="37" s="1"/>
  <c r="AC351" i="37" s="1"/>
  <c r="AF351" i="37" s="1"/>
  <c r="X352" i="37"/>
  <c r="AA352" i="37" s="1"/>
  <c r="AC352" i="37" s="1"/>
  <c r="AF352" i="37" s="1"/>
  <c r="AC305" i="37"/>
  <c r="AF305" i="37" s="1"/>
  <c r="R307" i="37"/>
  <c r="R308" i="37"/>
  <c r="R309" i="37"/>
  <c r="R310" i="37"/>
  <c r="R311" i="37"/>
  <c r="R312" i="37"/>
  <c r="R313" i="37"/>
  <c r="R314" i="37"/>
  <c r="AC323" i="37"/>
  <c r="AF323" i="37" s="1"/>
  <c r="X325" i="37"/>
  <c r="AA325" i="37" s="1"/>
  <c r="AC325" i="37" s="1"/>
  <c r="AF325" i="37" s="1"/>
  <c r="X326" i="37"/>
  <c r="AA326" i="37" s="1"/>
  <c r="AC326" i="37" s="1"/>
  <c r="AF326" i="37" s="1"/>
  <c r="X327" i="37"/>
  <c r="AA327" i="37" s="1"/>
  <c r="AC327" i="37" s="1"/>
  <c r="AF327" i="37" s="1"/>
  <c r="X328" i="37"/>
  <c r="AA328" i="37" s="1"/>
  <c r="AC328" i="37" s="1"/>
  <c r="AF328" i="37" s="1"/>
  <c r="R328" i="37"/>
  <c r="AC329" i="37"/>
  <c r="AF329" i="37" s="1"/>
  <c r="K357" i="37"/>
  <c r="O357" i="37"/>
  <c r="R316" i="37"/>
  <c r="R317" i="37"/>
  <c r="R318" i="37"/>
  <c r="R319" i="37"/>
  <c r="R320" i="37"/>
  <c r="S325" i="37"/>
  <c r="U325" i="37" s="1"/>
  <c r="H357" i="37"/>
  <c r="P357" i="37"/>
  <c r="X347" i="37"/>
  <c r="AA347" i="37" s="1"/>
  <c r="AC347" i="37" s="1"/>
  <c r="AF347" i="37" s="1"/>
  <c r="AF355" i="37" s="1"/>
  <c r="X348" i="37"/>
  <c r="AA348" i="37" s="1"/>
  <c r="AC348" i="37" s="1"/>
  <c r="AF348" i="37" s="1"/>
  <c r="X349" i="37"/>
  <c r="AA349" i="37" s="1"/>
  <c r="AC349" i="37" s="1"/>
  <c r="AF349" i="37" s="1"/>
  <c r="I357" i="37"/>
  <c r="M357" i="37"/>
  <c r="Q357" i="37"/>
  <c r="U346" i="37"/>
  <c r="U347" i="37"/>
  <c r="U348" i="37"/>
  <c r="U349" i="37"/>
  <c r="U350" i="37"/>
  <c r="R336" i="37"/>
  <c r="R342" i="37"/>
  <c r="R355" i="37" s="1"/>
  <c r="G355" i="37"/>
  <c r="T342" i="37"/>
  <c r="U342" i="37" s="1"/>
  <c r="N84" i="1" l="1"/>
  <c r="M84" i="1"/>
  <c r="T338" i="37"/>
  <c r="U234" i="37"/>
  <c r="T355" i="37"/>
  <c r="U125" i="37"/>
  <c r="U137" i="37" s="1"/>
  <c r="AA62" i="37"/>
  <c r="AC47" i="37"/>
  <c r="T122" i="37"/>
  <c r="T222" i="37" s="1"/>
  <c r="AA355" i="37"/>
  <c r="R338" i="37"/>
  <c r="R451" i="37" s="1"/>
  <c r="U251" i="37"/>
  <c r="U253" i="37" s="1"/>
  <c r="R209" i="37"/>
  <c r="R222" i="37" s="1"/>
  <c r="R363" i="37" s="1"/>
  <c r="T209" i="37"/>
  <c r="G357" i="37"/>
  <c r="T248" i="37"/>
  <c r="R248" i="37"/>
  <c r="R380" i="37" s="1"/>
  <c r="R137" i="37"/>
  <c r="U104" i="37"/>
  <c r="U110" i="37" s="1"/>
  <c r="U62" i="37"/>
  <c r="U222" i="37" s="1"/>
  <c r="AC12" i="37"/>
  <c r="AA44" i="37"/>
  <c r="R434" i="37"/>
  <c r="S271" i="37"/>
  <c r="U256" i="37"/>
  <c r="U271" i="37" s="1"/>
  <c r="X253" i="37"/>
  <c r="AA251" i="37"/>
  <c r="S338" i="37"/>
  <c r="S355" i="37" s="1"/>
  <c r="S357" i="37" s="1"/>
  <c r="U277" i="37"/>
  <c r="U338" i="37" s="1"/>
  <c r="U355" i="37" s="1"/>
  <c r="U357" i="37" s="1"/>
  <c r="S220" i="37"/>
  <c r="U217" i="37"/>
  <c r="U220" i="37" s="1"/>
  <c r="S248" i="37"/>
  <c r="U225" i="37"/>
  <c r="U248" i="37" s="1"/>
  <c r="X214" i="37"/>
  <c r="AA212" i="37"/>
  <c r="AA282" i="37"/>
  <c r="AC282" i="37" s="1"/>
  <c r="X271" i="37"/>
  <c r="AA256" i="37"/>
  <c r="X338" i="37"/>
  <c r="X355" i="37" s="1"/>
  <c r="X357" i="37" s="1"/>
  <c r="AA277" i="37"/>
  <c r="X220" i="37"/>
  <c r="AA217" i="37"/>
  <c r="S209" i="37"/>
  <c r="U182" i="37"/>
  <c r="U209" i="37" s="1"/>
  <c r="X209" i="37"/>
  <c r="AA182" i="37"/>
  <c r="AF225" i="37"/>
  <c r="X248" i="37"/>
  <c r="AA226" i="37"/>
  <c r="S179" i="37"/>
  <c r="U168" i="37"/>
  <c r="U179" i="37" s="1"/>
  <c r="U140" i="37"/>
  <c r="U151" i="37" s="1"/>
  <c r="S151" i="37"/>
  <c r="X159" i="37"/>
  <c r="AA154" i="37"/>
  <c r="S122" i="37"/>
  <c r="U113" i="37"/>
  <c r="U122" i="37" s="1"/>
  <c r="AF140" i="37"/>
  <c r="X165" i="37"/>
  <c r="AA162" i="37"/>
  <c r="X137" i="37"/>
  <c r="AA125" i="37"/>
  <c r="X110" i="37"/>
  <c r="X222" i="37" s="1"/>
  <c r="AA104" i="37"/>
  <c r="X179" i="37"/>
  <c r="AA168" i="37"/>
  <c r="AA141" i="37"/>
  <c r="X151" i="37"/>
  <c r="S101" i="37"/>
  <c r="S222" i="37" s="1"/>
  <c r="U65" i="37"/>
  <c r="U101" i="37" s="1"/>
  <c r="AC65" i="37"/>
  <c r="AA101" i="37"/>
  <c r="X122" i="37"/>
  <c r="AA113" i="37"/>
  <c r="AC226" i="37" l="1"/>
  <c r="AA248" i="37"/>
  <c r="AC62" i="37"/>
  <c r="AF47" i="37"/>
  <c r="AF62" i="37" s="1"/>
  <c r="AC141" i="37"/>
  <c r="AA151" i="37"/>
  <c r="AC44" i="37"/>
  <c r="AF12" i="37"/>
  <c r="AF44" i="37" s="1"/>
  <c r="R357" i="37"/>
  <c r="T357" i="37"/>
  <c r="AA122" i="37"/>
  <c r="AC113" i="37"/>
  <c r="AC101" i="37"/>
  <c r="AF65" i="37"/>
  <c r="AF101" i="37" s="1"/>
  <c r="AA179" i="37"/>
  <c r="AC168" i="37"/>
  <c r="AC104" i="37"/>
  <c r="AA110" i="37"/>
  <c r="AA222" i="37" s="1"/>
  <c r="AC125" i="37"/>
  <c r="AA137" i="37"/>
  <c r="AA165" i="37"/>
  <c r="AC162" i="37"/>
  <c r="AA159" i="37"/>
  <c r="AC154" i="37"/>
  <c r="AA209" i="37"/>
  <c r="AC182" i="37"/>
  <c r="AA220" i="37"/>
  <c r="AC217" i="37"/>
  <c r="AA338" i="37"/>
  <c r="AC277" i="37"/>
  <c r="AC256" i="37"/>
  <c r="AA271" i="37"/>
  <c r="AF282" i="37"/>
  <c r="AA214" i="37"/>
  <c r="AC212" i="37"/>
  <c r="AA253" i="37"/>
  <c r="AC251" i="37"/>
  <c r="AA357" i="37" l="1"/>
  <c r="AF141" i="37"/>
  <c r="AF151" i="37" s="1"/>
  <c r="AC151" i="37"/>
  <c r="AF226" i="37"/>
  <c r="AF248" i="37" s="1"/>
  <c r="AC248" i="37"/>
  <c r="AF251" i="37"/>
  <c r="AF253" i="37" s="1"/>
  <c r="AC253" i="37"/>
  <c r="AF212" i="37"/>
  <c r="AF214" i="37" s="1"/>
  <c r="AC214" i="37"/>
  <c r="AC271" i="37"/>
  <c r="AF256" i="37"/>
  <c r="AF271" i="37" s="1"/>
  <c r="AC338" i="37"/>
  <c r="AC355" i="37" s="1"/>
  <c r="AF277" i="37"/>
  <c r="AF338" i="37" s="1"/>
  <c r="AC220" i="37"/>
  <c r="AF217" i="37"/>
  <c r="AF220" i="37" s="1"/>
  <c r="AC209" i="37"/>
  <c r="AF182" i="37"/>
  <c r="AF209" i="37" s="1"/>
  <c r="AF154" i="37"/>
  <c r="AF159" i="37" s="1"/>
  <c r="AC159" i="37"/>
  <c r="AF162" i="37"/>
  <c r="AF165" i="37" s="1"/>
  <c r="AC165" i="37"/>
  <c r="AC137" i="37"/>
  <c r="AF125" i="37"/>
  <c r="AF137" i="37" s="1"/>
  <c r="AC110" i="37"/>
  <c r="AC222" i="37" s="1"/>
  <c r="AF104" i="37"/>
  <c r="AF110" i="37" s="1"/>
  <c r="AF222" i="37" s="1"/>
  <c r="AF168" i="37"/>
  <c r="AF179" i="37" s="1"/>
  <c r="AC179" i="37"/>
  <c r="AC122" i="37"/>
  <c r="AF113" i="37"/>
  <c r="AF122" i="37" s="1"/>
  <c r="AC357" i="37" l="1"/>
  <c r="AF357" i="37"/>
  <c r="C9" i="6" l="1"/>
  <c r="AE7" i="2" l="1"/>
  <c r="AE23" i="2"/>
  <c r="AE22" i="2"/>
  <c r="AE21" i="2"/>
  <c r="AE20" i="2"/>
  <c r="AE19" i="2"/>
  <c r="AE18" i="2"/>
  <c r="AE17" i="2"/>
  <c r="C11" i="1" s="1"/>
  <c r="AE16" i="2"/>
  <c r="AE15" i="2"/>
  <c r="C10" i="1" s="1"/>
  <c r="AE14" i="2"/>
  <c r="AE13" i="2"/>
  <c r="C15" i="1" s="1"/>
  <c r="AE12" i="2"/>
  <c r="C17" i="1" s="1"/>
  <c r="AE11" i="2"/>
  <c r="C16" i="1" s="1"/>
  <c r="AE10" i="2"/>
  <c r="C14" i="1" s="1"/>
  <c r="AE27" i="2"/>
  <c r="AE35" i="2"/>
  <c r="AE34" i="2"/>
  <c r="AE33" i="2"/>
  <c r="AE32" i="2"/>
  <c r="AE40" i="2"/>
  <c r="AE44" i="2"/>
  <c r="AE46" i="2" s="1"/>
  <c r="AE50" i="2"/>
  <c r="AE49" i="2"/>
  <c r="AE60" i="2"/>
  <c r="AE59" i="2"/>
  <c r="AE58" i="2"/>
  <c r="AE57" i="2"/>
  <c r="AE64" i="2"/>
  <c r="AE72" i="2"/>
  <c r="AE71" i="2"/>
  <c r="AE70" i="2"/>
  <c r="AE69" i="2"/>
  <c r="AE78" i="2"/>
  <c r="AE77" i="2"/>
  <c r="AE82" i="2"/>
  <c r="AE105" i="2"/>
  <c r="AE104" i="2"/>
  <c r="AE103" i="2"/>
  <c r="AE102" i="2"/>
  <c r="AE101" i="2"/>
  <c r="AE100" i="2"/>
  <c r="AE99" i="2"/>
  <c r="R374" i="37" s="1"/>
  <c r="AE98" i="2"/>
  <c r="R373" i="37" s="1"/>
  <c r="AE97" i="2"/>
  <c r="AE96" i="2"/>
  <c r="AE95" i="2"/>
  <c r="AE94" i="2"/>
  <c r="R372" i="37" s="1"/>
  <c r="AE93" i="2"/>
  <c r="R371" i="37" s="1"/>
  <c r="AE92" i="2"/>
  <c r="R370" i="37" s="1"/>
  <c r="AE91" i="2"/>
  <c r="R369" i="37" s="1"/>
  <c r="AE109"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R392" i="37" s="1"/>
  <c r="AE121" i="2"/>
  <c r="R391" i="37" s="1"/>
  <c r="AE120" i="2"/>
  <c r="AE119" i="2"/>
  <c r="AE118" i="2"/>
  <c r="R390" i="37" s="1"/>
  <c r="AE117" i="2"/>
  <c r="R389" i="37" s="1"/>
  <c r="AE116" i="2"/>
  <c r="R388" i="37" s="1"/>
  <c r="AE115" i="2"/>
  <c r="R387" i="37" s="1"/>
  <c r="AE114" i="2"/>
  <c r="R386" i="37" s="1"/>
  <c r="AE163" i="2"/>
  <c r="AE162" i="2"/>
  <c r="AE161" i="2"/>
  <c r="AE160" i="2"/>
  <c r="AE159" i="2"/>
  <c r="AE158" i="2"/>
  <c r="AE157" i="2"/>
  <c r="AE156" i="2"/>
  <c r="R481" i="37" s="1"/>
  <c r="AE155" i="2"/>
  <c r="R480" i="37" s="1"/>
  <c r="AE154" i="2"/>
  <c r="AE153" i="2"/>
  <c r="AE152" i="2"/>
  <c r="R479" i="37" s="1"/>
  <c r="AE151" i="2"/>
  <c r="R478" i="37" s="1"/>
  <c r="AE150" i="2"/>
  <c r="R477" i="37" s="1"/>
  <c r="AE149" i="2"/>
  <c r="R476" i="37" s="1"/>
  <c r="AE183" i="2"/>
  <c r="AE182" i="2"/>
  <c r="AE181" i="2"/>
  <c r="AE180" i="2"/>
  <c r="AE179" i="2"/>
  <c r="AE178" i="2"/>
  <c r="AE177" i="2"/>
  <c r="AE176" i="2"/>
  <c r="R446" i="37" s="1"/>
  <c r="AE175" i="2"/>
  <c r="R445" i="37" s="1"/>
  <c r="AE174" i="2"/>
  <c r="AE173" i="2"/>
  <c r="AE172" i="2"/>
  <c r="R444" i="37" s="1"/>
  <c r="AE171" i="2"/>
  <c r="R443" i="37" s="1"/>
  <c r="AE170" i="2"/>
  <c r="R442" i="37" s="1"/>
  <c r="AE169" i="2"/>
  <c r="R441" i="37" s="1"/>
  <c r="AE168" i="2"/>
  <c r="R440" i="37" s="1"/>
  <c r="AE202" i="2"/>
  <c r="AE201" i="2"/>
  <c r="AE200" i="2"/>
  <c r="AE199" i="2"/>
  <c r="AE198" i="2"/>
  <c r="AE197" i="2"/>
  <c r="AE196" i="2"/>
  <c r="AE195" i="2"/>
  <c r="AE194" i="2"/>
  <c r="AE193" i="2"/>
  <c r="AE192" i="2"/>
  <c r="AE191" i="2"/>
  <c r="AE190" i="2"/>
  <c r="AE189" i="2"/>
  <c r="AE188" i="2"/>
  <c r="AE217" i="2"/>
  <c r="AE216" i="2"/>
  <c r="AE215" i="2"/>
  <c r="AE214" i="2"/>
  <c r="AE213" i="2"/>
  <c r="AE212" i="2"/>
  <c r="AE211" i="2"/>
  <c r="AE221" i="2"/>
  <c r="AE242" i="2"/>
  <c r="AE241" i="2"/>
  <c r="AE240" i="2"/>
  <c r="AE239" i="2"/>
  <c r="AE238" i="2"/>
  <c r="AE237" i="2"/>
  <c r="AE236" i="2"/>
  <c r="AE235" i="2"/>
  <c r="R429" i="37" s="1"/>
  <c r="AE234" i="2"/>
  <c r="R428" i="37" s="1"/>
  <c r="AE233" i="2"/>
  <c r="AE232" i="2"/>
  <c r="AE231" i="2"/>
  <c r="R427" i="37" s="1"/>
  <c r="AE230" i="2"/>
  <c r="R426" i="37" s="1"/>
  <c r="R430" i="37" s="1"/>
  <c r="R432" i="37" s="1"/>
  <c r="S432" i="37" s="1"/>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R462" i="37" s="1"/>
  <c r="AE253" i="2"/>
  <c r="R461" i="37" s="1"/>
  <c r="AE252" i="2"/>
  <c r="AE251" i="2"/>
  <c r="AE250" i="2"/>
  <c r="R460" i="37" s="1"/>
  <c r="AE249" i="2"/>
  <c r="R459" i="37" s="1"/>
  <c r="AE248" i="2"/>
  <c r="R458" i="37" s="1"/>
  <c r="AE247" i="2"/>
  <c r="R457" i="37" s="1"/>
  <c r="AE295" i="2"/>
  <c r="AE309" i="2"/>
  <c r="AE308" i="2"/>
  <c r="AE307" i="2"/>
  <c r="AE306" i="2"/>
  <c r="AE313" i="2"/>
  <c r="AE317" i="2"/>
  <c r="AE325" i="2"/>
  <c r="AE329" i="2"/>
  <c r="AE333" i="2"/>
  <c r="AE339" i="2"/>
  <c r="AE345" i="2"/>
  <c r="AE351" i="2"/>
  <c r="AE29" i="2"/>
  <c r="AE42" i="2"/>
  <c r="AE37" i="2" l="1"/>
  <c r="R482" i="37"/>
  <c r="R485" i="37" s="1"/>
  <c r="AE25" i="2"/>
  <c r="R463" i="37"/>
  <c r="R466" i="37" s="1"/>
  <c r="S466" i="37" s="1"/>
  <c r="R375" i="37"/>
  <c r="R377" i="37" s="1"/>
  <c r="S377" i="37" s="1"/>
  <c r="C13" i="1"/>
  <c r="R447" i="37"/>
  <c r="R449" i="37" s="1"/>
  <c r="S449" i="37" s="1"/>
  <c r="R393" i="37"/>
  <c r="R395" i="37" s="1"/>
  <c r="S395" i="37" s="1"/>
  <c r="AE52" i="2"/>
  <c r="C12" i="1"/>
  <c r="C18" i="1"/>
  <c r="C21" i="1"/>
  <c r="G25" i="2"/>
  <c r="I25" i="2"/>
  <c r="K25" i="2"/>
  <c r="M25" i="2"/>
  <c r="O25" i="2"/>
  <c r="Q25" i="2"/>
  <c r="S25" i="2"/>
  <c r="U25" i="2"/>
  <c r="W25" i="2"/>
  <c r="Y25" i="2"/>
  <c r="AA25" i="2"/>
  <c r="AC25" i="2"/>
  <c r="G29" i="2"/>
  <c r="I29" i="2"/>
  <c r="K29" i="2"/>
  <c r="M29" i="2"/>
  <c r="O29" i="2"/>
  <c r="Q29" i="2"/>
  <c r="S29" i="2"/>
  <c r="U29" i="2"/>
  <c r="W29" i="2"/>
  <c r="Y29" i="2"/>
  <c r="AA29" i="2"/>
  <c r="AC29" i="2"/>
  <c r="G37" i="2"/>
  <c r="I37" i="2"/>
  <c r="K37" i="2"/>
  <c r="M37" i="2"/>
  <c r="O37" i="2"/>
  <c r="Q37" i="2"/>
  <c r="S37" i="2"/>
  <c r="U37" i="2"/>
  <c r="W37" i="2"/>
  <c r="Y37" i="2"/>
  <c r="AA37" i="2"/>
  <c r="AC37" i="2"/>
  <c r="G42" i="2"/>
  <c r="I42" i="2"/>
  <c r="K42" i="2"/>
  <c r="M42" i="2"/>
  <c r="O42" i="2"/>
  <c r="Q42" i="2"/>
  <c r="S42" i="2"/>
  <c r="U42" i="2"/>
  <c r="W42" i="2"/>
  <c r="Y42" i="2"/>
  <c r="AA42" i="2"/>
  <c r="AC42" i="2"/>
  <c r="G46" i="2"/>
  <c r="I46" i="2"/>
  <c r="K46" i="2"/>
  <c r="M46" i="2"/>
  <c r="O46" i="2"/>
  <c r="Q46" i="2"/>
  <c r="S46" i="2"/>
  <c r="U46" i="2"/>
  <c r="W46" i="2"/>
  <c r="Y46" i="2"/>
  <c r="AA46" i="2"/>
  <c r="AC46" i="2"/>
  <c r="G52" i="2"/>
  <c r="I52" i="2"/>
  <c r="K52" i="2"/>
  <c r="M52" i="2"/>
  <c r="O52" i="2"/>
  <c r="Q52" i="2"/>
  <c r="S52" i="2"/>
  <c r="U52" i="2"/>
  <c r="W52" i="2"/>
  <c r="Y52" i="2"/>
  <c r="AA52" i="2"/>
  <c r="AC52" i="2"/>
  <c r="G62" i="2"/>
  <c r="I62" i="2"/>
  <c r="K62" i="2"/>
  <c r="M62" i="2"/>
  <c r="O62" i="2"/>
  <c r="Q62" i="2"/>
  <c r="S62" i="2"/>
  <c r="U62" i="2"/>
  <c r="W62" i="2"/>
  <c r="Y62" i="2"/>
  <c r="AA62" i="2"/>
  <c r="AC62" i="2"/>
  <c r="AE62" i="2"/>
  <c r="G66" i="2"/>
  <c r="I66" i="2"/>
  <c r="K66" i="2"/>
  <c r="M66" i="2"/>
  <c r="O66" i="2"/>
  <c r="Q66" i="2"/>
  <c r="S66" i="2"/>
  <c r="U66" i="2"/>
  <c r="W66" i="2"/>
  <c r="Y66" i="2"/>
  <c r="AA66" i="2"/>
  <c r="AC66" i="2"/>
  <c r="AE66" i="2"/>
  <c r="G74" i="2"/>
  <c r="I74" i="2"/>
  <c r="K74" i="2"/>
  <c r="M74" i="2"/>
  <c r="O74" i="2"/>
  <c r="Q74" i="2"/>
  <c r="S74" i="2"/>
  <c r="U74" i="2"/>
  <c r="W74" i="2"/>
  <c r="Y74" i="2"/>
  <c r="AA74" i="2"/>
  <c r="AC74" i="2"/>
  <c r="AE74" i="2"/>
  <c r="G80" i="2"/>
  <c r="I80" i="2"/>
  <c r="K80" i="2"/>
  <c r="M80" i="2"/>
  <c r="O80" i="2"/>
  <c r="Q80" i="2"/>
  <c r="S80" i="2"/>
  <c r="U80" i="2"/>
  <c r="W80" i="2"/>
  <c r="Y80" i="2"/>
  <c r="AA80" i="2"/>
  <c r="AC80" i="2"/>
  <c r="AE80" i="2"/>
  <c r="G84" i="2"/>
  <c r="I84" i="2"/>
  <c r="K84" i="2"/>
  <c r="M84" i="2"/>
  <c r="O84" i="2"/>
  <c r="Q84" i="2"/>
  <c r="S84" i="2"/>
  <c r="U84" i="2"/>
  <c r="W84" i="2"/>
  <c r="Y84" i="2"/>
  <c r="AA84" i="2"/>
  <c r="AC84" i="2"/>
  <c r="AE84" i="2"/>
  <c r="G107" i="2"/>
  <c r="I107" i="2"/>
  <c r="K107" i="2"/>
  <c r="M107" i="2"/>
  <c r="O107" i="2"/>
  <c r="Q107" i="2"/>
  <c r="S107" i="2"/>
  <c r="U107" i="2"/>
  <c r="W107" i="2"/>
  <c r="Y107" i="2"/>
  <c r="AA107" i="2"/>
  <c r="AC107" i="2"/>
  <c r="AE107" i="2"/>
  <c r="G111" i="2"/>
  <c r="I111" i="2"/>
  <c r="K111" i="2"/>
  <c r="M111" i="2"/>
  <c r="O111" i="2"/>
  <c r="Q111" i="2"/>
  <c r="S111" i="2"/>
  <c r="U111" i="2"/>
  <c r="W111" i="2"/>
  <c r="Y111" i="2"/>
  <c r="AA111" i="2"/>
  <c r="AC111" i="2"/>
  <c r="AE111" i="2"/>
  <c r="G146" i="2"/>
  <c r="I146" i="2"/>
  <c r="K146" i="2"/>
  <c r="M146" i="2"/>
  <c r="O146" i="2"/>
  <c r="Q146" i="2"/>
  <c r="S146" i="2"/>
  <c r="U146" i="2"/>
  <c r="W146" i="2"/>
  <c r="Y146" i="2"/>
  <c r="AA146" i="2"/>
  <c r="AC146" i="2"/>
  <c r="AE146" i="2"/>
  <c r="G165" i="2"/>
  <c r="I165" i="2"/>
  <c r="K165" i="2"/>
  <c r="M165" i="2"/>
  <c r="O165" i="2"/>
  <c r="Q165" i="2"/>
  <c r="S165" i="2"/>
  <c r="U165" i="2"/>
  <c r="W165" i="2"/>
  <c r="Y165" i="2"/>
  <c r="AA165" i="2"/>
  <c r="AC165" i="2"/>
  <c r="AE165" i="2"/>
  <c r="G185" i="2"/>
  <c r="I185" i="2"/>
  <c r="K185" i="2"/>
  <c r="M185" i="2"/>
  <c r="O185" i="2"/>
  <c r="Q185" i="2"/>
  <c r="S185" i="2"/>
  <c r="U185" i="2"/>
  <c r="W185" i="2"/>
  <c r="Y185" i="2"/>
  <c r="AA185" i="2"/>
  <c r="AC185" i="2"/>
  <c r="AE185" i="2"/>
  <c r="G204" i="2"/>
  <c r="I204" i="2"/>
  <c r="K204" i="2"/>
  <c r="M204" i="2"/>
  <c r="O204" i="2"/>
  <c r="Q204" i="2"/>
  <c r="S204" i="2"/>
  <c r="U204" i="2"/>
  <c r="W204" i="2"/>
  <c r="Y204" i="2"/>
  <c r="AA204" i="2"/>
  <c r="AC204" i="2"/>
  <c r="AE204" i="2"/>
  <c r="G208" i="2"/>
  <c r="I208" i="2"/>
  <c r="K208" i="2"/>
  <c r="M208" i="2"/>
  <c r="O208" i="2"/>
  <c r="Q208" i="2"/>
  <c r="S208" i="2"/>
  <c r="U208" i="2"/>
  <c r="W208" i="2"/>
  <c r="Y208" i="2"/>
  <c r="AA208" i="2"/>
  <c r="AC208" i="2"/>
  <c r="AE208" i="2"/>
  <c r="G219" i="2"/>
  <c r="I219" i="2"/>
  <c r="K219" i="2"/>
  <c r="M219" i="2"/>
  <c r="O219" i="2"/>
  <c r="Q219" i="2"/>
  <c r="S219" i="2"/>
  <c r="U219" i="2"/>
  <c r="W219" i="2"/>
  <c r="Y219" i="2"/>
  <c r="AA219" i="2"/>
  <c r="AC219" i="2"/>
  <c r="AE219" i="2"/>
  <c r="G223" i="2"/>
  <c r="I223" i="2"/>
  <c r="K223" i="2"/>
  <c r="M223" i="2"/>
  <c r="O223" i="2"/>
  <c r="Q223" i="2"/>
  <c r="S223" i="2"/>
  <c r="U223" i="2"/>
  <c r="W223" i="2"/>
  <c r="Y223" i="2"/>
  <c r="AA223" i="2"/>
  <c r="AC223" i="2"/>
  <c r="AE223" i="2"/>
  <c r="G244" i="2"/>
  <c r="I244" i="2"/>
  <c r="K244" i="2"/>
  <c r="M244" i="2"/>
  <c r="O244" i="2"/>
  <c r="Q244" i="2"/>
  <c r="S244" i="2"/>
  <c r="U244" i="2"/>
  <c r="W244" i="2"/>
  <c r="Y244" i="2"/>
  <c r="AA244" i="2"/>
  <c r="AC244" i="2"/>
  <c r="AE244" i="2"/>
  <c r="G293" i="2"/>
  <c r="I293" i="2"/>
  <c r="K293" i="2"/>
  <c r="M293" i="2"/>
  <c r="O293" i="2"/>
  <c r="Q293" i="2"/>
  <c r="S293" i="2"/>
  <c r="U293" i="2"/>
  <c r="W293" i="2"/>
  <c r="Y293" i="2"/>
  <c r="AA293" i="2"/>
  <c r="AC293" i="2"/>
  <c r="AE293" i="2"/>
  <c r="G297" i="2"/>
  <c r="I297" i="2"/>
  <c r="K297" i="2"/>
  <c r="M297" i="2"/>
  <c r="O297" i="2"/>
  <c r="Q297" i="2"/>
  <c r="S297" i="2"/>
  <c r="U297" i="2"/>
  <c r="W297" i="2"/>
  <c r="Y297" i="2"/>
  <c r="AA297" i="2"/>
  <c r="AC297" i="2"/>
  <c r="AE297" i="2"/>
  <c r="I299" i="2"/>
  <c r="G311" i="2"/>
  <c r="I311" i="2"/>
  <c r="K311" i="2"/>
  <c r="L311" i="2"/>
  <c r="M311" i="2"/>
  <c r="O311" i="2"/>
  <c r="Q311" i="2"/>
  <c r="R311" i="2"/>
  <c r="S311" i="2"/>
  <c r="U311" i="2"/>
  <c r="W311" i="2"/>
  <c r="X311" i="2"/>
  <c r="Y311" i="2"/>
  <c r="AA311" i="2"/>
  <c r="AC311" i="2"/>
  <c r="AD311" i="2"/>
  <c r="G315" i="2"/>
  <c r="I315" i="2"/>
  <c r="K315" i="2"/>
  <c r="L315" i="2"/>
  <c r="M315" i="2"/>
  <c r="O315" i="2"/>
  <c r="Q315" i="2"/>
  <c r="R315" i="2"/>
  <c r="S315" i="2"/>
  <c r="U315" i="2"/>
  <c r="W315" i="2"/>
  <c r="X315" i="2"/>
  <c r="Y315" i="2"/>
  <c r="AA315" i="2"/>
  <c r="AC315" i="2"/>
  <c r="AD315" i="2"/>
  <c r="G319" i="2"/>
  <c r="I319" i="2"/>
  <c r="K319" i="2"/>
  <c r="L319" i="2"/>
  <c r="M319" i="2"/>
  <c r="M321" i="2" s="1"/>
  <c r="O319" i="2"/>
  <c r="O321" i="2" s="1"/>
  <c r="Q319" i="2"/>
  <c r="R319" i="2"/>
  <c r="S319" i="2"/>
  <c r="U319" i="2"/>
  <c r="U321" i="2" s="1"/>
  <c r="W319" i="2"/>
  <c r="X319" i="2"/>
  <c r="Y319" i="2"/>
  <c r="AA319" i="2"/>
  <c r="AA321" i="2" s="1"/>
  <c r="AC319" i="2"/>
  <c r="AD319" i="2"/>
  <c r="G321" i="2"/>
  <c r="I321" i="2"/>
  <c r="L321" i="2"/>
  <c r="R321" i="2"/>
  <c r="S321" i="2"/>
  <c r="X321" i="2"/>
  <c r="AD321" i="2"/>
  <c r="L323" i="2"/>
  <c r="R323" i="2"/>
  <c r="X323" i="2"/>
  <c r="AD323" i="2"/>
  <c r="G327" i="2"/>
  <c r="I327" i="2"/>
  <c r="K327" i="2"/>
  <c r="L327" i="2"/>
  <c r="M327" i="2"/>
  <c r="O327" i="2"/>
  <c r="Q327" i="2"/>
  <c r="R327" i="2"/>
  <c r="S327" i="2"/>
  <c r="U327" i="2"/>
  <c r="W327" i="2"/>
  <c r="X327" i="2"/>
  <c r="Y327" i="2"/>
  <c r="AA327" i="2"/>
  <c r="AC327" i="2"/>
  <c r="AD327" i="2"/>
  <c r="AE327" i="2"/>
  <c r="G331" i="2"/>
  <c r="I331" i="2"/>
  <c r="K331" i="2"/>
  <c r="L331" i="2"/>
  <c r="M331" i="2"/>
  <c r="O331" i="2"/>
  <c r="Q331" i="2"/>
  <c r="R331" i="2"/>
  <c r="S331" i="2"/>
  <c r="U331" i="2"/>
  <c r="W331" i="2"/>
  <c r="X331" i="2"/>
  <c r="Y331" i="2"/>
  <c r="AA331" i="2"/>
  <c r="AC331" i="2"/>
  <c r="AD331" i="2"/>
  <c r="AE331" i="2"/>
  <c r="G335" i="2"/>
  <c r="I335" i="2"/>
  <c r="K335" i="2"/>
  <c r="L335" i="2"/>
  <c r="M335" i="2"/>
  <c r="O335" i="2"/>
  <c r="Q335" i="2"/>
  <c r="R335" i="2"/>
  <c r="S335" i="2"/>
  <c r="U335" i="2"/>
  <c r="W335" i="2"/>
  <c r="X335" i="2"/>
  <c r="Y335" i="2"/>
  <c r="AA335" i="2"/>
  <c r="AC335" i="2"/>
  <c r="AD335" i="2"/>
  <c r="AE335" i="2"/>
  <c r="L337" i="2"/>
  <c r="R337" i="2"/>
  <c r="X337" i="2"/>
  <c r="AD337" i="2"/>
  <c r="G341" i="2"/>
  <c r="I341" i="2"/>
  <c r="K341" i="2"/>
  <c r="L341" i="2"/>
  <c r="M341" i="2"/>
  <c r="O341" i="2"/>
  <c r="Q341" i="2"/>
  <c r="R341" i="2"/>
  <c r="S341" i="2"/>
  <c r="U341" i="2"/>
  <c r="W341" i="2"/>
  <c r="X341" i="2"/>
  <c r="Y341" i="2"/>
  <c r="AA341" i="2"/>
  <c r="AC341" i="2"/>
  <c r="AD341" i="2"/>
  <c r="AE341" i="2"/>
  <c r="L343" i="2"/>
  <c r="R343" i="2"/>
  <c r="X343" i="2"/>
  <c r="AD343" i="2"/>
  <c r="G347" i="2"/>
  <c r="I347" i="2"/>
  <c r="K347" i="2"/>
  <c r="L347" i="2"/>
  <c r="M347" i="2"/>
  <c r="O347" i="2"/>
  <c r="Q347" i="2"/>
  <c r="R347" i="2"/>
  <c r="S347" i="2"/>
  <c r="U347" i="2"/>
  <c r="W347" i="2"/>
  <c r="X347" i="2"/>
  <c r="Y347" i="2"/>
  <c r="AA347" i="2"/>
  <c r="AC347" i="2"/>
  <c r="AD347" i="2"/>
  <c r="AE347" i="2"/>
  <c r="L349" i="2"/>
  <c r="R349" i="2"/>
  <c r="X349" i="2"/>
  <c r="AD349" i="2"/>
  <c r="G353" i="2"/>
  <c r="I353" i="2"/>
  <c r="K353" i="2"/>
  <c r="L353" i="2"/>
  <c r="M353" i="2"/>
  <c r="O353" i="2"/>
  <c r="Q353" i="2"/>
  <c r="R353" i="2"/>
  <c r="S353" i="2"/>
  <c r="U353" i="2"/>
  <c r="W353" i="2"/>
  <c r="X353" i="2"/>
  <c r="Y353" i="2"/>
  <c r="AA353" i="2"/>
  <c r="AC353" i="2"/>
  <c r="AD353" i="2"/>
  <c r="AE353" i="2"/>
  <c r="L355" i="2"/>
  <c r="R355" i="2"/>
  <c r="X355" i="2"/>
  <c r="AD355" i="2"/>
  <c r="G359" i="2"/>
  <c r="I359" i="2"/>
  <c r="K359" i="2"/>
  <c r="M359" i="2"/>
  <c r="O359" i="2"/>
  <c r="Q359" i="2"/>
  <c r="S359" i="2"/>
  <c r="U359" i="2"/>
  <c r="W359" i="2"/>
  <c r="Y359" i="2"/>
  <c r="AA359" i="2"/>
  <c r="AC359" i="2"/>
  <c r="AE359" i="2"/>
  <c r="W86" i="2" l="1"/>
  <c r="G86" i="2"/>
  <c r="AA225" i="2"/>
  <c r="M54" i="2"/>
  <c r="M225" i="2"/>
  <c r="AE54" i="2"/>
  <c r="U54" i="2"/>
  <c r="K225" i="2"/>
  <c r="AC225" i="2"/>
  <c r="Y86" i="2"/>
  <c r="AC54" i="2"/>
  <c r="O299" i="2"/>
  <c r="Y299" i="2"/>
  <c r="Q299" i="2"/>
  <c r="Q86" i="2"/>
  <c r="I86" i="2"/>
  <c r="S485" i="37"/>
  <c r="R490" i="37"/>
  <c r="R491" i="37" s="1"/>
  <c r="Y321" i="2"/>
  <c r="W299" i="2"/>
  <c r="U225" i="2"/>
  <c r="O86" i="2"/>
  <c r="S225" i="2"/>
  <c r="AE315" i="2"/>
  <c r="AA299" i="2"/>
  <c r="S299" i="2"/>
  <c r="K299" i="2"/>
  <c r="AA54" i="2"/>
  <c r="S54" i="2"/>
  <c r="K54" i="2"/>
  <c r="G299" i="2"/>
  <c r="W225" i="2"/>
  <c r="O225" i="2"/>
  <c r="G225" i="2"/>
  <c r="AE319" i="2"/>
  <c r="AE299" i="2"/>
  <c r="Y225" i="2"/>
  <c r="Q225" i="2"/>
  <c r="I225" i="2"/>
  <c r="AE86" i="2"/>
  <c r="AC86" i="2"/>
  <c r="AC88" i="2" s="1"/>
  <c r="U86" i="2"/>
  <c r="U88" i="2" s="1"/>
  <c r="M86" i="2"/>
  <c r="M88" i="2" s="1"/>
  <c r="W54" i="2"/>
  <c r="O54" i="2"/>
  <c r="G54" i="2"/>
  <c r="Y54" i="2"/>
  <c r="Q54" i="2"/>
  <c r="I54" i="2"/>
  <c r="AC321" i="2"/>
  <c r="W321" i="2"/>
  <c r="Q321" i="2"/>
  <c r="AE311" i="2"/>
  <c r="AC299" i="2"/>
  <c r="U299" i="2"/>
  <c r="M299" i="2"/>
  <c r="AA86" i="2"/>
  <c r="S86" i="2"/>
  <c r="K86" i="2"/>
  <c r="K321" i="2"/>
  <c r="AE225" i="2"/>
  <c r="B245" i="14"/>
  <c r="B242" i="14"/>
  <c r="B239" i="14"/>
  <c r="B251" i="14" l="1"/>
  <c r="W88" i="2"/>
  <c r="W227" i="2" s="1"/>
  <c r="M227" i="2"/>
  <c r="S88" i="2"/>
  <c r="U227" i="2"/>
  <c r="G88" i="2"/>
  <c r="G227" i="2" s="1"/>
  <c r="G302" i="2" s="1"/>
  <c r="I88" i="2"/>
  <c r="Q88" i="2"/>
  <c r="Q227" i="2" s="1"/>
  <c r="Q302" i="2" s="1"/>
  <c r="I227" i="2"/>
  <c r="I302" i="2" s="1"/>
  <c r="Y88" i="2"/>
  <c r="Y227" i="2" s="1"/>
  <c r="Y302" i="2" s="1"/>
  <c r="Y304" i="2" s="1"/>
  <c r="M302" i="2"/>
  <c r="M304" i="2" s="1"/>
  <c r="AC227" i="2"/>
  <c r="AC302" i="2" s="1"/>
  <c r="AC323" i="2" s="1"/>
  <c r="AC337" i="2" s="1"/>
  <c r="AC343" i="2" s="1"/>
  <c r="AC349" i="2" s="1"/>
  <c r="AC355" i="2" s="1"/>
  <c r="S227" i="2"/>
  <c r="S302" i="2" s="1"/>
  <c r="U302" i="2"/>
  <c r="U323" i="2" s="1"/>
  <c r="U337" i="2" s="1"/>
  <c r="U343" i="2" s="1"/>
  <c r="U349" i="2" s="1"/>
  <c r="U355" i="2" s="1"/>
  <c r="W302" i="2"/>
  <c r="W323" i="2" s="1"/>
  <c r="W337" i="2" s="1"/>
  <c r="W343" i="2" s="1"/>
  <c r="W349" i="2" s="1"/>
  <c r="W355" i="2" s="1"/>
  <c r="AA88" i="2"/>
  <c r="AA227" i="2" s="1"/>
  <c r="AA302" i="2" s="1"/>
  <c r="AA304" i="2" s="1"/>
  <c r="AE88" i="2"/>
  <c r="AE227" i="2" s="1"/>
  <c r="AE321" i="2"/>
  <c r="O88" i="2"/>
  <c r="O227" i="2" s="1"/>
  <c r="O302" i="2" s="1"/>
  <c r="K88" i="2"/>
  <c r="K227" i="2" s="1"/>
  <c r="K302" i="2" s="1"/>
  <c r="K304" i="2" s="1"/>
  <c r="M323" i="2"/>
  <c r="M337" i="2" s="1"/>
  <c r="M343" i="2" s="1"/>
  <c r="M349" i="2" s="1"/>
  <c r="M355" i="2" s="1"/>
  <c r="AA323" i="2"/>
  <c r="AA337" i="2" s="1"/>
  <c r="AA343" i="2" s="1"/>
  <c r="AA349" i="2" s="1"/>
  <c r="AA355" i="2" s="1"/>
  <c r="I323" i="2"/>
  <c r="I337" i="2" s="1"/>
  <c r="I343" i="2" s="1"/>
  <c r="I349" i="2" s="1"/>
  <c r="I355" i="2" s="1"/>
  <c r="I304" i="2"/>
  <c r="AC304" i="2"/>
  <c r="Q304" i="2"/>
  <c r="Q323" i="2"/>
  <c r="Q337" i="2" s="1"/>
  <c r="Q343" i="2" s="1"/>
  <c r="Q349" i="2" s="1"/>
  <c r="Q355" i="2" s="1"/>
  <c r="S304" i="2"/>
  <c r="S323" i="2"/>
  <c r="S337" i="2" s="1"/>
  <c r="S343" i="2" s="1"/>
  <c r="S349" i="2" s="1"/>
  <c r="S355" i="2" s="1"/>
  <c r="W304" i="2"/>
  <c r="K323" i="2"/>
  <c r="K337" i="2" s="1"/>
  <c r="K343" i="2" s="1"/>
  <c r="K349" i="2" s="1"/>
  <c r="K355" i="2" s="1"/>
  <c r="D162" i="1"/>
  <c r="D305" i="36"/>
  <c r="AS224" i="36"/>
  <c r="AQ224" i="36"/>
  <c r="AS223" i="36"/>
  <c r="AQ223" i="36"/>
  <c r="AS222" i="36"/>
  <c r="AQ222" i="36"/>
  <c r="AS221" i="36"/>
  <c r="AQ221" i="36"/>
  <c r="AS220" i="36"/>
  <c r="AQ220" i="36"/>
  <c r="AS219" i="36"/>
  <c r="AQ219" i="36"/>
  <c r="AS218" i="36"/>
  <c r="AQ218" i="36"/>
  <c r="AS217" i="36"/>
  <c r="AQ217" i="36"/>
  <c r="AS216" i="36"/>
  <c r="AQ216" i="36"/>
  <c r="AS215" i="36"/>
  <c r="AQ215" i="36"/>
  <c r="AS214" i="36"/>
  <c r="AQ214" i="36"/>
  <c r="AS213" i="36"/>
  <c r="AQ213" i="36"/>
  <c r="AS212" i="36"/>
  <c r="AQ212" i="36"/>
  <c r="AS211" i="36"/>
  <c r="AQ211" i="36"/>
  <c r="AS210" i="36"/>
  <c r="AQ210" i="36"/>
  <c r="AS209" i="36"/>
  <c r="AQ209" i="36"/>
  <c r="AS208" i="36"/>
  <c r="AQ208" i="36"/>
  <c r="AS207" i="36"/>
  <c r="AQ207" i="36"/>
  <c r="AS206" i="36"/>
  <c r="AQ206" i="36"/>
  <c r="AS205" i="36"/>
  <c r="AQ205" i="36"/>
  <c r="AS204" i="36"/>
  <c r="AQ204" i="36"/>
  <c r="AS203" i="36"/>
  <c r="AQ203" i="36"/>
  <c r="AS202" i="36"/>
  <c r="AQ202" i="36"/>
  <c r="AS201" i="36"/>
  <c r="AQ201" i="36"/>
  <c r="AS200" i="36"/>
  <c r="AQ200" i="36"/>
  <c r="AS199" i="36"/>
  <c r="AQ199" i="36"/>
  <c r="AS198" i="36"/>
  <c r="AQ198" i="36"/>
  <c r="AS197" i="36"/>
  <c r="AQ197" i="36"/>
  <c r="AS196" i="36"/>
  <c r="AQ196" i="36"/>
  <c r="AS195" i="36"/>
  <c r="AQ195" i="36"/>
  <c r="AS194" i="36"/>
  <c r="AQ194" i="36"/>
  <c r="AS193" i="36"/>
  <c r="AQ193" i="36"/>
  <c r="AS192" i="36"/>
  <c r="AQ192" i="36"/>
  <c r="AS191" i="36"/>
  <c r="AQ191" i="36"/>
  <c r="AS190" i="36"/>
  <c r="AQ190" i="36"/>
  <c r="AS189" i="36"/>
  <c r="AQ189" i="36"/>
  <c r="AS188" i="36"/>
  <c r="AQ188" i="36"/>
  <c r="AS187" i="36"/>
  <c r="AQ187" i="36"/>
  <c r="AS186" i="36"/>
  <c r="AQ186" i="36"/>
  <c r="AS185" i="36"/>
  <c r="AQ185" i="36"/>
  <c r="AS184" i="36"/>
  <c r="AQ184" i="36"/>
  <c r="AS183" i="36"/>
  <c r="AQ183" i="36"/>
  <c r="AS182" i="36"/>
  <c r="AQ182" i="36"/>
  <c r="AS181" i="36"/>
  <c r="AQ181" i="36"/>
  <c r="AS180" i="36"/>
  <c r="AQ180" i="36"/>
  <c r="AS179" i="36"/>
  <c r="AQ179" i="36"/>
  <c r="AS178" i="36"/>
  <c r="AQ178" i="36"/>
  <c r="AS177" i="36"/>
  <c r="AQ177" i="36"/>
  <c r="AS176" i="36"/>
  <c r="AQ176" i="36"/>
  <c r="AS175" i="36"/>
  <c r="AQ175" i="36"/>
  <c r="AS174" i="36"/>
  <c r="AQ174" i="36"/>
  <c r="AS173" i="36"/>
  <c r="AQ173" i="36"/>
  <c r="AS172" i="36"/>
  <c r="AQ172" i="36"/>
  <c r="AS171" i="36"/>
  <c r="AQ171" i="36"/>
  <c r="AS170" i="36"/>
  <c r="AQ170" i="36"/>
  <c r="AS169" i="36"/>
  <c r="AQ169" i="36"/>
  <c r="AS168" i="36"/>
  <c r="AQ168" i="36"/>
  <c r="AS167" i="36"/>
  <c r="AQ167" i="36"/>
  <c r="AS166" i="36"/>
  <c r="AQ166" i="36"/>
  <c r="AS165" i="36"/>
  <c r="AQ165" i="36"/>
  <c r="AS164" i="36"/>
  <c r="AQ164" i="36"/>
  <c r="AS163" i="36"/>
  <c r="AQ163" i="36"/>
  <c r="AS162" i="36"/>
  <c r="AQ162" i="36"/>
  <c r="AS161" i="36"/>
  <c r="AQ161" i="36"/>
  <c r="AS160" i="36"/>
  <c r="AQ160" i="36"/>
  <c r="AS159" i="36"/>
  <c r="AQ159" i="36"/>
  <c r="AS158" i="36"/>
  <c r="AQ158" i="36"/>
  <c r="AS157" i="36"/>
  <c r="AQ157" i="36"/>
  <c r="AS156" i="36"/>
  <c r="AQ156" i="36"/>
  <c r="AS155" i="36"/>
  <c r="AQ155" i="36"/>
  <c r="AS154" i="36"/>
  <c r="AQ154" i="36"/>
  <c r="AS153" i="36"/>
  <c r="AQ153" i="36"/>
  <c r="AS152" i="36"/>
  <c r="AQ152" i="36"/>
  <c r="AS151" i="36"/>
  <c r="AQ151" i="36"/>
  <c r="AS150" i="36"/>
  <c r="AQ150" i="36"/>
  <c r="AS149" i="36"/>
  <c r="AQ149" i="36"/>
  <c r="AS148" i="36"/>
  <c r="AQ148" i="36"/>
  <c r="AS147" i="36"/>
  <c r="AQ147" i="36"/>
  <c r="AS146" i="36"/>
  <c r="AQ146" i="36"/>
  <c r="AS145" i="36"/>
  <c r="AQ145" i="36"/>
  <c r="AS144" i="36"/>
  <c r="AQ144" i="36"/>
  <c r="AS143" i="36"/>
  <c r="AQ143" i="36"/>
  <c r="AS142" i="36"/>
  <c r="AQ142" i="36"/>
  <c r="AS141" i="36"/>
  <c r="AQ141" i="36"/>
  <c r="AS140" i="36"/>
  <c r="AQ140" i="36"/>
  <c r="AS139" i="36"/>
  <c r="AQ139" i="36"/>
  <c r="AS138" i="36"/>
  <c r="AQ138" i="36"/>
  <c r="AS137" i="36"/>
  <c r="AQ137" i="36"/>
  <c r="AS136" i="36"/>
  <c r="AQ136" i="36"/>
  <c r="AS135" i="36"/>
  <c r="AQ135" i="36"/>
  <c r="AS134" i="36"/>
  <c r="AQ134" i="36"/>
  <c r="AS133" i="36"/>
  <c r="AQ133" i="36"/>
  <c r="AS132" i="36"/>
  <c r="AQ132" i="36"/>
  <c r="AS131" i="36"/>
  <c r="AQ131" i="36"/>
  <c r="AS130" i="36"/>
  <c r="AQ130" i="36"/>
  <c r="AS129" i="36"/>
  <c r="AQ129" i="36"/>
  <c r="AS128" i="36"/>
  <c r="AQ128" i="36"/>
  <c r="AS127" i="36"/>
  <c r="AQ127" i="36"/>
  <c r="AS126" i="36"/>
  <c r="AQ126" i="36"/>
  <c r="AS125" i="36"/>
  <c r="AQ125" i="36"/>
  <c r="AS124" i="36"/>
  <c r="AQ124" i="36"/>
  <c r="AS123" i="36"/>
  <c r="AQ123" i="36"/>
  <c r="AS122" i="36"/>
  <c r="AQ122" i="36"/>
  <c r="AS121" i="36"/>
  <c r="AQ121" i="36"/>
  <c r="AS120" i="36"/>
  <c r="AQ120" i="36"/>
  <c r="AS119" i="36"/>
  <c r="AQ119" i="36"/>
  <c r="AS118" i="36"/>
  <c r="AQ118" i="36"/>
  <c r="AS117" i="36"/>
  <c r="AQ117" i="36"/>
  <c r="AS116" i="36"/>
  <c r="AQ116" i="36"/>
  <c r="AS115" i="36"/>
  <c r="AQ115" i="36"/>
  <c r="AS114" i="36"/>
  <c r="AQ114" i="36"/>
  <c r="AS113" i="36"/>
  <c r="AQ113" i="36"/>
  <c r="AS112" i="36"/>
  <c r="AQ112" i="36"/>
  <c r="AS111" i="36"/>
  <c r="AQ111" i="36"/>
  <c r="AS110" i="36"/>
  <c r="AQ110" i="36"/>
  <c r="AS109" i="36"/>
  <c r="AQ109" i="36"/>
  <c r="AS108" i="36"/>
  <c r="AQ108" i="36"/>
  <c r="AS107" i="36"/>
  <c r="AQ107" i="36"/>
  <c r="AS106" i="36"/>
  <c r="AQ106" i="36"/>
  <c r="AS105" i="36"/>
  <c r="AQ105" i="36"/>
  <c r="AS104" i="36"/>
  <c r="AQ104" i="36"/>
  <c r="AS103" i="36"/>
  <c r="AQ103" i="36"/>
  <c r="AS102" i="36"/>
  <c r="AQ102" i="36"/>
  <c r="AS101" i="36"/>
  <c r="AQ101" i="36"/>
  <c r="AS100" i="36"/>
  <c r="AQ100" i="36"/>
  <c r="AS99" i="36"/>
  <c r="AQ99" i="36"/>
  <c r="AS98" i="36"/>
  <c r="AQ98" i="36"/>
  <c r="AS97" i="36"/>
  <c r="AQ97" i="36"/>
  <c r="AS96" i="36"/>
  <c r="AQ96" i="36"/>
  <c r="AS95" i="36"/>
  <c r="AQ95" i="36"/>
  <c r="AS94" i="36"/>
  <c r="AQ94" i="36"/>
  <c r="AS93" i="36"/>
  <c r="AQ93" i="36"/>
  <c r="AS92" i="36"/>
  <c r="AQ92" i="36"/>
  <c r="AS91" i="36"/>
  <c r="AQ91" i="36"/>
  <c r="AS90" i="36"/>
  <c r="AQ90" i="36"/>
  <c r="AS89" i="36"/>
  <c r="AQ89" i="36"/>
  <c r="AS88" i="36"/>
  <c r="AQ88" i="36"/>
  <c r="AS87" i="36"/>
  <c r="AQ87" i="36"/>
  <c r="AS86" i="36"/>
  <c r="AQ86" i="36"/>
  <c r="AS85" i="36"/>
  <c r="AQ85" i="36"/>
  <c r="AS84" i="36"/>
  <c r="AQ84" i="36"/>
  <c r="AS83" i="36"/>
  <c r="AQ83" i="36"/>
  <c r="AS82" i="36"/>
  <c r="AQ82" i="36"/>
  <c r="AS81" i="36"/>
  <c r="AQ81" i="36"/>
  <c r="AS80" i="36"/>
  <c r="AQ80" i="36"/>
  <c r="AS79" i="36"/>
  <c r="AQ79" i="36"/>
  <c r="AS78" i="36"/>
  <c r="AQ78" i="36"/>
  <c r="AS77" i="36"/>
  <c r="AQ77" i="36"/>
  <c r="AS76" i="36"/>
  <c r="AQ76" i="36"/>
  <c r="AS75" i="36"/>
  <c r="AQ75" i="36"/>
  <c r="AS74" i="36"/>
  <c r="AQ74" i="36"/>
  <c r="AS73" i="36"/>
  <c r="AQ73" i="36"/>
  <c r="AS72" i="36"/>
  <c r="AQ72" i="36"/>
  <c r="AS71" i="36"/>
  <c r="AQ71" i="36"/>
  <c r="AS70" i="36"/>
  <c r="AQ70" i="36"/>
  <c r="AS69" i="36"/>
  <c r="AQ69" i="36"/>
  <c r="AS68" i="36"/>
  <c r="AQ68" i="36"/>
  <c r="AS67" i="36"/>
  <c r="AQ67" i="36"/>
  <c r="AS66" i="36"/>
  <c r="AQ66" i="36"/>
  <c r="AS65" i="36"/>
  <c r="AQ65" i="36"/>
  <c r="AS64" i="36"/>
  <c r="AQ64" i="36"/>
  <c r="AS63" i="36"/>
  <c r="AQ63" i="36"/>
  <c r="AS62" i="36"/>
  <c r="AQ62" i="36"/>
  <c r="AS61" i="36"/>
  <c r="AQ61" i="36"/>
  <c r="AS60" i="36"/>
  <c r="AQ60" i="36"/>
  <c r="AS59" i="36"/>
  <c r="AQ59" i="36"/>
  <c r="AS58" i="36"/>
  <c r="AQ58" i="36"/>
  <c r="AS57" i="36"/>
  <c r="AQ57" i="36"/>
  <c r="AS56" i="36"/>
  <c r="AQ56" i="36"/>
  <c r="AS55" i="36"/>
  <c r="AQ55" i="36"/>
  <c r="AS54" i="36"/>
  <c r="AQ54" i="36"/>
  <c r="AS53" i="36"/>
  <c r="AQ53" i="36"/>
  <c r="AS52" i="36"/>
  <c r="AQ52" i="36"/>
  <c r="AS51" i="36"/>
  <c r="AQ51" i="36"/>
  <c r="AS50" i="36"/>
  <c r="AQ50" i="36"/>
  <c r="AS49" i="36"/>
  <c r="AQ49" i="36"/>
  <c r="AS48" i="36"/>
  <c r="AQ48" i="36"/>
  <c r="AS47" i="36"/>
  <c r="AQ47" i="36"/>
  <c r="AS46" i="36"/>
  <c r="AQ46" i="36"/>
  <c r="AS45" i="36"/>
  <c r="AQ45" i="36"/>
  <c r="AS44" i="36"/>
  <c r="AQ44" i="36"/>
  <c r="AS43" i="36"/>
  <c r="AQ43" i="36"/>
  <c r="AS42" i="36"/>
  <c r="AQ42" i="36"/>
  <c r="AS41" i="36"/>
  <c r="AQ41" i="36"/>
  <c r="AS40" i="36"/>
  <c r="AQ40" i="36"/>
  <c r="AS39" i="36"/>
  <c r="AQ39" i="36"/>
  <c r="AS38" i="36"/>
  <c r="AQ38" i="36"/>
  <c r="AS37" i="36"/>
  <c r="AQ37" i="36"/>
  <c r="AS36" i="36"/>
  <c r="AQ36" i="36"/>
  <c r="AS35" i="36"/>
  <c r="AQ35" i="36"/>
  <c r="AS34" i="36"/>
  <c r="AQ34" i="36"/>
  <c r="AS33" i="36"/>
  <c r="AQ33" i="36"/>
  <c r="AS32" i="36"/>
  <c r="AQ32" i="36"/>
  <c r="AS31" i="36"/>
  <c r="AQ31" i="36"/>
  <c r="AS30" i="36"/>
  <c r="AQ30" i="36"/>
  <c r="AS29" i="36"/>
  <c r="AQ29" i="36"/>
  <c r="AS28" i="36"/>
  <c r="AQ28" i="36"/>
  <c r="AS27" i="36"/>
  <c r="AQ27" i="36"/>
  <c r="AS26" i="36"/>
  <c r="AQ26" i="36"/>
  <c r="AS25" i="36"/>
  <c r="AQ25" i="36"/>
  <c r="AS24" i="36"/>
  <c r="AQ24" i="36"/>
  <c r="AS23" i="36"/>
  <c r="AQ23" i="36"/>
  <c r="AS22" i="36"/>
  <c r="AQ22" i="36"/>
  <c r="AS21" i="36"/>
  <c r="AQ21" i="36"/>
  <c r="AS20" i="36"/>
  <c r="AQ20" i="36"/>
  <c r="G17" i="36"/>
  <c r="E17" i="36"/>
  <c r="D17" i="36"/>
  <c r="E16" i="36"/>
  <c r="D16" i="36"/>
  <c r="J8" i="36"/>
  <c r="G8" i="36"/>
  <c r="C8" i="36"/>
  <c r="B5" i="36"/>
  <c r="Y4" i="36"/>
  <c r="Q5" i="36"/>
  <c r="Q4" i="36"/>
  <c r="U4" i="36"/>
  <c r="U304" i="2" l="1"/>
  <c r="Y323" i="2"/>
  <c r="Y337" i="2" s="1"/>
  <c r="Y343" i="2" s="1"/>
  <c r="Y349" i="2" s="1"/>
  <c r="Y355" i="2" s="1"/>
  <c r="O323" i="2"/>
  <c r="O337" i="2" s="1"/>
  <c r="O343" i="2" s="1"/>
  <c r="O349" i="2" s="1"/>
  <c r="O355" i="2" s="1"/>
  <c r="O304" i="2"/>
  <c r="G323" i="2"/>
  <c r="G337" i="2" s="1"/>
  <c r="G343" i="2" s="1"/>
  <c r="G349" i="2" s="1"/>
  <c r="G355" i="2" s="1"/>
  <c r="G304" i="2"/>
  <c r="AE302" i="2"/>
  <c r="AE323" i="2" l="1"/>
  <c r="AE304" i="2"/>
  <c r="AE337" i="2" l="1"/>
  <c r="AE343" i="2" l="1"/>
  <c r="D15" i="6"/>
  <c r="T69" i="7"/>
  <c r="D265" i="1"/>
  <c r="D140" i="33"/>
  <c r="D139" i="33"/>
  <c r="D138" i="33"/>
  <c r="D135" i="33"/>
  <c r="AS93" i="33"/>
  <c r="AQ93" i="33"/>
  <c r="AS92" i="33"/>
  <c r="AQ92" i="33"/>
  <c r="AS91" i="33"/>
  <c r="AQ91" i="33"/>
  <c r="AS90" i="33"/>
  <c r="AQ90" i="33"/>
  <c r="AS89" i="33"/>
  <c r="AQ89" i="33"/>
  <c r="AS88" i="33"/>
  <c r="AQ88" i="33"/>
  <c r="AS87" i="33"/>
  <c r="AQ87" i="33"/>
  <c r="AS86" i="33"/>
  <c r="AQ86" i="33"/>
  <c r="AS85" i="33"/>
  <c r="AQ85" i="33"/>
  <c r="AS84" i="33"/>
  <c r="AQ84" i="33"/>
  <c r="AS83" i="33"/>
  <c r="AQ83" i="33"/>
  <c r="AS82" i="33"/>
  <c r="AQ82" i="33"/>
  <c r="AS81" i="33"/>
  <c r="AQ81" i="33"/>
  <c r="AS80" i="33"/>
  <c r="AQ80" i="33"/>
  <c r="AS79" i="33"/>
  <c r="AQ79" i="33"/>
  <c r="AS78" i="33"/>
  <c r="AQ78" i="33"/>
  <c r="AS77" i="33"/>
  <c r="AQ77" i="33"/>
  <c r="AS76" i="33"/>
  <c r="AQ76" i="33"/>
  <c r="AS75" i="33"/>
  <c r="AQ75" i="33"/>
  <c r="AS74" i="33"/>
  <c r="AQ74" i="33"/>
  <c r="AS73" i="33"/>
  <c r="AQ73" i="33"/>
  <c r="AS72" i="33"/>
  <c r="AQ72" i="33"/>
  <c r="AS71" i="33"/>
  <c r="AQ71" i="33"/>
  <c r="AS70" i="33"/>
  <c r="AQ70" i="33"/>
  <c r="AS69" i="33"/>
  <c r="AQ69" i="33"/>
  <c r="AS68" i="33"/>
  <c r="AQ68" i="33"/>
  <c r="AS67" i="33"/>
  <c r="AQ67" i="33"/>
  <c r="AS66" i="33"/>
  <c r="AQ66" i="33"/>
  <c r="AS65" i="33"/>
  <c r="AQ65" i="33"/>
  <c r="AS64" i="33"/>
  <c r="AQ64" i="33"/>
  <c r="AS63" i="33"/>
  <c r="AQ63" i="33"/>
  <c r="AS62" i="33"/>
  <c r="AQ62" i="33"/>
  <c r="AS61" i="33"/>
  <c r="AQ61" i="33"/>
  <c r="AS60" i="33"/>
  <c r="AQ60" i="33"/>
  <c r="AS59" i="33"/>
  <c r="AQ59" i="33"/>
  <c r="AS58" i="33"/>
  <c r="AQ58" i="33"/>
  <c r="AS57" i="33"/>
  <c r="AQ57" i="33"/>
  <c r="AS56" i="33"/>
  <c r="AQ56" i="33"/>
  <c r="AS55" i="33"/>
  <c r="AQ55" i="33"/>
  <c r="AS54" i="33"/>
  <c r="AQ54" i="33"/>
  <c r="AS53" i="33"/>
  <c r="AQ53" i="33"/>
  <c r="AS52" i="33"/>
  <c r="AQ52" i="33"/>
  <c r="AS51" i="33"/>
  <c r="AQ51" i="33"/>
  <c r="AS50" i="33"/>
  <c r="AQ50" i="33"/>
  <c r="AS49" i="33"/>
  <c r="AQ49" i="33"/>
  <c r="AS48" i="33"/>
  <c r="AQ48" i="33"/>
  <c r="AS47" i="33"/>
  <c r="AQ47" i="33"/>
  <c r="AS46" i="33"/>
  <c r="AQ46" i="33"/>
  <c r="AS45" i="33"/>
  <c r="AQ45" i="33"/>
  <c r="AS44" i="33"/>
  <c r="AQ44" i="33"/>
  <c r="AS43" i="33"/>
  <c r="AQ43" i="33"/>
  <c r="AS42" i="33"/>
  <c r="AQ42" i="33"/>
  <c r="AS41" i="33"/>
  <c r="AQ41" i="33"/>
  <c r="AS40" i="33"/>
  <c r="AQ40" i="33"/>
  <c r="AS39" i="33"/>
  <c r="AQ39" i="33"/>
  <c r="AS38" i="33"/>
  <c r="AQ38" i="33"/>
  <c r="AS37" i="33"/>
  <c r="AQ37" i="33"/>
  <c r="AS36" i="33"/>
  <c r="AQ36" i="33"/>
  <c r="AS35" i="33"/>
  <c r="AQ35" i="33"/>
  <c r="AS34" i="33"/>
  <c r="AQ34" i="33"/>
  <c r="AS33" i="33"/>
  <c r="AQ33" i="33"/>
  <c r="AS32" i="33"/>
  <c r="AQ32" i="33"/>
  <c r="AS31" i="33"/>
  <c r="AQ31" i="33"/>
  <c r="AS30" i="33"/>
  <c r="AQ30" i="33"/>
  <c r="AS29" i="33"/>
  <c r="AQ29" i="33"/>
  <c r="AS28" i="33"/>
  <c r="AQ28" i="33"/>
  <c r="AS27" i="33"/>
  <c r="AQ27" i="33"/>
  <c r="AS26" i="33"/>
  <c r="AQ26" i="33"/>
  <c r="AS25" i="33"/>
  <c r="AQ25" i="33"/>
  <c r="AS24" i="33"/>
  <c r="AQ24" i="33"/>
  <c r="AS23" i="33"/>
  <c r="AQ23" i="33"/>
  <c r="AS22" i="33"/>
  <c r="AQ22" i="33"/>
  <c r="AS21" i="33"/>
  <c r="AQ21" i="33"/>
  <c r="AS20" i="33"/>
  <c r="AQ20" i="33"/>
  <c r="G17" i="33"/>
  <c r="E17" i="33"/>
  <c r="D17" i="33"/>
  <c r="E16" i="33"/>
  <c r="D16" i="33"/>
  <c r="J8" i="33"/>
  <c r="G8" i="33"/>
  <c r="C8" i="33"/>
  <c r="U4" i="33"/>
  <c r="Q5" i="33"/>
  <c r="B5" i="33"/>
  <c r="Y4" i="33"/>
  <c r="Q4" i="33"/>
  <c r="AE349" i="2" l="1"/>
  <c r="T47" i="7"/>
  <c r="V76" i="7"/>
  <c r="X14" i="7"/>
  <c r="X18" i="7"/>
  <c r="O21" i="7"/>
  <c r="P21" i="7"/>
  <c r="Q21" i="7"/>
  <c r="R21" i="7"/>
  <c r="S21" i="7"/>
  <c r="T21" i="7"/>
  <c r="U21" i="7"/>
  <c r="V21" i="7"/>
  <c r="W21" i="7"/>
  <c r="AE355" i="2" l="1"/>
  <c r="N181" i="1"/>
  <c r="AE362" i="2" l="1"/>
  <c r="D163" i="1"/>
  <c r="D97" i="32"/>
  <c r="AS74" i="32"/>
  <c r="AQ74" i="32"/>
  <c r="AS73" i="32"/>
  <c r="AQ73" i="32"/>
  <c r="AS72" i="32"/>
  <c r="AQ72" i="32"/>
  <c r="AS71" i="32"/>
  <c r="AQ71" i="32"/>
  <c r="AS70" i="32"/>
  <c r="AQ70" i="32"/>
  <c r="AS69" i="32"/>
  <c r="AQ69" i="32"/>
  <c r="AS68" i="32"/>
  <c r="AQ68" i="32"/>
  <c r="AS67" i="32"/>
  <c r="AQ67" i="32"/>
  <c r="AS66" i="32"/>
  <c r="AQ66" i="32"/>
  <c r="AS65" i="32"/>
  <c r="AQ65" i="32"/>
  <c r="AS64" i="32"/>
  <c r="AQ64" i="32"/>
  <c r="AS63" i="32"/>
  <c r="AQ63" i="32"/>
  <c r="AS62" i="32"/>
  <c r="AQ62" i="32"/>
  <c r="AS61" i="32"/>
  <c r="AQ61" i="32"/>
  <c r="AS60" i="32"/>
  <c r="AQ60" i="32"/>
  <c r="AS59" i="32"/>
  <c r="AQ59" i="32"/>
  <c r="AS58" i="32"/>
  <c r="AQ58" i="32"/>
  <c r="AS57" i="32"/>
  <c r="AQ57" i="32"/>
  <c r="AS56" i="32"/>
  <c r="AQ56" i="32"/>
  <c r="AS55" i="32"/>
  <c r="AQ55" i="32"/>
  <c r="AS54" i="32"/>
  <c r="AQ54" i="32"/>
  <c r="AS53" i="32"/>
  <c r="AQ53" i="32"/>
  <c r="AS52" i="32"/>
  <c r="AQ52" i="32"/>
  <c r="AS51" i="32"/>
  <c r="AQ51" i="32"/>
  <c r="AS50" i="32"/>
  <c r="AQ50" i="32"/>
  <c r="AS49" i="32"/>
  <c r="AQ49" i="32"/>
  <c r="AS48" i="32"/>
  <c r="AQ48" i="32"/>
  <c r="AS47" i="32"/>
  <c r="AQ47" i="32"/>
  <c r="AS46" i="32"/>
  <c r="AQ46" i="32"/>
  <c r="AS45" i="32"/>
  <c r="AQ45" i="32"/>
  <c r="AS44" i="32"/>
  <c r="AQ44" i="32"/>
  <c r="AS43" i="32"/>
  <c r="AQ43" i="32"/>
  <c r="AS42" i="32"/>
  <c r="AQ42" i="32"/>
  <c r="AS41" i="32"/>
  <c r="AQ41" i="32"/>
  <c r="AS40" i="32"/>
  <c r="AQ40" i="32"/>
  <c r="AS39" i="32"/>
  <c r="AQ39" i="32"/>
  <c r="AS38" i="32"/>
  <c r="AQ38" i="32"/>
  <c r="AS37" i="32"/>
  <c r="AQ37" i="32"/>
  <c r="AS36" i="32"/>
  <c r="AQ36" i="32"/>
  <c r="AS35" i="32"/>
  <c r="AQ35" i="32"/>
  <c r="AS34" i="32"/>
  <c r="AQ34" i="32"/>
  <c r="AS33" i="32"/>
  <c r="AQ33" i="32"/>
  <c r="AS32" i="32"/>
  <c r="AQ32" i="32"/>
  <c r="AS31" i="32"/>
  <c r="AQ31" i="32"/>
  <c r="AS30" i="32"/>
  <c r="AQ30" i="32"/>
  <c r="AS29" i="32"/>
  <c r="AQ29" i="32"/>
  <c r="AS28" i="32"/>
  <c r="AQ28" i="32"/>
  <c r="AS27" i="32"/>
  <c r="AQ27" i="32"/>
  <c r="AS26" i="32"/>
  <c r="AQ26" i="32"/>
  <c r="AS25" i="32"/>
  <c r="AQ25" i="32"/>
  <c r="AS24" i="32"/>
  <c r="AQ24" i="32"/>
  <c r="AS23" i="32"/>
  <c r="AQ23" i="32"/>
  <c r="AS22" i="32"/>
  <c r="AQ22" i="32"/>
  <c r="AS21" i="32"/>
  <c r="AQ21" i="32"/>
  <c r="AS20" i="32"/>
  <c r="AQ20" i="32"/>
  <c r="G17" i="32"/>
  <c r="E17" i="32"/>
  <c r="D17" i="32"/>
  <c r="E16" i="32"/>
  <c r="D16" i="32"/>
  <c r="J8" i="32"/>
  <c r="G8" i="32"/>
  <c r="C8" i="32"/>
  <c r="Y4" i="32"/>
  <c r="Q4" i="32"/>
  <c r="B5" i="32"/>
  <c r="U4" i="32"/>
  <c r="Q5" i="32"/>
  <c r="C25" i="31" l="1"/>
  <c r="B21" i="31"/>
  <c r="G113" i="1" l="1"/>
  <c r="B48" i="8"/>
  <c r="D27" i="30"/>
  <c r="B34" i="30" l="1"/>
  <c r="C19" i="30"/>
  <c r="B19" i="30"/>
  <c r="D18" i="30"/>
  <c r="D17" i="30"/>
  <c r="D16" i="30"/>
  <c r="D15" i="30"/>
  <c r="D14" i="30"/>
  <c r="D13" i="30"/>
  <c r="D12" i="30"/>
  <c r="D11" i="30"/>
  <c r="D10" i="30"/>
  <c r="D9" i="30"/>
  <c r="D8" i="30"/>
  <c r="D7" i="30"/>
  <c r="D19" i="30" l="1"/>
  <c r="B104" i="7" l="1"/>
  <c r="B103" i="7"/>
  <c r="B100" i="7"/>
  <c r="B99" i="7"/>
  <c r="V261" i="29"/>
  <c r="T261" i="29"/>
  <c r="S261" i="29"/>
  <c r="R261" i="29"/>
  <c r="P261" i="29"/>
  <c r="N261" i="29"/>
  <c r="L261" i="29"/>
  <c r="J261" i="29"/>
  <c r="S251" i="29"/>
  <c r="R251" i="29"/>
  <c r="N251" i="29"/>
  <c r="L251" i="29"/>
  <c r="J251" i="29"/>
  <c r="P249" i="29"/>
  <c r="T249" i="29" s="1"/>
  <c r="V249" i="29" s="1"/>
  <c r="V251" i="29" s="1"/>
  <c r="S247" i="29"/>
  <c r="R247" i="29"/>
  <c r="N247" i="29"/>
  <c r="L247" i="29"/>
  <c r="J247" i="29"/>
  <c r="P247" i="29" s="1"/>
  <c r="P245" i="29"/>
  <c r="T245" i="29" s="1"/>
  <c r="S244" i="29"/>
  <c r="R244" i="29"/>
  <c r="N244" i="29"/>
  <c r="L244" i="29"/>
  <c r="J244" i="29"/>
  <c r="P244" i="29" s="1"/>
  <c r="T242" i="29"/>
  <c r="V242" i="29" s="1"/>
  <c r="V244" i="29" s="1"/>
  <c r="P242" i="29"/>
  <c r="S241" i="29"/>
  <c r="R241" i="29"/>
  <c r="N241" i="29"/>
  <c r="L241" i="29"/>
  <c r="J241" i="29"/>
  <c r="P239" i="29"/>
  <c r="T239" i="29" s="1"/>
  <c r="S238" i="29"/>
  <c r="R238" i="29"/>
  <c r="N238" i="29"/>
  <c r="L238" i="29"/>
  <c r="J238" i="29"/>
  <c r="P238" i="29" s="1"/>
  <c r="P236" i="29"/>
  <c r="T236" i="29" s="1"/>
  <c r="V236" i="29" s="1"/>
  <c r="V238" i="29" s="1"/>
  <c r="S235" i="29"/>
  <c r="R235" i="29"/>
  <c r="N235" i="29"/>
  <c r="L235" i="29"/>
  <c r="J235" i="29"/>
  <c r="P233" i="29"/>
  <c r="T233" i="29" s="1"/>
  <c r="S232" i="29"/>
  <c r="R232" i="29"/>
  <c r="N232" i="29"/>
  <c r="L232" i="29"/>
  <c r="J232" i="29"/>
  <c r="P230" i="29"/>
  <c r="T230" i="29" s="1"/>
  <c r="V230" i="29" s="1"/>
  <c r="V232" i="29" s="1"/>
  <c r="S229" i="29"/>
  <c r="S253" i="29" s="1"/>
  <c r="R229" i="29"/>
  <c r="R253" i="29" s="1"/>
  <c r="N229" i="29"/>
  <c r="N253" i="29" s="1"/>
  <c r="L229" i="29"/>
  <c r="L253" i="29" s="1"/>
  <c r="J229" i="29"/>
  <c r="J253" i="29" s="1"/>
  <c r="P227" i="29"/>
  <c r="T227" i="29" s="1"/>
  <c r="S223" i="29"/>
  <c r="R223" i="29"/>
  <c r="N223" i="29"/>
  <c r="L223" i="29"/>
  <c r="J223" i="29"/>
  <c r="P223" i="29" s="1"/>
  <c r="T221" i="29"/>
  <c r="V221" i="29" s="1"/>
  <c r="V223" i="29" s="1"/>
  <c r="P221" i="29"/>
  <c r="S220" i="29"/>
  <c r="R220" i="29"/>
  <c r="N220" i="29"/>
  <c r="L220" i="29"/>
  <c r="J220" i="29"/>
  <c r="P218" i="29"/>
  <c r="T218" i="29" s="1"/>
  <c r="S217" i="29"/>
  <c r="R217" i="29"/>
  <c r="N217" i="29"/>
  <c r="L217" i="29"/>
  <c r="J217" i="29"/>
  <c r="P217" i="29" s="1"/>
  <c r="T215" i="29"/>
  <c r="V215" i="29" s="1"/>
  <c r="V217" i="29" s="1"/>
  <c r="P215" i="29"/>
  <c r="S214" i="29"/>
  <c r="R214" i="29"/>
  <c r="N214" i="29"/>
  <c r="L214" i="29"/>
  <c r="J214" i="29"/>
  <c r="P214" i="29" s="1"/>
  <c r="P212" i="29"/>
  <c r="T212" i="29" s="1"/>
  <c r="S211" i="29"/>
  <c r="R211" i="29"/>
  <c r="N211" i="29"/>
  <c r="L211" i="29"/>
  <c r="J211" i="29"/>
  <c r="P209" i="29"/>
  <c r="T209" i="29" s="1"/>
  <c r="V209" i="29" s="1"/>
  <c r="V211" i="29" s="1"/>
  <c r="S208" i="29"/>
  <c r="R208" i="29"/>
  <c r="N208" i="29"/>
  <c r="L208" i="29"/>
  <c r="P208" i="29" s="1"/>
  <c r="J208" i="29"/>
  <c r="P206" i="29"/>
  <c r="T206" i="29" s="1"/>
  <c r="S205" i="29"/>
  <c r="R205" i="29"/>
  <c r="N205" i="29"/>
  <c r="L205" i="29"/>
  <c r="J205" i="29"/>
  <c r="P205" i="29" s="1"/>
  <c r="T203" i="29"/>
  <c r="V203" i="29" s="1"/>
  <c r="V205" i="29" s="1"/>
  <c r="P203" i="29"/>
  <c r="S198" i="29"/>
  <c r="R198" i="29"/>
  <c r="P198" i="29"/>
  <c r="N198" i="29"/>
  <c r="L198" i="29"/>
  <c r="J198" i="29"/>
  <c r="P196" i="29"/>
  <c r="T196" i="29" s="1"/>
  <c r="V196" i="29" s="1"/>
  <c r="T195" i="29"/>
  <c r="V195" i="29" s="1"/>
  <c r="P195" i="29"/>
  <c r="P194" i="29"/>
  <c r="T194" i="29" s="1"/>
  <c r="V194" i="29" s="1"/>
  <c r="T193" i="29"/>
  <c r="V193" i="29" s="1"/>
  <c r="P193" i="29"/>
  <c r="P192" i="29"/>
  <c r="T192" i="29" s="1"/>
  <c r="V192" i="29" s="1"/>
  <c r="P191" i="29"/>
  <c r="T191" i="29" s="1"/>
  <c r="V191" i="29" s="1"/>
  <c r="P190" i="29"/>
  <c r="T190" i="29" s="1"/>
  <c r="V190" i="29" s="1"/>
  <c r="P189" i="29"/>
  <c r="T189" i="29" s="1"/>
  <c r="S188" i="29"/>
  <c r="R188" i="29"/>
  <c r="N188" i="29"/>
  <c r="L188" i="29"/>
  <c r="J188" i="29"/>
  <c r="P188" i="29" s="1"/>
  <c r="P186" i="29"/>
  <c r="T186" i="29" s="1"/>
  <c r="S185" i="29"/>
  <c r="R185" i="29"/>
  <c r="N185" i="29"/>
  <c r="L185" i="29"/>
  <c r="J185" i="29"/>
  <c r="P183" i="29"/>
  <c r="T183" i="29" s="1"/>
  <c r="V183" i="29" s="1"/>
  <c r="P182" i="29"/>
  <c r="T182" i="29" s="1"/>
  <c r="V182" i="29" s="1"/>
  <c r="P181" i="29"/>
  <c r="T181" i="29" s="1"/>
  <c r="V181" i="29" s="1"/>
  <c r="P180" i="29"/>
  <c r="T180" i="29" s="1"/>
  <c r="V180" i="29" s="1"/>
  <c r="T179" i="29"/>
  <c r="V179" i="29" s="1"/>
  <c r="P179" i="29"/>
  <c r="P178" i="29"/>
  <c r="T178" i="29" s="1"/>
  <c r="V178" i="29" s="1"/>
  <c r="T177" i="29"/>
  <c r="V177" i="29" s="1"/>
  <c r="P177" i="29"/>
  <c r="P176" i="29"/>
  <c r="T176" i="29" s="1"/>
  <c r="V176" i="29" s="1"/>
  <c r="T175" i="29"/>
  <c r="V175" i="29" s="1"/>
  <c r="P175" i="29"/>
  <c r="P174" i="29"/>
  <c r="T174" i="29" s="1"/>
  <c r="S173" i="29"/>
  <c r="R173" i="29"/>
  <c r="N173" i="29"/>
  <c r="N200" i="29" s="1"/>
  <c r="L173" i="29"/>
  <c r="J173" i="29"/>
  <c r="J200" i="29" s="1"/>
  <c r="P171" i="29"/>
  <c r="T171" i="29" s="1"/>
  <c r="S169" i="29"/>
  <c r="R169" i="29"/>
  <c r="N169" i="29"/>
  <c r="L169" i="29"/>
  <c r="J169" i="29"/>
  <c r="P169" i="29" s="1"/>
  <c r="P167" i="29"/>
  <c r="T167" i="29" s="1"/>
  <c r="S163" i="29"/>
  <c r="R163" i="29"/>
  <c r="N163" i="29"/>
  <c r="L163" i="29"/>
  <c r="J163" i="29"/>
  <c r="P161" i="29"/>
  <c r="T161" i="29" s="1"/>
  <c r="V161" i="29" s="1"/>
  <c r="P160" i="29"/>
  <c r="T160" i="29" s="1"/>
  <c r="S159" i="29"/>
  <c r="R159" i="29"/>
  <c r="N159" i="29"/>
  <c r="L159" i="29"/>
  <c r="J159" i="29"/>
  <c r="P157" i="29"/>
  <c r="T157" i="29" s="1"/>
  <c r="S156" i="29"/>
  <c r="R156" i="29"/>
  <c r="N156" i="29"/>
  <c r="L156" i="29"/>
  <c r="J156" i="29"/>
  <c r="P156" i="29" s="1"/>
  <c r="P154" i="29"/>
  <c r="T154" i="29" s="1"/>
  <c r="S153" i="29"/>
  <c r="R153" i="29"/>
  <c r="N153" i="29"/>
  <c r="L153" i="29"/>
  <c r="J153" i="29"/>
  <c r="P153" i="29" s="1"/>
  <c r="P151" i="29"/>
  <c r="T151" i="29" s="1"/>
  <c r="V151" i="29" s="1"/>
  <c r="V153" i="29" s="1"/>
  <c r="S150" i="29"/>
  <c r="R150" i="29"/>
  <c r="N150" i="29"/>
  <c r="L150" i="29"/>
  <c r="J150" i="29"/>
  <c r="P148" i="29"/>
  <c r="T148" i="29" s="1"/>
  <c r="S147" i="29"/>
  <c r="R147" i="29"/>
  <c r="N147" i="29"/>
  <c r="L147" i="29"/>
  <c r="J147" i="29"/>
  <c r="P147" i="29" s="1"/>
  <c r="P145" i="29"/>
  <c r="T145" i="29" s="1"/>
  <c r="V145" i="29" s="1"/>
  <c r="P144" i="29"/>
  <c r="T144" i="29" s="1"/>
  <c r="V144" i="29" s="1"/>
  <c r="P143" i="29"/>
  <c r="T143" i="29" s="1"/>
  <c r="V143" i="29" s="1"/>
  <c r="P142" i="29"/>
  <c r="T142" i="29" s="1"/>
  <c r="V142" i="29" s="1"/>
  <c r="P141" i="29"/>
  <c r="T141" i="29" s="1"/>
  <c r="V141" i="29" s="1"/>
  <c r="P140" i="29"/>
  <c r="T140" i="29" s="1"/>
  <c r="V140" i="29" s="1"/>
  <c r="P139" i="29"/>
  <c r="T139" i="29" s="1"/>
  <c r="V139" i="29" s="1"/>
  <c r="P138" i="29"/>
  <c r="T138" i="29" s="1"/>
  <c r="V138" i="29" s="1"/>
  <c r="P137" i="29"/>
  <c r="T137" i="29" s="1"/>
  <c r="V137" i="29" s="1"/>
  <c r="P136" i="29"/>
  <c r="T136" i="29" s="1"/>
  <c r="V136" i="29" s="1"/>
  <c r="P135" i="29"/>
  <c r="T135" i="29" s="1"/>
  <c r="V135" i="29" s="1"/>
  <c r="P134" i="29"/>
  <c r="T134" i="29" s="1"/>
  <c r="V134" i="29" s="1"/>
  <c r="P133" i="29"/>
  <c r="T133" i="29" s="1"/>
  <c r="V133" i="29" s="1"/>
  <c r="P132" i="29"/>
  <c r="T132" i="29" s="1"/>
  <c r="V132" i="29" s="1"/>
  <c r="S131" i="29"/>
  <c r="R131" i="29"/>
  <c r="N131" i="29"/>
  <c r="L131" i="29"/>
  <c r="P131" i="29" s="1"/>
  <c r="J131" i="29"/>
  <c r="P129" i="29"/>
  <c r="T129" i="29" s="1"/>
  <c r="V129" i="29" s="1"/>
  <c r="P128" i="29"/>
  <c r="T128" i="29" s="1"/>
  <c r="V128" i="29" s="1"/>
  <c r="P127" i="29"/>
  <c r="T127" i="29" s="1"/>
  <c r="S126" i="29"/>
  <c r="R126" i="29"/>
  <c r="N126" i="29"/>
  <c r="L126" i="29"/>
  <c r="J126" i="29"/>
  <c r="P126" i="29" s="1"/>
  <c r="P124" i="29"/>
  <c r="T124" i="29" s="1"/>
  <c r="S123" i="29"/>
  <c r="R123" i="29"/>
  <c r="N123" i="29"/>
  <c r="L123" i="29"/>
  <c r="J123" i="29"/>
  <c r="P123" i="29" s="1"/>
  <c r="T121" i="29"/>
  <c r="V121" i="29" s="1"/>
  <c r="P121" i="29"/>
  <c r="P120" i="29"/>
  <c r="T120" i="29" s="1"/>
  <c r="V120" i="29" s="1"/>
  <c r="T119" i="29"/>
  <c r="V119" i="29" s="1"/>
  <c r="P119" i="29"/>
  <c r="P118" i="29"/>
  <c r="T118" i="29" s="1"/>
  <c r="V118" i="29" s="1"/>
  <c r="P117" i="29"/>
  <c r="T117" i="29" s="1"/>
  <c r="V117" i="29" s="1"/>
  <c r="P116" i="29"/>
  <c r="T116" i="29" s="1"/>
  <c r="V116" i="29" s="1"/>
  <c r="P115" i="29"/>
  <c r="T115" i="29" s="1"/>
  <c r="V115" i="29" s="1"/>
  <c r="P114" i="29"/>
  <c r="T114" i="29" s="1"/>
  <c r="V114" i="29" s="1"/>
  <c r="T113" i="29"/>
  <c r="V113" i="29" s="1"/>
  <c r="P113" i="29"/>
  <c r="P112" i="29"/>
  <c r="T112" i="29" s="1"/>
  <c r="V112" i="29" s="1"/>
  <c r="T111" i="29"/>
  <c r="V111" i="29" s="1"/>
  <c r="P111" i="29"/>
  <c r="P110" i="29"/>
  <c r="T110" i="29" s="1"/>
  <c r="V110" i="29" s="1"/>
  <c r="T109" i="29"/>
  <c r="V109" i="29" s="1"/>
  <c r="P109" i="29"/>
  <c r="P108" i="29"/>
  <c r="T108" i="29" s="1"/>
  <c r="V108" i="29" s="1"/>
  <c r="V107" i="29"/>
  <c r="T107" i="29"/>
  <c r="P107" i="29"/>
  <c r="T106" i="29"/>
  <c r="V106" i="29" s="1"/>
  <c r="P106" i="29"/>
  <c r="T105" i="29"/>
  <c r="V105" i="29" s="1"/>
  <c r="P105" i="29"/>
  <c r="P104" i="29"/>
  <c r="T104" i="29" s="1"/>
  <c r="V104" i="29" s="1"/>
  <c r="V103" i="29"/>
  <c r="T103" i="29"/>
  <c r="P103" i="29"/>
  <c r="V102" i="29"/>
  <c r="T102" i="29"/>
  <c r="P102" i="29"/>
  <c r="P101" i="29"/>
  <c r="T101" i="29" s="1"/>
  <c r="V101" i="29" s="1"/>
  <c r="P100" i="29"/>
  <c r="T100" i="29" s="1"/>
  <c r="V100" i="29" s="1"/>
  <c r="P99" i="29"/>
  <c r="T99" i="29" s="1"/>
  <c r="V99" i="29" s="1"/>
  <c r="T98" i="29"/>
  <c r="V98" i="29" s="1"/>
  <c r="P98" i="29"/>
  <c r="P97" i="29"/>
  <c r="T97" i="29" s="1"/>
  <c r="V97" i="29" s="1"/>
  <c r="P96" i="29"/>
  <c r="T96" i="29" s="1"/>
  <c r="V96" i="29" s="1"/>
  <c r="P95" i="29"/>
  <c r="T95" i="29" s="1"/>
  <c r="V95" i="29" s="1"/>
  <c r="V94" i="29"/>
  <c r="T94" i="29"/>
  <c r="P94" i="29"/>
  <c r="P93" i="29"/>
  <c r="T93" i="29" s="1"/>
  <c r="V93" i="29" s="1"/>
  <c r="P92" i="29"/>
  <c r="T92" i="29" s="1"/>
  <c r="V92" i="29" s="1"/>
  <c r="P91" i="29"/>
  <c r="T91" i="29" s="1"/>
  <c r="V91" i="29" s="1"/>
  <c r="T90" i="29"/>
  <c r="V90" i="29" s="1"/>
  <c r="P90" i="29"/>
  <c r="P89" i="29"/>
  <c r="T89" i="29" s="1"/>
  <c r="V89" i="29" s="1"/>
  <c r="V88" i="29"/>
  <c r="P88" i="29"/>
  <c r="T88" i="29" s="1"/>
  <c r="P87" i="29"/>
  <c r="T87" i="29" s="1"/>
  <c r="V87" i="29" s="1"/>
  <c r="T86" i="29"/>
  <c r="V86" i="29" s="1"/>
  <c r="P86" i="29"/>
  <c r="P85" i="29"/>
  <c r="T85" i="29" s="1"/>
  <c r="V85" i="29" s="1"/>
  <c r="V84" i="29"/>
  <c r="P84" i="29"/>
  <c r="T84" i="29" s="1"/>
  <c r="P83" i="29"/>
  <c r="T83" i="29" s="1"/>
  <c r="V83" i="29" s="1"/>
  <c r="T82" i="29"/>
  <c r="V82" i="29" s="1"/>
  <c r="P82" i="29"/>
  <c r="P81" i="29"/>
  <c r="T81" i="29" s="1"/>
  <c r="V81" i="29" s="1"/>
  <c r="P80" i="29"/>
  <c r="T80" i="29" s="1"/>
  <c r="V80" i="29" s="1"/>
  <c r="P79" i="29"/>
  <c r="T79" i="29" s="1"/>
  <c r="V79" i="29" s="1"/>
  <c r="P78" i="29"/>
  <c r="T78" i="29" s="1"/>
  <c r="V78" i="29" s="1"/>
  <c r="P77" i="29"/>
  <c r="T77" i="29" s="1"/>
  <c r="V77" i="29" s="1"/>
  <c r="T76" i="29"/>
  <c r="V76" i="29" s="1"/>
  <c r="P76" i="29"/>
  <c r="P75" i="29"/>
  <c r="T75" i="29" s="1"/>
  <c r="V75" i="29" s="1"/>
  <c r="T74" i="29"/>
  <c r="V74" i="29" s="1"/>
  <c r="P74" i="29"/>
  <c r="P73" i="29"/>
  <c r="T73" i="29" s="1"/>
  <c r="V73" i="29" s="1"/>
  <c r="P72" i="29"/>
  <c r="T72" i="29" s="1"/>
  <c r="V72" i="29" s="1"/>
  <c r="P71" i="29"/>
  <c r="T71" i="29" s="1"/>
  <c r="V71" i="29" s="1"/>
  <c r="P70" i="29"/>
  <c r="T70" i="29" s="1"/>
  <c r="V70" i="29" s="1"/>
  <c r="P69" i="29"/>
  <c r="T69" i="29" s="1"/>
  <c r="V69" i="29" s="1"/>
  <c r="T68" i="29"/>
  <c r="V68" i="29" s="1"/>
  <c r="P68" i="29"/>
  <c r="P67" i="29"/>
  <c r="T67" i="29" s="1"/>
  <c r="V67" i="29" s="1"/>
  <c r="T66" i="29"/>
  <c r="V66" i="29" s="1"/>
  <c r="P66" i="29"/>
  <c r="P65" i="29"/>
  <c r="T65" i="29" s="1"/>
  <c r="V65" i="29" s="1"/>
  <c r="P64" i="29"/>
  <c r="T64" i="29" s="1"/>
  <c r="V64" i="29" s="1"/>
  <c r="P63" i="29"/>
  <c r="T63" i="29" s="1"/>
  <c r="V63" i="29" s="1"/>
  <c r="P62" i="29"/>
  <c r="T62" i="29" s="1"/>
  <c r="T123" i="29" s="1"/>
  <c r="S57" i="29"/>
  <c r="R57" i="29"/>
  <c r="N57" i="29"/>
  <c r="L57" i="29"/>
  <c r="J57" i="29"/>
  <c r="P57" i="29" s="1"/>
  <c r="P55" i="29"/>
  <c r="T55" i="29" s="1"/>
  <c r="S54" i="29"/>
  <c r="R54" i="29"/>
  <c r="N54" i="29"/>
  <c r="L54" i="29"/>
  <c r="J54" i="29"/>
  <c r="T52" i="29"/>
  <c r="V52" i="29" s="1"/>
  <c r="P52" i="29"/>
  <c r="P51" i="29"/>
  <c r="T51" i="29" s="1"/>
  <c r="V51" i="29" s="1"/>
  <c r="P50" i="29"/>
  <c r="T50" i="29" s="1"/>
  <c r="V50" i="29" s="1"/>
  <c r="P49" i="29"/>
  <c r="T49" i="29" s="1"/>
  <c r="V49" i="29" s="1"/>
  <c r="P48" i="29"/>
  <c r="T48" i="29" s="1"/>
  <c r="V48" i="29" s="1"/>
  <c r="P47" i="29"/>
  <c r="T47" i="29" s="1"/>
  <c r="S46" i="29"/>
  <c r="R46" i="29"/>
  <c r="N46" i="29"/>
  <c r="L46" i="29"/>
  <c r="J46" i="29"/>
  <c r="P44" i="29"/>
  <c r="T44" i="29" s="1"/>
  <c r="V44" i="29" s="1"/>
  <c r="P43" i="29"/>
  <c r="T43" i="29" s="1"/>
  <c r="V43" i="29" s="1"/>
  <c r="T42" i="29"/>
  <c r="V42" i="29" s="1"/>
  <c r="P42" i="29"/>
  <c r="P41" i="29"/>
  <c r="T41" i="29" s="1"/>
  <c r="S40" i="29"/>
  <c r="R40" i="29"/>
  <c r="N40" i="29"/>
  <c r="L40" i="29"/>
  <c r="J40" i="29"/>
  <c r="P40" i="29" s="1"/>
  <c r="T38" i="29"/>
  <c r="V38" i="29" s="1"/>
  <c r="P38" i="29"/>
  <c r="P37" i="29"/>
  <c r="T37" i="29" s="1"/>
  <c r="V37" i="29" s="1"/>
  <c r="T36" i="29"/>
  <c r="V36" i="29" s="1"/>
  <c r="P36" i="29"/>
  <c r="P35" i="29"/>
  <c r="T35" i="29" s="1"/>
  <c r="V35" i="29" s="1"/>
  <c r="P34" i="29"/>
  <c r="T34" i="29" s="1"/>
  <c r="V34" i="29" s="1"/>
  <c r="P33" i="29"/>
  <c r="T33" i="29" s="1"/>
  <c r="V33" i="29" s="1"/>
  <c r="P32" i="29"/>
  <c r="T32" i="29" s="1"/>
  <c r="V32" i="29" s="1"/>
  <c r="P31" i="29"/>
  <c r="T31" i="29" s="1"/>
  <c r="V31" i="29" s="1"/>
  <c r="T30" i="29"/>
  <c r="V30" i="29" s="1"/>
  <c r="P30" i="29"/>
  <c r="P29" i="29"/>
  <c r="T29" i="29" s="1"/>
  <c r="S28" i="29"/>
  <c r="S59" i="29" s="1"/>
  <c r="R28" i="29"/>
  <c r="R59" i="29" s="1"/>
  <c r="N28" i="29"/>
  <c r="N59" i="29" s="1"/>
  <c r="L28" i="29"/>
  <c r="L59" i="29" s="1"/>
  <c r="J28" i="29"/>
  <c r="J59" i="29" s="1"/>
  <c r="T26" i="29"/>
  <c r="V26" i="29" s="1"/>
  <c r="P26" i="29"/>
  <c r="P25" i="29"/>
  <c r="T25" i="29" s="1"/>
  <c r="V25" i="29" s="1"/>
  <c r="T24" i="29"/>
  <c r="V24" i="29" s="1"/>
  <c r="P24" i="29"/>
  <c r="P23" i="29"/>
  <c r="T23" i="29" s="1"/>
  <c r="V23" i="29" s="1"/>
  <c r="P22" i="29"/>
  <c r="T22" i="29" s="1"/>
  <c r="V22" i="29" s="1"/>
  <c r="P21" i="29"/>
  <c r="T21" i="29" s="1"/>
  <c r="V21" i="29" s="1"/>
  <c r="P20" i="29"/>
  <c r="T20" i="29" s="1"/>
  <c r="V20" i="29" s="1"/>
  <c r="P19" i="29"/>
  <c r="T19" i="29" s="1"/>
  <c r="V19" i="29" s="1"/>
  <c r="T18" i="29"/>
  <c r="V18" i="29" s="1"/>
  <c r="P18" i="29"/>
  <c r="P17" i="29"/>
  <c r="T17" i="29" s="1"/>
  <c r="V16" i="29"/>
  <c r="T16" i="29"/>
  <c r="P16" i="29"/>
  <c r="B7" i="29"/>
  <c r="J8" i="29" s="1"/>
  <c r="T3" i="29"/>
  <c r="P3" i="29"/>
  <c r="N3" i="29"/>
  <c r="L3" i="29"/>
  <c r="J3" i="29"/>
  <c r="T2" i="29"/>
  <c r="V2" i="29" s="1"/>
  <c r="P2" i="29"/>
  <c r="A8" i="29"/>
  <c r="A5" i="29"/>
  <c r="A4" i="29"/>
  <c r="A6" i="29"/>
  <c r="B4" i="29"/>
  <c r="B5" i="29"/>
  <c r="A7" i="29"/>
  <c r="B6" i="29"/>
  <c r="T173" i="29" l="1"/>
  <c r="V171" i="29"/>
  <c r="V173" i="29" s="1"/>
  <c r="T126" i="29"/>
  <c r="V124" i="29"/>
  <c r="V126" i="29" s="1"/>
  <c r="T169" i="29"/>
  <c r="V167" i="29"/>
  <c r="V169" i="29" s="1"/>
  <c r="T156" i="29"/>
  <c r="V154" i="29"/>
  <c r="V156" i="29" s="1"/>
  <c r="S200" i="29"/>
  <c r="P46" i="29"/>
  <c r="P150" i="29"/>
  <c r="L200" i="29"/>
  <c r="P185" i="29"/>
  <c r="L225" i="29"/>
  <c r="L255" i="29" s="1"/>
  <c r="P211" i="29"/>
  <c r="P229" i="29"/>
  <c r="P235" i="29"/>
  <c r="P54" i="29"/>
  <c r="P159" i="29"/>
  <c r="P163" i="29"/>
  <c r="R200" i="29"/>
  <c r="R225" i="29" s="1"/>
  <c r="R255" i="29" s="1"/>
  <c r="P220" i="29"/>
  <c r="P232" i="29"/>
  <c r="P241" i="29"/>
  <c r="P251" i="29"/>
  <c r="V55" i="29"/>
  <c r="V57" i="29" s="1"/>
  <c r="T57" i="29"/>
  <c r="T54" i="29"/>
  <c r="V47" i="29"/>
  <c r="V54" i="29" s="1"/>
  <c r="T28" i="29"/>
  <c r="V17" i="29"/>
  <c r="V28" i="29" s="1"/>
  <c r="V29" i="29"/>
  <c r="V40" i="29" s="1"/>
  <c r="T40" i="29"/>
  <c r="T46" i="29"/>
  <c r="V41" i="29"/>
  <c r="V46" i="29" s="1"/>
  <c r="S3" i="29"/>
  <c r="R165" i="29"/>
  <c r="V147" i="29"/>
  <c r="T150" i="29"/>
  <c r="V148" i="29"/>
  <c r="V150" i="29" s="1"/>
  <c r="T163" i="29"/>
  <c r="V160" i="29"/>
  <c r="V163" i="29" s="1"/>
  <c r="T235" i="29"/>
  <c r="V233" i="29"/>
  <c r="V235" i="29" s="1"/>
  <c r="V62" i="29"/>
  <c r="V123" i="29" s="1"/>
  <c r="S165" i="29"/>
  <c r="T131" i="29"/>
  <c r="V127" i="29"/>
  <c r="V131" i="29" s="1"/>
  <c r="T185" i="29"/>
  <c r="V174" i="29"/>
  <c r="V185" i="29" s="1"/>
  <c r="S225" i="29"/>
  <c r="S255" i="29" s="1"/>
  <c r="T220" i="29"/>
  <c r="V218" i="29"/>
  <c r="V220" i="29" s="1"/>
  <c r="V239" i="29"/>
  <c r="V241" i="29" s="1"/>
  <c r="T241" i="29"/>
  <c r="T13" i="29"/>
  <c r="S13" i="29" s="1"/>
  <c r="R13" i="29" s="1"/>
  <c r="L165" i="29"/>
  <c r="L257" i="29" s="1"/>
  <c r="V157" i="29"/>
  <c r="V159" i="29" s="1"/>
  <c r="T159" i="29"/>
  <c r="T198" i="29"/>
  <c r="V189" i="29"/>
  <c r="V198" i="29" s="1"/>
  <c r="T208" i="29"/>
  <c r="V206" i="29"/>
  <c r="V208" i="29" s="1"/>
  <c r="V227" i="29"/>
  <c r="V229" i="29" s="1"/>
  <c r="V253" i="29" s="1"/>
  <c r="T229" i="29"/>
  <c r="T247" i="29"/>
  <c r="V245" i="29"/>
  <c r="V247" i="29" s="1"/>
  <c r="R3" i="29"/>
  <c r="P28" i="29"/>
  <c r="P59" i="29" s="1"/>
  <c r="P165" i="29" s="1"/>
  <c r="N165" i="29"/>
  <c r="T147" i="29"/>
  <c r="V200" i="29"/>
  <c r="V186" i="29"/>
  <c r="V188" i="29" s="1"/>
  <c r="T188" i="29"/>
  <c r="N225" i="29"/>
  <c r="N255" i="29" s="1"/>
  <c r="V212" i="29"/>
  <c r="V214" i="29" s="1"/>
  <c r="T214" i="29"/>
  <c r="J165" i="29"/>
  <c r="T205" i="29"/>
  <c r="T217" i="29"/>
  <c r="J225" i="29"/>
  <c r="J255" i="29" s="1"/>
  <c r="T232" i="29"/>
  <c r="T244" i="29"/>
  <c r="P173" i="29"/>
  <c r="P200" i="29" s="1"/>
  <c r="P225" i="29" s="1"/>
  <c r="T153" i="29"/>
  <c r="T211" i="29"/>
  <c r="T223" i="29"/>
  <c r="T238" i="29"/>
  <c r="T251" i="29"/>
  <c r="V59" i="29" l="1"/>
  <c r="J257" i="29"/>
  <c r="T200" i="29"/>
  <c r="T225" i="29" s="1"/>
  <c r="S257" i="29"/>
  <c r="V225" i="29"/>
  <c r="V255" i="29" s="1"/>
  <c r="R257" i="29"/>
  <c r="P255" i="29"/>
  <c r="P257" i="29" s="1"/>
  <c r="P253" i="29"/>
  <c r="N257" i="29"/>
  <c r="V165" i="29"/>
  <c r="T59" i="29"/>
  <c r="T165" i="29" s="1"/>
  <c r="T253" i="29"/>
  <c r="V263" i="28"/>
  <c r="T263" i="28"/>
  <c r="S263" i="28"/>
  <c r="R263" i="28"/>
  <c r="P263" i="28"/>
  <c r="N263" i="28"/>
  <c r="L263" i="28"/>
  <c r="J263" i="28"/>
  <c r="S253" i="28"/>
  <c r="R253" i="28"/>
  <c r="N253" i="28"/>
  <c r="L253" i="28"/>
  <c r="J253" i="28"/>
  <c r="P251" i="28"/>
  <c r="T251" i="28" s="1"/>
  <c r="S249" i="28"/>
  <c r="R249" i="28"/>
  <c r="N249" i="28"/>
  <c r="L249" i="28"/>
  <c r="J249" i="28"/>
  <c r="P249" i="28" s="1"/>
  <c r="P247" i="28"/>
  <c r="T247" i="28" s="1"/>
  <c r="S246" i="28"/>
  <c r="R246" i="28"/>
  <c r="N246" i="28"/>
  <c r="P246" i="28" s="1"/>
  <c r="L246" i="28"/>
  <c r="J246" i="28"/>
  <c r="P244" i="28"/>
  <c r="T244" i="28" s="1"/>
  <c r="T246" i="28" s="1"/>
  <c r="S243" i="28"/>
  <c r="R243" i="28"/>
  <c r="N243" i="28"/>
  <c r="P243" i="28" s="1"/>
  <c r="L243" i="28"/>
  <c r="J243" i="28"/>
  <c r="P241" i="28"/>
  <c r="T241" i="28" s="1"/>
  <c r="S240" i="28"/>
  <c r="R240" i="28"/>
  <c r="N240" i="28"/>
  <c r="L240" i="28"/>
  <c r="J240" i="28"/>
  <c r="P238" i="28"/>
  <c r="T238" i="28" s="1"/>
  <c r="S237" i="28"/>
  <c r="R237" i="28"/>
  <c r="N237" i="28"/>
  <c r="L237" i="28"/>
  <c r="J237" i="28"/>
  <c r="P237" i="28" s="1"/>
  <c r="P235" i="28"/>
  <c r="T235" i="28" s="1"/>
  <c r="S234" i="28"/>
  <c r="R234" i="28"/>
  <c r="N234" i="28"/>
  <c r="P234" i="28" s="1"/>
  <c r="L234" i="28"/>
  <c r="J234" i="28"/>
  <c r="P232" i="28"/>
  <c r="T232" i="28" s="1"/>
  <c r="T234" i="28" s="1"/>
  <c r="S231" i="28"/>
  <c r="R231" i="28"/>
  <c r="N231" i="28"/>
  <c r="L231" i="28"/>
  <c r="J231" i="28"/>
  <c r="P229" i="28"/>
  <c r="T229" i="28" s="1"/>
  <c r="S225" i="28"/>
  <c r="R225" i="28"/>
  <c r="N225" i="28"/>
  <c r="L225" i="28"/>
  <c r="J225" i="28"/>
  <c r="P223" i="28"/>
  <c r="T223" i="28" s="1"/>
  <c r="S222" i="28"/>
  <c r="R222" i="28"/>
  <c r="N222" i="28"/>
  <c r="L222" i="28"/>
  <c r="J222" i="28"/>
  <c r="P220" i="28"/>
  <c r="T220" i="28" s="1"/>
  <c r="S219" i="28"/>
  <c r="R219" i="28"/>
  <c r="N219" i="28"/>
  <c r="L219" i="28"/>
  <c r="J219" i="28"/>
  <c r="P219" i="28" s="1"/>
  <c r="P217" i="28"/>
  <c r="T217" i="28" s="1"/>
  <c r="T219" i="28" s="1"/>
  <c r="S216" i="28"/>
  <c r="R216" i="28"/>
  <c r="N216" i="28"/>
  <c r="L216" i="28"/>
  <c r="J216" i="28"/>
  <c r="P214" i="28"/>
  <c r="T214" i="28" s="1"/>
  <c r="S213" i="28"/>
  <c r="R213" i="28"/>
  <c r="N213" i="28"/>
  <c r="L213" i="28"/>
  <c r="J213" i="28"/>
  <c r="P211" i="28"/>
  <c r="T211" i="28" s="1"/>
  <c r="S210" i="28"/>
  <c r="R210" i="28"/>
  <c r="N210" i="28"/>
  <c r="L210" i="28"/>
  <c r="J210" i="28"/>
  <c r="P208" i="28"/>
  <c r="T208" i="28" s="1"/>
  <c r="S207" i="28"/>
  <c r="R207" i="28"/>
  <c r="N207" i="28"/>
  <c r="L207" i="28"/>
  <c r="J207" i="28"/>
  <c r="P207" i="28" s="1"/>
  <c r="P205" i="28"/>
  <c r="T205" i="28" s="1"/>
  <c r="T207" i="28" s="1"/>
  <c r="S200" i="28"/>
  <c r="R200" i="28"/>
  <c r="N200" i="28"/>
  <c r="L200" i="28"/>
  <c r="J200" i="28"/>
  <c r="P200" i="28" s="1"/>
  <c r="T198" i="28"/>
  <c r="V198" i="28" s="1"/>
  <c r="P198" i="28"/>
  <c r="P197" i="28"/>
  <c r="T197" i="28" s="1"/>
  <c r="V197" i="28" s="1"/>
  <c r="P196" i="28"/>
  <c r="T196" i="28" s="1"/>
  <c r="V196" i="28" s="1"/>
  <c r="P195" i="28"/>
  <c r="T195" i="28" s="1"/>
  <c r="V195" i="28" s="1"/>
  <c r="P194" i="28"/>
  <c r="T194" i="28" s="1"/>
  <c r="V194" i="28" s="1"/>
  <c r="P193" i="28"/>
  <c r="T193" i="28" s="1"/>
  <c r="V193" i="28" s="1"/>
  <c r="P192" i="28"/>
  <c r="T192" i="28" s="1"/>
  <c r="V192" i="28" s="1"/>
  <c r="P191" i="28"/>
  <c r="T191" i="28" s="1"/>
  <c r="S190" i="28"/>
  <c r="R190" i="28"/>
  <c r="N190" i="28"/>
  <c r="L190" i="28"/>
  <c r="J190" i="28"/>
  <c r="P188" i="28"/>
  <c r="T188" i="28" s="1"/>
  <c r="V188" i="28" s="1"/>
  <c r="V190" i="28" s="1"/>
  <c r="S187" i="28"/>
  <c r="R187" i="28"/>
  <c r="N187" i="28"/>
  <c r="L187" i="28"/>
  <c r="P187" i="28" s="1"/>
  <c r="J187" i="28"/>
  <c r="P185" i="28"/>
  <c r="T185" i="28" s="1"/>
  <c r="V185" i="28" s="1"/>
  <c r="P184" i="28"/>
  <c r="T184" i="28" s="1"/>
  <c r="V184" i="28" s="1"/>
  <c r="V183" i="28"/>
  <c r="P183" i="28"/>
  <c r="T183" i="28" s="1"/>
  <c r="P182" i="28"/>
  <c r="T182" i="28" s="1"/>
  <c r="V182" i="28" s="1"/>
  <c r="P181" i="28"/>
  <c r="T181" i="28" s="1"/>
  <c r="V181" i="28" s="1"/>
  <c r="P180" i="28"/>
  <c r="T180" i="28" s="1"/>
  <c r="V180" i="28" s="1"/>
  <c r="P179" i="28"/>
  <c r="T179" i="28" s="1"/>
  <c r="V179" i="28" s="1"/>
  <c r="T178" i="28"/>
  <c r="V178" i="28" s="1"/>
  <c r="P178" i="28"/>
  <c r="P177" i="28"/>
  <c r="T177" i="28" s="1"/>
  <c r="V177" i="28" s="1"/>
  <c r="P176" i="28"/>
  <c r="T176" i="28" s="1"/>
  <c r="S175" i="28"/>
  <c r="R175" i="28"/>
  <c r="N175" i="28"/>
  <c r="L175" i="28"/>
  <c r="J175" i="28"/>
  <c r="J202" i="28" s="1"/>
  <c r="P173" i="28"/>
  <c r="T173" i="28" s="1"/>
  <c r="T175" i="28" s="1"/>
  <c r="S171" i="28"/>
  <c r="R171" i="28"/>
  <c r="N171" i="28"/>
  <c r="L171" i="28"/>
  <c r="J171" i="28"/>
  <c r="P169" i="28"/>
  <c r="T169" i="28" s="1"/>
  <c r="V169" i="28" s="1"/>
  <c r="V171" i="28" s="1"/>
  <c r="S165" i="28"/>
  <c r="R165" i="28"/>
  <c r="N165" i="28"/>
  <c r="L165" i="28"/>
  <c r="P165" i="28" s="1"/>
  <c r="J165" i="28"/>
  <c r="P163" i="28"/>
  <c r="T163" i="28" s="1"/>
  <c r="V163" i="28" s="1"/>
  <c r="P162" i="28"/>
  <c r="T162" i="28" s="1"/>
  <c r="S161" i="28"/>
  <c r="R161" i="28"/>
  <c r="N161" i="28"/>
  <c r="L161" i="28"/>
  <c r="J161" i="28"/>
  <c r="P161" i="28" s="1"/>
  <c r="P159" i="28"/>
  <c r="T159" i="28" s="1"/>
  <c r="T161" i="28" s="1"/>
  <c r="S158" i="28"/>
  <c r="R158" i="28"/>
  <c r="N158" i="28"/>
  <c r="L158" i="28"/>
  <c r="J158" i="28"/>
  <c r="P156" i="28"/>
  <c r="T156" i="28" s="1"/>
  <c r="V156" i="28" s="1"/>
  <c r="V158" i="28" s="1"/>
  <c r="S155" i="28"/>
  <c r="R155" i="28"/>
  <c r="N155" i="28"/>
  <c r="L155" i="28"/>
  <c r="J155" i="28"/>
  <c r="P153" i="28"/>
  <c r="T153" i="28" s="1"/>
  <c r="S152" i="28"/>
  <c r="R152" i="28"/>
  <c r="N152" i="28"/>
  <c r="L152" i="28"/>
  <c r="J152" i="28"/>
  <c r="P152" i="28" s="1"/>
  <c r="P150" i="28"/>
  <c r="T150" i="28" s="1"/>
  <c r="S149" i="28"/>
  <c r="R149" i="28"/>
  <c r="N149" i="28"/>
  <c r="L149" i="28"/>
  <c r="J149" i="28"/>
  <c r="P149" i="28" s="1"/>
  <c r="P147" i="28"/>
  <c r="T147" i="28" s="1"/>
  <c r="V147" i="28" s="1"/>
  <c r="P146" i="28"/>
  <c r="T146" i="28" s="1"/>
  <c r="V146" i="28" s="1"/>
  <c r="P145" i="28"/>
  <c r="T145" i="28" s="1"/>
  <c r="V145" i="28" s="1"/>
  <c r="P144" i="28"/>
  <c r="T144" i="28" s="1"/>
  <c r="V144" i="28" s="1"/>
  <c r="P143" i="28"/>
  <c r="T143" i="28" s="1"/>
  <c r="V143" i="28" s="1"/>
  <c r="P142" i="28"/>
  <c r="T142" i="28" s="1"/>
  <c r="V142" i="28" s="1"/>
  <c r="P141" i="28"/>
  <c r="T141" i="28" s="1"/>
  <c r="V141" i="28" s="1"/>
  <c r="P140" i="28"/>
  <c r="T140" i="28" s="1"/>
  <c r="V140" i="28" s="1"/>
  <c r="P139" i="28"/>
  <c r="T139" i="28" s="1"/>
  <c r="V139" i="28" s="1"/>
  <c r="T138" i="28"/>
  <c r="V138" i="28" s="1"/>
  <c r="P138" i="28"/>
  <c r="P137" i="28"/>
  <c r="T137" i="28" s="1"/>
  <c r="V137" i="28" s="1"/>
  <c r="P136" i="28"/>
  <c r="T136" i="28" s="1"/>
  <c r="V136" i="28" s="1"/>
  <c r="V135" i="28"/>
  <c r="P135" i="28"/>
  <c r="T135" i="28" s="1"/>
  <c r="P134" i="28"/>
  <c r="T134" i="28" s="1"/>
  <c r="S133" i="28"/>
  <c r="R133" i="28"/>
  <c r="N133" i="28"/>
  <c r="L133" i="28"/>
  <c r="P133" i="28" s="1"/>
  <c r="J133" i="28"/>
  <c r="P131" i="28"/>
  <c r="T131" i="28" s="1"/>
  <c r="V131" i="28" s="1"/>
  <c r="P130" i="28"/>
  <c r="T130" i="28" s="1"/>
  <c r="V130" i="28" s="1"/>
  <c r="P129" i="28"/>
  <c r="T129" i="28" s="1"/>
  <c r="T133" i="28" s="1"/>
  <c r="S128" i="28"/>
  <c r="R128" i="28"/>
  <c r="N128" i="28"/>
  <c r="L128" i="28"/>
  <c r="J128" i="28"/>
  <c r="P126" i="28"/>
  <c r="T126" i="28" s="1"/>
  <c r="S125" i="28"/>
  <c r="R125" i="28"/>
  <c r="N125" i="28"/>
  <c r="L125" i="28"/>
  <c r="J125" i="28"/>
  <c r="P123" i="28"/>
  <c r="T123" i="28" s="1"/>
  <c r="V123" i="28" s="1"/>
  <c r="P122" i="28"/>
  <c r="T122" i="28" s="1"/>
  <c r="V122" i="28" s="1"/>
  <c r="T121" i="28"/>
  <c r="V121" i="28" s="1"/>
  <c r="P121" i="28"/>
  <c r="T120" i="28"/>
  <c r="V120" i="28" s="1"/>
  <c r="P120" i="28"/>
  <c r="P119" i="28"/>
  <c r="T119" i="28" s="1"/>
  <c r="V119" i="28" s="1"/>
  <c r="P118" i="28"/>
  <c r="T118" i="28" s="1"/>
  <c r="V118" i="28" s="1"/>
  <c r="P117" i="28"/>
  <c r="T117" i="28" s="1"/>
  <c r="V117" i="28" s="1"/>
  <c r="P116" i="28"/>
  <c r="T116" i="28" s="1"/>
  <c r="V116" i="28" s="1"/>
  <c r="P115" i="28"/>
  <c r="T115" i="28" s="1"/>
  <c r="V115" i="28" s="1"/>
  <c r="P114" i="28"/>
  <c r="T114" i="28" s="1"/>
  <c r="V114" i="28" s="1"/>
  <c r="P113" i="28"/>
  <c r="T113" i="28" s="1"/>
  <c r="V113" i="28" s="1"/>
  <c r="T112" i="28"/>
  <c r="V112" i="28" s="1"/>
  <c r="P112" i="28"/>
  <c r="P111" i="28"/>
  <c r="T111" i="28" s="1"/>
  <c r="V111" i="28" s="1"/>
  <c r="P110" i="28"/>
  <c r="T110" i="28" s="1"/>
  <c r="V110" i="28" s="1"/>
  <c r="P109" i="28"/>
  <c r="T109" i="28" s="1"/>
  <c r="V109" i="28" s="1"/>
  <c r="P108" i="28"/>
  <c r="T108" i="28" s="1"/>
  <c r="V108" i="28" s="1"/>
  <c r="P107" i="28"/>
  <c r="T107" i="28" s="1"/>
  <c r="V107" i="28" s="1"/>
  <c r="P106" i="28"/>
  <c r="T106" i="28" s="1"/>
  <c r="V106" i="28" s="1"/>
  <c r="T105" i="28"/>
  <c r="V105" i="28" s="1"/>
  <c r="P105" i="28"/>
  <c r="P104" i="28"/>
  <c r="T104" i="28" s="1"/>
  <c r="V104" i="28" s="1"/>
  <c r="P103" i="28"/>
  <c r="T103" i="28" s="1"/>
  <c r="V103" i="28" s="1"/>
  <c r="P102" i="28"/>
  <c r="T102" i="28" s="1"/>
  <c r="V102" i="28" s="1"/>
  <c r="P101" i="28"/>
  <c r="T101" i="28" s="1"/>
  <c r="V101" i="28" s="1"/>
  <c r="P100" i="28"/>
  <c r="T100" i="28" s="1"/>
  <c r="V100" i="28" s="1"/>
  <c r="P99" i="28"/>
  <c r="T99" i="28" s="1"/>
  <c r="V99" i="28" s="1"/>
  <c r="P98" i="28"/>
  <c r="T98" i="28" s="1"/>
  <c r="V98" i="28" s="1"/>
  <c r="P97" i="28"/>
  <c r="T97" i="28" s="1"/>
  <c r="V97" i="28" s="1"/>
  <c r="T96" i="28"/>
  <c r="V96" i="28" s="1"/>
  <c r="P96" i="28"/>
  <c r="P95" i="28"/>
  <c r="T95" i="28" s="1"/>
  <c r="V95" i="28" s="1"/>
  <c r="P94" i="28"/>
  <c r="T94" i="28" s="1"/>
  <c r="V94" i="28" s="1"/>
  <c r="P93" i="28"/>
  <c r="T93" i="28" s="1"/>
  <c r="V93" i="28" s="1"/>
  <c r="P92" i="28"/>
  <c r="T92" i="28" s="1"/>
  <c r="V92" i="28" s="1"/>
  <c r="P91" i="28"/>
  <c r="T91" i="28" s="1"/>
  <c r="V91" i="28" s="1"/>
  <c r="P90" i="28"/>
  <c r="T90" i="28" s="1"/>
  <c r="V90" i="28" s="1"/>
  <c r="T89" i="28"/>
  <c r="V89" i="28" s="1"/>
  <c r="P89" i="28"/>
  <c r="P88" i="28"/>
  <c r="T88" i="28" s="1"/>
  <c r="V88" i="28" s="1"/>
  <c r="T87" i="28"/>
  <c r="V87" i="28" s="1"/>
  <c r="P87" i="28"/>
  <c r="P86" i="28"/>
  <c r="T86" i="28" s="1"/>
  <c r="V86" i="28" s="1"/>
  <c r="P85" i="28"/>
  <c r="T85" i="28" s="1"/>
  <c r="V85" i="28" s="1"/>
  <c r="P84" i="28"/>
  <c r="T84" i="28" s="1"/>
  <c r="V84" i="28" s="1"/>
  <c r="P83" i="28"/>
  <c r="T83" i="28" s="1"/>
  <c r="V83" i="28" s="1"/>
  <c r="T82" i="28"/>
  <c r="V82" i="28" s="1"/>
  <c r="P82" i="28"/>
  <c r="P81" i="28"/>
  <c r="T81" i="28" s="1"/>
  <c r="V81" i="28" s="1"/>
  <c r="P80" i="28"/>
  <c r="T80" i="28" s="1"/>
  <c r="V80" i="28" s="1"/>
  <c r="P79" i="28"/>
  <c r="T79" i="28" s="1"/>
  <c r="V79" i="28" s="1"/>
  <c r="P78" i="28"/>
  <c r="T78" i="28" s="1"/>
  <c r="V78" i="28" s="1"/>
  <c r="P77" i="28"/>
  <c r="T77" i="28" s="1"/>
  <c r="V77" i="28" s="1"/>
  <c r="P76" i="28"/>
  <c r="T76" i="28" s="1"/>
  <c r="V76" i="28" s="1"/>
  <c r="P75" i="28"/>
  <c r="T75" i="28" s="1"/>
  <c r="V75" i="28" s="1"/>
  <c r="T74" i="28"/>
  <c r="V74" i="28" s="1"/>
  <c r="P74" i="28"/>
  <c r="P73" i="28"/>
  <c r="T73" i="28" s="1"/>
  <c r="V73" i="28" s="1"/>
  <c r="P72" i="28"/>
  <c r="T72" i="28" s="1"/>
  <c r="V72" i="28" s="1"/>
  <c r="P71" i="28"/>
  <c r="T71" i="28" s="1"/>
  <c r="V71" i="28" s="1"/>
  <c r="P70" i="28"/>
  <c r="T70" i="28" s="1"/>
  <c r="V70" i="28" s="1"/>
  <c r="P69" i="28"/>
  <c r="T69" i="28" s="1"/>
  <c r="V69" i="28" s="1"/>
  <c r="P68" i="28"/>
  <c r="T68" i="28" s="1"/>
  <c r="V68" i="28" s="1"/>
  <c r="P67" i="28"/>
  <c r="T67" i="28" s="1"/>
  <c r="V67" i="28" s="1"/>
  <c r="T66" i="28"/>
  <c r="V66" i="28" s="1"/>
  <c r="P66" i="28"/>
  <c r="P65" i="28"/>
  <c r="T65" i="28" s="1"/>
  <c r="V65" i="28" s="1"/>
  <c r="P64" i="28"/>
  <c r="T64" i="28" s="1"/>
  <c r="V64" i="28" s="1"/>
  <c r="P63" i="28"/>
  <c r="T63" i="28" s="1"/>
  <c r="V63" i="28" s="1"/>
  <c r="P62" i="28"/>
  <c r="T62" i="28" s="1"/>
  <c r="V62" i="28" s="1"/>
  <c r="S57" i="28"/>
  <c r="R57" i="28"/>
  <c r="N57" i="28"/>
  <c r="L57" i="28"/>
  <c r="J57" i="28"/>
  <c r="P55" i="28"/>
  <c r="T55" i="28" s="1"/>
  <c r="S54" i="28"/>
  <c r="R54" i="28"/>
  <c r="N54" i="28"/>
  <c r="L54" i="28"/>
  <c r="J54" i="28"/>
  <c r="P52" i="28"/>
  <c r="T52" i="28" s="1"/>
  <c r="V52" i="28" s="1"/>
  <c r="P51" i="28"/>
  <c r="T51" i="28" s="1"/>
  <c r="V51" i="28" s="1"/>
  <c r="P50" i="28"/>
  <c r="T50" i="28" s="1"/>
  <c r="V50" i="28" s="1"/>
  <c r="P49" i="28"/>
  <c r="T49" i="28" s="1"/>
  <c r="V49" i="28" s="1"/>
  <c r="P48" i="28"/>
  <c r="T48" i="28" s="1"/>
  <c r="V48" i="28" s="1"/>
  <c r="P47" i="28"/>
  <c r="T47" i="28" s="1"/>
  <c r="V47" i="28" s="1"/>
  <c r="T46" i="28"/>
  <c r="P46" i="28"/>
  <c r="S45" i="28"/>
  <c r="R45" i="28"/>
  <c r="N45" i="28"/>
  <c r="L45" i="28"/>
  <c r="J45" i="28"/>
  <c r="P43" i="28"/>
  <c r="T43" i="28" s="1"/>
  <c r="V43" i="28" s="1"/>
  <c r="T42" i="28"/>
  <c r="V42" i="28" s="1"/>
  <c r="P42" i="28"/>
  <c r="P41" i="28"/>
  <c r="T41" i="28" s="1"/>
  <c r="V41" i="28" s="1"/>
  <c r="P40" i="28"/>
  <c r="T40" i="28" s="1"/>
  <c r="V40" i="28" s="1"/>
  <c r="P39" i="28"/>
  <c r="T39" i="28" s="1"/>
  <c r="S38" i="28"/>
  <c r="R38" i="28"/>
  <c r="N38" i="28"/>
  <c r="L38" i="28"/>
  <c r="J38" i="28"/>
  <c r="P36" i="28"/>
  <c r="T36" i="28" s="1"/>
  <c r="V36" i="28" s="1"/>
  <c r="P35" i="28"/>
  <c r="T35" i="28" s="1"/>
  <c r="V35" i="28" s="1"/>
  <c r="T34" i="28"/>
  <c r="V34" i="28" s="1"/>
  <c r="P34" i="28"/>
  <c r="P33" i="28"/>
  <c r="T33" i="28" s="1"/>
  <c r="V33" i="28" s="1"/>
  <c r="P32" i="28"/>
  <c r="T32" i="28" s="1"/>
  <c r="V32" i="28" s="1"/>
  <c r="P31" i="28"/>
  <c r="T31" i="28" s="1"/>
  <c r="V31" i="28" s="1"/>
  <c r="T30" i="28"/>
  <c r="V30" i="28" s="1"/>
  <c r="P30" i="28"/>
  <c r="P29" i="28"/>
  <c r="T29" i="28" s="1"/>
  <c r="S28" i="28"/>
  <c r="R28" i="28"/>
  <c r="R59" i="28" s="1"/>
  <c r="N28" i="28"/>
  <c r="L28" i="28"/>
  <c r="J28" i="28"/>
  <c r="T26" i="28"/>
  <c r="V26" i="28" s="1"/>
  <c r="P26" i="28"/>
  <c r="P25" i="28"/>
  <c r="T25" i="28" s="1"/>
  <c r="V25" i="28" s="1"/>
  <c r="P24" i="28"/>
  <c r="T24" i="28" s="1"/>
  <c r="V24" i="28" s="1"/>
  <c r="P23" i="28"/>
  <c r="T23" i="28" s="1"/>
  <c r="V23" i="28" s="1"/>
  <c r="T22" i="28"/>
  <c r="V22" i="28" s="1"/>
  <c r="P22" i="28"/>
  <c r="P21" i="28"/>
  <c r="T21" i="28" s="1"/>
  <c r="V21" i="28" s="1"/>
  <c r="P20" i="28"/>
  <c r="T20" i="28" s="1"/>
  <c r="V20" i="28" s="1"/>
  <c r="P19" i="28"/>
  <c r="T19" i="28" s="1"/>
  <c r="V19" i="28" s="1"/>
  <c r="T18" i="28"/>
  <c r="V18" i="28" s="1"/>
  <c r="P18" i="28"/>
  <c r="P17" i="28"/>
  <c r="T17" i="28" s="1"/>
  <c r="V17" i="28" s="1"/>
  <c r="P16" i="28"/>
  <c r="T16" i="28" s="1"/>
  <c r="B7" i="28"/>
  <c r="J8" i="28" s="1"/>
  <c r="T3" i="28"/>
  <c r="P3" i="28"/>
  <c r="N3" i="28"/>
  <c r="L3" i="28"/>
  <c r="J3" i="28"/>
  <c r="P2" i="28"/>
  <c r="T2" i="28" s="1"/>
  <c r="V2" i="28" s="1"/>
  <c r="A8" i="28"/>
  <c r="A5" i="28"/>
  <c r="A4" i="28"/>
  <c r="A6" i="28"/>
  <c r="B5" i="28"/>
  <c r="A7" i="28"/>
  <c r="B6" i="28"/>
  <c r="B4" i="28"/>
  <c r="V257" i="29" l="1"/>
  <c r="T255" i="29"/>
  <c r="T257" i="29" s="1"/>
  <c r="V214" i="28"/>
  <c r="V216" i="28" s="1"/>
  <c r="T216" i="28"/>
  <c r="V229" i="28"/>
  <c r="V231" i="28" s="1"/>
  <c r="T231" i="28"/>
  <c r="V241" i="28"/>
  <c r="V243" i="28" s="1"/>
  <c r="T243" i="28"/>
  <c r="V126" i="28"/>
  <c r="V128" i="28" s="1"/>
  <c r="T128" i="28"/>
  <c r="N59" i="28"/>
  <c r="P45" i="28"/>
  <c r="P158" i="28"/>
  <c r="S202" i="28"/>
  <c r="S227" i="28" s="1"/>
  <c r="S257" i="28" s="1"/>
  <c r="N202" i="28"/>
  <c r="L255" i="28"/>
  <c r="P213" i="28"/>
  <c r="P216" i="28"/>
  <c r="P225" i="28"/>
  <c r="V244" i="28"/>
  <c r="V246" i="28" s="1"/>
  <c r="S3" i="28"/>
  <c r="J59" i="28"/>
  <c r="P57" i="28"/>
  <c r="P155" i="28"/>
  <c r="P175" i="28"/>
  <c r="P210" i="28"/>
  <c r="V217" i="28"/>
  <c r="V219" i="28" s="1"/>
  <c r="P222" i="28"/>
  <c r="R255" i="28"/>
  <c r="P38" i="28"/>
  <c r="S59" i="28"/>
  <c r="S167" i="28" s="1"/>
  <c r="P54" i="28"/>
  <c r="R202" i="28"/>
  <c r="T200" i="28"/>
  <c r="J255" i="28"/>
  <c r="P240" i="28"/>
  <c r="S255" i="28"/>
  <c r="T54" i="28"/>
  <c r="T28" i="28"/>
  <c r="V39" i="28"/>
  <c r="V45" i="28" s="1"/>
  <c r="T45" i="28"/>
  <c r="V55" i="28"/>
  <c r="V57" i="28" s="1"/>
  <c r="T57" i="28"/>
  <c r="T38" i="28"/>
  <c r="V29" i="28"/>
  <c r="V38" i="28" s="1"/>
  <c r="V125" i="28"/>
  <c r="L59" i="28"/>
  <c r="L167" i="28" s="1"/>
  <c r="V16" i="28"/>
  <c r="V28" i="28" s="1"/>
  <c r="V46" i="28"/>
  <c r="V54" i="28" s="1"/>
  <c r="N167" i="28"/>
  <c r="V129" i="28"/>
  <c r="V133" i="28" s="1"/>
  <c r="T158" i="28"/>
  <c r="V173" i="28"/>
  <c r="V175" i="28" s="1"/>
  <c r="T187" i="28"/>
  <c r="V176" i="28"/>
  <c r="V187" i="28" s="1"/>
  <c r="V191" i="28"/>
  <c r="V200" i="28" s="1"/>
  <c r="V205" i="28"/>
  <c r="V207" i="28" s="1"/>
  <c r="T210" i="28"/>
  <c r="V208" i="28"/>
  <c r="V210" i="28" s="1"/>
  <c r="V232" i="28"/>
  <c r="V234" i="28" s="1"/>
  <c r="T237" i="28"/>
  <c r="V235" i="28"/>
  <c r="V237" i="28" s="1"/>
  <c r="P253" i="28"/>
  <c r="T125" i="28"/>
  <c r="V153" i="28"/>
  <c r="V155" i="28" s="1"/>
  <c r="T155" i="28"/>
  <c r="N227" i="28"/>
  <c r="V223" i="28"/>
  <c r="V225" i="28" s="1"/>
  <c r="T225" i="28"/>
  <c r="N255" i="28"/>
  <c r="P231" i="28"/>
  <c r="P255" i="28" s="1"/>
  <c r="V251" i="28"/>
  <c r="V253" i="28" s="1"/>
  <c r="T253" i="28"/>
  <c r="T13" i="28"/>
  <c r="S13" i="28" s="1"/>
  <c r="R13" i="28" s="1"/>
  <c r="R167" i="28"/>
  <c r="P128" i="28"/>
  <c r="V134" i="28"/>
  <c r="V149" i="28" s="1"/>
  <c r="T149" i="28"/>
  <c r="T152" i="28"/>
  <c r="V150" i="28"/>
  <c r="V152" i="28" s="1"/>
  <c r="P171" i="28"/>
  <c r="P190" i="28"/>
  <c r="P202" i="28" s="1"/>
  <c r="P227" i="28" s="1"/>
  <c r="P257" i="28" s="1"/>
  <c r="J227" i="28"/>
  <c r="J257" i="28" s="1"/>
  <c r="R227" i="28"/>
  <c r="R257" i="28" s="1"/>
  <c r="T222" i="28"/>
  <c r="V220" i="28"/>
  <c r="V222" i="28" s="1"/>
  <c r="T249" i="28"/>
  <c r="V247" i="28"/>
  <c r="V249" i="28" s="1"/>
  <c r="R3" i="28"/>
  <c r="P28" i="28"/>
  <c r="P59" i="28" s="1"/>
  <c r="P125" i="28"/>
  <c r="V159" i="28"/>
  <c r="V161" i="28" s="1"/>
  <c r="T165" i="28"/>
  <c r="V162" i="28"/>
  <c r="V165" i="28" s="1"/>
  <c r="T171" i="28"/>
  <c r="L202" i="28"/>
  <c r="L227" i="28" s="1"/>
  <c r="L257" i="28" s="1"/>
  <c r="T190" i="28"/>
  <c r="V211" i="28"/>
  <c r="V213" i="28" s="1"/>
  <c r="T213" i="28"/>
  <c r="V238" i="28"/>
  <c r="V240" i="28" s="1"/>
  <c r="V255" i="28" s="1"/>
  <c r="T240" i="28"/>
  <c r="J167" i="28"/>
  <c r="S259" i="28" l="1"/>
  <c r="T255" i="28"/>
  <c r="R259" i="28"/>
  <c r="N257" i="28"/>
  <c r="T202" i="28"/>
  <c r="T227" i="28" s="1"/>
  <c r="T257" i="28" s="1"/>
  <c r="J259" i="28"/>
  <c r="P167" i="28"/>
  <c r="P259" i="28" s="1"/>
  <c r="N259" i="28"/>
  <c r="L259" i="28"/>
  <c r="V202" i="28"/>
  <c r="V227" i="28" s="1"/>
  <c r="V257" i="28" s="1"/>
  <c r="T59" i="28"/>
  <c r="T167" i="28" s="1"/>
  <c r="T259" i="28" s="1"/>
  <c r="V59" i="28"/>
  <c r="V167" i="28" s="1"/>
  <c r="V259" i="28" l="1"/>
  <c r="E17" i="15" l="1"/>
  <c r="E16" i="15"/>
  <c r="D295" i="1"/>
  <c r="D112" i="27"/>
  <c r="AS89" i="27"/>
  <c r="AQ89" i="27"/>
  <c r="AS88" i="27"/>
  <c r="AQ88" i="27"/>
  <c r="AS87" i="27"/>
  <c r="AQ87" i="27"/>
  <c r="AS86" i="27"/>
  <c r="AQ86" i="27"/>
  <c r="AS85" i="27"/>
  <c r="AQ85" i="27"/>
  <c r="AS84" i="27"/>
  <c r="AQ84" i="27"/>
  <c r="AS83" i="27"/>
  <c r="AQ83" i="27"/>
  <c r="AS82" i="27"/>
  <c r="AQ82" i="27"/>
  <c r="AS81" i="27"/>
  <c r="AQ81" i="27"/>
  <c r="AS80" i="27"/>
  <c r="AQ80" i="27"/>
  <c r="AS79" i="27"/>
  <c r="AQ79" i="27"/>
  <c r="AS78" i="27"/>
  <c r="AQ78" i="27"/>
  <c r="AS77" i="27"/>
  <c r="AQ77" i="27"/>
  <c r="AS76" i="27"/>
  <c r="AQ76" i="27"/>
  <c r="AS75" i="27"/>
  <c r="AQ75" i="27"/>
  <c r="AS74" i="27"/>
  <c r="AQ74" i="27"/>
  <c r="AS73" i="27"/>
  <c r="AQ73" i="27"/>
  <c r="AS72" i="27"/>
  <c r="AQ72" i="27"/>
  <c r="AS71" i="27"/>
  <c r="AQ71" i="27"/>
  <c r="AS70" i="27"/>
  <c r="AQ70" i="27"/>
  <c r="AS69" i="27"/>
  <c r="AQ69" i="27"/>
  <c r="AS68" i="27"/>
  <c r="AQ68" i="27"/>
  <c r="AS67" i="27"/>
  <c r="AQ67" i="27"/>
  <c r="AS66" i="27"/>
  <c r="AQ66" i="27"/>
  <c r="AS65" i="27"/>
  <c r="AQ65" i="27"/>
  <c r="AS64" i="27"/>
  <c r="AQ64" i="27"/>
  <c r="AS63" i="27"/>
  <c r="AQ63" i="27"/>
  <c r="AS62" i="27"/>
  <c r="AQ62" i="27"/>
  <c r="AS61" i="27"/>
  <c r="AQ61" i="27"/>
  <c r="AS60" i="27"/>
  <c r="AQ60" i="27"/>
  <c r="AS59" i="27"/>
  <c r="AQ59" i="27"/>
  <c r="AS58" i="27"/>
  <c r="AQ58" i="27"/>
  <c r="AS57" i="27"/>
  <c r="AQ57" i="27"/>
  <c r="AS56" i="27"/>
  <c r="AQ56" i="27"/>
  <c r="AS55" i="27"/>
  <c r="AQ55" i="27"/>
  <c r="AS54" i="27"/>
  <c r="AQ54" i="27"/>
  <c r="AS53" i="27"/>
  <c r="AQ53" i="27"/>
  <c r="AS52" i="27"/>
  <c r="AQ52" i="27"/>
  <c r="AS51" i="27"/>
  <c r="AQ51" i="27"/>
  <c r="AS50" i="27"/>
  <c r="AQ50" i="27"/>
  <c r="AS49" i="27"/>
  <c r="AQ49" i="27"/>
  <c r="AS48" i="27"/>
  <c r="AQ48" i="27"/>
  <c r="AS47" i="27"/>
  <c r="AQ47" i="27"/>
  <c r="AS46" i="27"/>
  <c r="AQ46" i="27"/>
  <c r="AS45" i="27"/>
  <c r="AQ45" i="27"/>
  <c r="AS44" i="27"/>
  <c r="AQ44" i="27"/>
  <c r="AS43" i="27"/>
  <c r="AQ43" i="27"/>
  <c r="AS42" i="27"/>
  <c r="AQ42" i="27"/>
  <c r="AS41" i="27"/>
  <c r="AQ41" i="27"/>
  <c r="AS40" i="27"/>
  <c r="AQ40" i="27"/>
  <c r="AS39" i="27"/>
  <c r="AQ39" i="27"/>
  <c r="AS38" i="27"/>
  <c r="AQ38" i="27"/>
  <c r="AS37" i="27"/>
  <c r="AQ37" i="27"/>
  <c r="AS36" i="27"/>
  <c r="AQ36" i="27"/>
  <c r="AS35" i="27"/>
  <c r="AQ35" i="27"/>
  <c r="AS34" i="27"/>
  <c r="AQ34" i="27"/>
  <c r="AS33" i="27"/>
  <c r="AQ33" i="27"/>
  <c r="AS32" i="27"/>
  <c r="AQ32" i="27"/>
  <c r="AS31" i="27"/>
  <c r="AQ31" i="27"/>
  <c r="AS30" i="27"/>
  <c r="AQ30" i="27"/>
  <c r="AS29" i="27"/>
  <c r="AQ29" i="27"/>
  <c r="AS28" i="27"/>
  <c r="AQ28" i="27"/>
  <c r="AS27" i="27"/>
  <c r="AQ27" i="27"/>
  <c r="AS26" i="27"/>
  <c r="AQ26" i="27"/>
  <c r="AS25" i="27"/>
  <c r="AQ25" i="27"/>
  <c r="AS24" i="27"/>
  <c r="AQ24" i="27"/>
  <c r="AS23" i="27"/>
  <c r="AQ23" i="27"/>
  <c r="AS22" i="27"/>
  <c r="AQ22" i="27"/>
  <c r="AS21" i="27"/>
  <c r="AQ21" i="27"/>
  <c r="AS20" i="27"/>
  <c r="AQ20" i="27"/>
  <c r="G17" i="27"/>
  <c r="E17" i="27"/>
  <c r="D17" i="27"/>
  <c r="E16" i="27"/>
  <c r="D16" i="27"/>
  <c r="J8" i="27"/>
  <c r="G8" i="27"/>
  <c r="C8" i="27"/>
  <c r="U4" i="27"/>
  <c r="Y4" i="27"/>
  <c r="Q5" i="27"/>
  <c r="Q4" i="27"/>
  <c r="B5" i="27"/>
  <c r="G192" i="1" l="1"/>
  <c r="A3" i="8"/>
  <c r="A2" i="8"/>
  <c r="N143" i="1"/>
  <c r="N144" i="1"/>
  <c r="I106" i="1"/>
  <c r="D46" i="26"/>
  <c r="B45" i="7"/>
  <c r="D46" i="7" s="1"/>
  <c r="B39" i="7"/>
  <c r="B15" i="8"/>
  <c r="G44" i="1" s="1"/>
  <c r="C46" i="7"/>
  <c r="B16" i="8"/>
  <c r="B26" i="8" s="1"/>
  <c r="G311" i="1" s="1"/>
  <c r="C50" i="7"/>
  <c r="D50" i="7" s="1"/>
  <c r="O34" i="7" s="1"/>
  <c r="B14" i="8"/>
  <c r="G35" i="1" s="1"/>
  <c r="D44" i="26"/>
  <c r="B13" i="8"/>
  <c r="C35" i="7"/>
  <c r="B9" i="8"/>
  <c r="C31" i="7"/>
  <c r="B12" i="8"/>
  <c r="C34" i="7"/>
  <c r="B10" i="8"/>
  <c r="C32" i="7"/>
  <c r="B11" i="8"/>
  <c r="C33" i="7"/>
  <c r="B8" i="8"/>
  <c r="C30" i="7"/>
  <c r="B22" i="26"/>
  <c r="C55" i="7" l="1"/>
  <c r="F51" i="26"/>
  <c r="D48" i="26"/>
  <c r="D49" i="26"/>
  <c r="B53" i="7"/>
  <c r="D181" i="1" s="1"/>
  <c r="C51" i="26"/>
  <c r="D45" i="26"/>
  <c r="O35" i="7"/>
  <c r="D44" i="1"/>
  <c r="D50" i="1" s="1"/>
  <c r="G83" i="1"/>
  <c r="B24" i="8"/>
  <c r="G309" i="1" s="1"/>
  <c r="B25" i="8"/>
  <c r="G310" i="1" s="1"/>
  <c r="O28" i="7"/>
  <c r="E51" i="26"/>
  <c r="D22" i="26"/>
  <c r="E40" i="26"/>
  <c r="F40" i="26"/>
  <c r="D47" i="26"/>
  <c r="C41" i="7"/>
  <c r="B40" i="26"/>
  <c r="B32" i="7" s="1"/>
  <c r="D101" i="1" s="1"/>
  <c r="E101" i="1" s="1"/>
  <c r="D41" i="7" l="1"/>
  <c r="O27" i="7" s="1"/>
  <c r="D55" i="7"/>
  <c r="O51" i="7" s="1"/>
  <c r="H181" i="1"/>
  <c r="K181" i="1" s="1"/>
  <c r="D180" i="1"/>
  <c r="D188" i="1" s="1"/>
  <c r="E181" i="1"/>
  <c r="B17" i="8"/>
  <c r="B23" i="8"/>
  <c r="G308" i="1" s="1"/>
  <c r="D51" i="26"/>
  <c r="B51" i="26"/>
  <c r="D35" i="1"/>
  <c r="D41" i="1" s="1"/>
  <c r="C22" i="26"/>
  <c r="B33" i="7"/>
  <c r="D102" i="1" s="1"/>
  <c r="E102" i="1" s="1"/>
  <c r="B34" i="7"/>
  <c r="D103" i="1" s="1"/>
  <c r="E103" i="1" s="1"/>
  <c r="B31" i="7"/>
  <c r="D100" i="1" s="1"/>
  <c r="E100" i="1" s="1"/>
  <c r="B35" i="7"/>
  <c r="D104" i="1" s="1"/>
  <c r="E104" i="1" s="1"/>
  <c r="O76" i="7" l="1"/>
  <c r="G180" i="1"/>
  <c r="G188" i="1" s="1"/>
  <c r="B27" i="8"/>
  <c r="G313" i="1" s="1"/>
  <c r="G314" i="1" s="1"/>
  <c r="M181" i="1"/>
  <c r="C40" i="26"/>
  <c r="D26" i="26"/>
  <c r="D40" i="26" l="1"/>
  <c r="B30" i="7"/>
  <c r="D99" i="1" l="1"/>
  <c r="E99" i="1" s="1"/>
  <c r="D93" i="1"/>
  <c r="C26" i="25"/>
  <c r="B26" i="25"/>
  <c r="M9" i="25"/>
  <c r="M10" i="25"/>
  <c r="M12" i="25"/>
  <c r="M14" i="25"/>
  <c r="N16" i="25"/>
  <c r="L17" i="25"/>
  <c r="M18" i="25"/>
  <c r="K19" i="25"/>
  <c r="P18" i="25"/>
  <c r="J18" i="25"/>
  <c r="G18" i="25"/>
  <c r="O17" i="25"/>
  <c r="I17" i="25"/>
  <c r="F17" i="25"/>
  <c r="Q16" i="25"/>
  <c r="H16" i="25"/>
  <c r="H19" i="25" s="1"/>
  <c r="P14" i="25"/>
  <c r="J14" i="25"/>
  <c r="G14" i="25"/>
  <c r="P12" i="25"/>
  <c r="J12" i="25"/>
  <c r="G12" i="25"/>
  <c r="Q11" i="25"/>
  <c r="Q19" i="25" s="1"/>
  <c r="P10" i="25"/>
  <c r="J10" i="25"/>
  <c r="G10" i="25"/>
  <c r="P9" i="25"/>
  <c r="J9" i="25"/>
  <c r="G9" i="25"/>
  <c r="R9" i="25" s="1"/>
  <c r="D106" i="1" l="1"/>
  <c r="D26" i="25"/>
  <c r="N19" i="25"/>
  <c r="R14" i="25"/>
  <c r="R12" i="25"/>
  <c r="R10" i="25"/>
  <c r="R16" i="25"/>
  <c r="R18" i="25"/>
  <c r="R17" i="25"/>
  <c r="C44" i="19" l="1"/>
  <c r="C43" i="19"/>
  <c r="C39" i="19"/>
  <c r="C223" i="19"/>
  <c r="C216" i="19"/>
  <c r="C215" i="19"/>
  <c r="C214" i="19"/>
  <c r="C213" i="19"/>
  <c r="C212" i="19"/>
  <c r="C211" i="19"/>
  <c r="C210" i="19"/>
  <c r="C209" i="19"/>
  <c r="C208" i="19"/>
  <c r="C198" i="19"/>
  <c r="C202" i="19"/>
  <c r="C201" i="19"/>
  <c r="C200" i="19"/>
  <c r="C199" i="19"/>
  <c r="C197" i="19"/>
  <c r="C196" i="19"/>
  <c r="C195" i="19"/>
  <c r="C194" i="19"/>
  <c r="C193" i="19"/>
  <c r="C191" i="19"/>
  <c r="C190" i="19"/>
  <c r="C189" i="19"/>
  <c r="C188" i="19"/>
  <c r="C187" i="19"/>
  <c r="C186" i="19"/>
  <c r="C185" i="19"/>
  <c r="C184" i="19"/>
  <c r="C183" i="19"/>
  <c r="C182" i="19"/>
  <c r="C181" i="19"/>
  <c r="C180" i="19"/>
  <c r="C179" i="19"/>
  <c r="C178" i="19"/>
  <c r="C177" i="19"/>
  <c r="C176" i="19"/>
  <c r="C167" i="19"/>
  <c r="C166" i="19"/>
  <c r="C165" i="19"/>
  <c r="C164" i="19"/>
  <c r="C163" i="19"/>
  <c r="C162" i="19"/>
  <c r="C161" i="19"/>
  <c r="C160" i="19"/>
  <c r="C159" i="19"/>
  <c r="C158" i="19"/>
  <c r="C148" i="19"/>
  <c r="C147" i="19"/>
  <c r="C146" i="19"/>
  <c r="C144" i="19"/>
  <c r="C145" i="19"/>
  <c r="C139" i="19"/>
  <c r="C138" i="19"/>
  <c r="C141" i="19"/>
  <c r="C140" i="19"/>
  <c r="C137" i="19"/>
  <c r="C136" i="19"/>
  <c r="C135" i="19"/>
  <c r="C134" i="19"/>
  <c r="C132" i="19"/>
  <c r="C133" i="19"/>
  <c r="C131" i="19"/>
  <c r="C130" i="19"/>
  <c r="C129" i="19"/>
  <c r="C122" i="19"/>
  <c r="C123" i="19"/>
  <c r="C124" i="19"/>
  <c r="C125" i="19"/>
  <c r="C126" i="19"/>
  <c r="C127" i="19"/>
  <c r="C128" i="19"/>
  <c r="C121" i="19"/>
  <c r="C120" i="19"/>
  <c r="C119" i="19" l="1"/>
  <c r="C117" i="19"/>
  <c r="C116" i="19"/>
  <c r="C115" i="19"/>
  <c r="C114" i="19"/>
  <c r="C113" i="19"/>
  <c r="C112" i="19"/>
  <c r="C111" i="19"/>
  <c r="C110" i="19"/>
  <c r="C109" i="19"/>
  <c r="C108" i="19"/>
  <c r="C107" i="19"/>
  <c r="C106" i="19"/>
  <c r="C102" i="19"/>
  <c r="C103" i="19"/>
  <c r="C104" i="19"/>
  <c r="C105" i="19"/>
  <c r="C101" i="19"/>
  <c r="C100" i="19"/>
  <c r="C99" i="19"/>
  <c r="C98" i="19"/>
  <c r="C97" i="19"/>
  <c r="C96" i="19"/>
  <c r="C95" i="19"/>
  <c r="C92" i="19"/>
  <c r="C93" i="19"/>
  <c r="C94" i="19"/>
  <c r="C91" i="19"/>
  <c r="C90" i="19"/>
  <c r="C89" i="19"/>
  <c r="C88" i="19"/>
  <c r="C87" i="19"/>
  <c r="C86" i="19"/>
  <c r="C85" i="19"/>
  <c r="C84" i="19"/>
  <c r="C83" i="19"/>
  <c r="C82" i="19"/>
  <c r="C81" i="19"/>
  <c r="C80" i="19"/>
  <c r="C79" i="19"/>
  <c r="C78" i="19"/>
  <c r="C77" i="19"/>
  <c r="C76" i="19"/>
  <c r="C75" i="19"/>
  <c r="C74" i="19"/>
  <c r="C73" i="19"/>
  <c r="C72" i="19"/>
  <c r="C71" i="19"/>
  <c r="C70" i="19"/>
  <c r="C69" i="19"/>
  <c r="C68" i="19"/>
  <c r="C67" i="19"/>
  <c r="C66" i="19"/>
  <c r="C65" i="19"/>
  <c r="C64" i="19"/>
  <c r="C63" i="19"/>
  <c r="C62" i="19"/>
  <c r="C61" i="19"/>
  <c r="C60" i="19"/>
  <c r="C59" i="19"/>
  <c r="C58" i="19"/>
  <c r="C57" i="19"/>
  <c r="C56" i="19"/>
  <c r="C55" i="19"/>
  <c r="C54" i="19"/>
  <c r="C53" i="19"/>
  <c r="C52" i="19"/>
  <c r="C51" i="19"/>
  <c r="C40" i="19"/>
  <c r="N142" i="1"/>
  <c r="N105" i="1"/>
  <c r="AL47" i="11" l="1"/>
  <c r="D85" i="5"/>
  <c r="G145" i="1"/>
  <c r="G10" i="1" l="1"/>
  <c r="G148" i="1"/>
  <c r="K18" i="1"/>
  <c r="K17" i="1"/>
  <c r="K16" i="1"/>
  <c r="K14" i="1"/>
  <c r="K13" i="1"/>
  <c r="K11" i="1"/>
  <c r="K12" i="1"/>
  <c r="K20" i="1"/>
  <c r="K10" i="1"/>
  <c r="C38" i="19" l="1"/>
  <c r="C37" i="19"/>
  <c r="C36" i="19"/>
  <c r="C35" i="19"/>
  <c r="C34" i="19"/>
  <c r="C31" i="19"/>
  <c r="C30" i="19"/>
  <c r="C29" i="19"/>
  <c r="C28" i="19"/>
  <c r="C26" i="19"/>
  <c r="C25" i="19"/>
  <c r="C24" i="19"/>
  <c r="C23" i="19"/>
  <c r="C21" i="19"/>
  <c r="C22" i="19"/>
  <c r="C20" i="19"/>
  <c r="C19" i="19"/>
  <c r="C18" i="19"/>
  <c r="C17" i="19"/>
  <c r="C16" i="19"/>
  <c r="C15" i="19"/>
  <c r="C14" i="19"/>
  <c r="C13" i="19"/>
  <c r="C12" i="19"/>
  <c r="C11" i="19"/>
  <c r="C27" i="19"/>
  <c r="C33" i="19" s="1"/>
  <c r="C60" i="24"/>
  <c r="C59" i="24"/>
  <c r="C57" i="24"/>
  <c r="C56" i="24"/>
  <c r="C55" i="24"/>
  <c r="C54" i="24"/>
  <c r="C53" i="24"/>
  <c r="C51" i="24"/>
  <c r="C50" i="24"/>
  <c r="C49" i="24"/>
  <c r="C48" i="24"/>
  <c r="C46" i="24"/>
  <c r="C45" i="24"/>
  <c r="C44" i="24"/>
  <c r="C40" i="24"/>
  <c r="C29" i="24"/>
  <c r="C27" i="24"/>
  <c r="C24" i="24"/>
  <c r="H13" i="24"/>
  <c r="F13" i="24"/>
  <c r="C13" i="24"/>
  <c r="I13" i="24" s="1"/>
  <c r="I12" i="24"/>
  <c r="E12" i="24"/>
  <c r="C12" i="24"/>
  <c r="H12" i="24" s="1"/>
  <c r="F11" i="24"/>
  <c r="D11" i="24"/>
  <c r="C11" i="24"/>
  <c r="G11" i="24" s="1"/>
  <c r="C10" i="24"/>
  <c r="F10" i="24" s="1"/>
  <c r="I8" i="24"/>
  <c r="E8" i="24"/>
  <c r="C8" i="24"/>
  <c r="H8" i="24" s="1"/>
  <c r="F7" i="24"/>
  <c r="C7" i="24"/>
  <c r="G7" i="24" s="1"/>
  <c r="H7" i="24" l="1"/>
  <c r="G10" i="24"/>
  <c r="H11" i="24"/>
  <c r="D7" i="24"/>
  <c r="D13" i="24"/>
  <c r="E7" i="24"/>
  <c r="I7" i="24"/>
  <c r="F8" i="24"/>
  <c r="C9" i="24"/>
  <c r="D10" i="24"/>
  <c r="H10" i="24"/>
  <c r="E11" i="24"/>
  <c r="I11" i="24"/>
  <c r="F12" i="24"/>
  <c r="G13" i="24"/>
  <c r="G8" i="24"/>
  <c r="E10" i="24"/>
  <c r="I10" i="24"/>
  <c r="G12" i="24"/>
  <c r="D8" i="24"/>
  <c r="D12" i="24"/>
  <c r="E13" i="24"/>
  <c r="I9" i="24" l="1"/>
  <c r="E9" i="24"/>
  <c r="H9" i="24"/>
  <c r="D9" i="24"/>
  <c r="F9" i="24"/>
  <c r="G9" i="24"/>
  <c r="C32" i="18" l="1"/>
  <c r="C36" i="18"/>
  <c r="C40" i="18"/>
  <c r="S23" i="18"/>
  <c r="K23" i="18"/>
  <c r="C23" i="18"/>
  <c r="C38" i="18" l="1"/>
  <c r="C34" i="18"/>
  <c r="C30" i="18"/>
  <c r="C56" i="18"/>
  <c r="C54" i="18"/>
  <c r="C50" i="18"/>
  <c r="C46" i="18"/>
  <c r="C52" i="18"/>
  <c r="C48" i="18"/>
  <c r="B15" i="23"/>
  <c r="B14" i="23"/>
  <c r="B8" i="23"/>
  <c r="B5" i="23"/>
  <c r="C27" i="6" s="1"/>
  <c r="D5" i="23"/>
  <c r="E5" i="23"/>
  <c r="F5" i="23"/>
  <c r="G5" i="23"/>
  <c r="C6" i="23"/>
  <c r="D6" i="23"/>
  <c r="E6" i="23"/>
  <c r="F6" i="23"/>
  <c r="G6" i="23"/>
  <c r="C7" i="23"/>
  <c r="D7" i="23"/>
  <c r="E7" i="23"/>
  <c r="F7" i="23"/>
  <c r="G7" i="23"/>
  <c r="D8" i="23"/>
  <c r="E8" i="23"/>
  <c r="F8" i="23"/>
  <c r="G8" i="23"/>
  <c r="C10" i="23"/>
  <c r="F10" i="23"/>
  <c r="G10" i="23"/>
  <c r="C11" i="23"/>
  <c r="D11" i="23"/>
  <c r="E11" i="23"/>
  <c r="F11" i="23"/>
  <c r="G11" i="23"/>
  <c r="H11" i="23"/>
  <c r="I11" i="23"/>
  <c r="C14" i="23"/>
  <c r="D14" i="23"/>
  <c r="E14" i="23"/>
  <c r="F14" i="23"/>
  <c r="G14" i="23"/>
  <c r="D15" i="23"/>
  <c r="E15" i="23"/>
  <c r="F15" i="23"/>
  <c r="G15" i="23"/>
  <c r="H15" i="23"/>
  <c r="I15" i="23"/>
  <c r="B12" i="23"/>
  <c r="J13" i="23"/>
  <c r="J15" i="23" l="1"/>
  <c r="J14" i="23"/>
  <c r="O218" i="19"/>
  <c r="O216" i="19"/>
  <c r="O215" i="19"/>
  <c r="O214" i="19"/>
  <c r="O213" i="19"/>
  <c r="O212" i="19"/>
  <c r="O211" i="19"/>
  <c r="O210" i="19"/>
  <c r="O209" i="19"/>
  <c r="O208" i="19"/>
  <c r="M216" i="19"/>
  <c r="M215" i="19"/>
  <c r="M214" i="19"/>
  <c r="M213" i="19"/>
  <c r="M212" i="19"/>
  <c r="M211" i="19"/>
  <c r="M210" i="19"/>
  <c r="M209" i="19"/>
  <c r="M208" i="19"/>
  <c r="G181" i="19"/>
  <c r="G182" i="19"/>
  <c r="G183" i="19"/>
  <c r="G184" i="19"/>
  <c r="G185" i="19"/>
  <c r="G186" i="19"/>
  <c r="G187" i="19"/>
  <c r="G188" i="19"/>
  <c r="G189" i="19"/>
  <c r="G190" i="19"/>
  <c r="G191" i="19"/>
  <c r="G192" i="19"/>
  <c r="G193" i="19"/>
  <c r="G194" i="19"/>
  <c r="G195" i="19"/>
  <c r="G196" i="19"/>
  <c r="G197" i="19"/>
  <c r="G198" i="19"/>
  <c r="G199" i="19"/>
  <c r="G200" i="19"/>
  <c r="G201" i="19"/>
  <c r="G202" i="19"/>
  <c r="G145" i="19"/>
  <c r="G146" i="19"/>
  <c r="G147" i="19"/>
  <c r="G148" i="19"/>
  <c r="G149" i="19"/>
  <c r="G150" i="19"/>
  <c r="G151"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23" i="19"/>
  <c r="G24" i="19"/>
  <c r="G25" i="19"/>
  <c r="G26" i="19"/>
  <c r="G27" i="19"/>
  <c r="G28" i="19"/>
  <c r="G29" i="19"/>
  <c r="G30" i="19"/>
  <c r="G31" i="19"/>
  <c r="G32" i="19"/>
  <c r="G33" i="19"/>
  <c r="G34" i="19"/>
  <c r="G35" i="19"/>
  <c r="G36" i="19"/>
  <c r="G37" i="19"/>
  <c r="G38" i="19"/>
  <c r="G39" i="19"/>
  <c r="G40" i="19"/>
  <c r="G41" i="19"/>
  <c r="G42" i="19"/>
  <c r="G43" i="19"/>
  <c r="G44" i="19"/>
  <c r="M218" i="19" l="1"/>
  <c r="L39" i="23"/>
  <c r="D40" i="6"/>
  <c r="D32" i="6"/>
  <c r="D30" i="6"/>
  <c r="C30" i="6"/>
  <c r="J10" i="23"/>
  <c r="L38" i="23"/>
  <c r="D38" i="23"/>
  <c r="E38" i="23"/>
  <c r="F38" i="23"/>
  <c r="G38" i="23"/>
  <c r="H38" i="23"/>
  <c r="I38" i="23"/>
  <c r="J38" i="23"/>
  <c r="K38" i="23"/>
  <c r="C38" i="23"/>
  <c r="J12" i="23"/>
  <c r="I16" i="23"/>
  <c r="J9" i="23"/>
  <c r="K9" i="23" s="1"/>
  <c r="F16" i="23" l="1"/>
  <c r="J8" i="23"/>
  <c r="D28" i="6" s="1"/>
  <c r="H16" i="23"/>
  <c r="K14" i="23"/>
  <c r="K10" i="23"/>
  <c r="E16" i="23"/>
  <c r="J7" i="23"/>
  <c r="D36" i="6" s="1"/>
  <c r="K15" i="23"/>
  <c r="G16" i="23"/>
  <c r="J5" i="23"/>
  <c r="D27" i="6" s="1"/>
  <c r="C16" i="23"/>
  <c r="J11" i="23"/>
  <c r="K12" i="23"/>
  <c r="K13" i="23"/>
  <c r="D16" i="23"/>
  <c r="J6" i="23"/>
  <c r="D34" i="6" s="1"/>
  <c r="K11" i="23" l="1"/>
  <c r="D38" i="6"/>
  <c r="K6" i="23"/>
  <c r="K7" i="23"/>
  <c r="J16" i="23"/>
  <c r="E20" i="22" l="1"/>
  <c r="D20" i="22"/>
  <c r="E17" i="22"/>
  <c r="D17" i="22"/>
  <c r="E16" i="22"/>
  <c r="D16" i="22"/>
  <c r="E15" i="22"/>
  <c r="I8" i="22" s="1"/>
  <c r="D15" i="22"/>
  <c r="E11" i="22"/>
  <c r="D11" i="22"/>
  <c r="E8" i="22"/>
  <c r="I9" i="22" s="1"/>
  <c r="D8" i="22"/>
  <c r="E7" i="22"/>
  <c r="D7" i="22"/>
  <c r="E6" i="22"/>
  <c r="I7" i="22" s="1"/>
  <c r="D6" i="22"/>
  <c r="D9" i="22" l="1"/>
  <c r="D12" i="22" s="1"/>
  <c r="E9" i="22"/>
  <c r="E12" i="22" s="1"/>
  <c r="D18" i="22"/>
  <c r="D21" i="22" s="1"/>
  <c r="E18" i="22"/>
  <c r="E21" i="22" s="1"/>
  <c r="I18" i="22" l="1"/>
  <c r="E15" i="1" l="1"/>
  <c r="E225" i="19"/>
  <c r="G225" i="19"/>
  <c r="E223" i="19"/>
  <c r="E222" i="19"/>
  <c r="G218" i="19"/>
  <c r="E216" i="19"/>
  <c r="E215" i="19"/>
  <c r="E214" i="19"/>
  <c r="E213" i="19"/>
  <c r="E212" i="19"/>
  <c r="E211" i="19"/>
  <c r="E210" i="19"/>
  <c r="E209" i="19"/>
  <c r="E208" i="19"/>
  <c r="E218" i="19" s="1"/>
  <c r="B18" i="7" s="1"/>
  <c r="E202" i="19"/>
  <c r="E201" i="19"/>
  <c r="E200" i="19"/>
  <c r="E199" i="19"/>
  <c r="E198" i="19"/>
  <c r="E197" i="19"/>
  <c r="E196" i="19"/>
  <c r="E195" i="19"/>
  <c r="E194" i="19"/>
  <c r="E193" i="19"/>
  <c r="E192" i="19"/>
  <c r="E191" i="19"/>
  <c r="E190" i="19"/>
  <c r="E189" i="19"/>
  <c r="E188" i="19"/>
  <c r="E187" i="19"/>
  <c r="E186" i="19"/>
  <c r="E185" i="19"/>
  <c r="E184" i="19"/>
  <c r="E183" i="19"/>
  <c r="E182" i="19"/>
  <c r="E181" i="19"/>
  <c r="E180" i="19"/>
  <c r="G180" i="19" s="1"/>
  <c r="E179" i="19"/>
  <c r="G179" i="19" s="1"/>
  <c r="E178" i="19"/>
  <c r="G178" i="19" s="1"/>
  <c r="E177" i="19"/>
  <c r="G177" i="19" s="1"/>
  <c r="E176" i="19"/>
  <c r="G176" i="19" s="1"/>
  <c r="E175" i="19"/>
  <c r="E174" i="19"/>
  <c r="E173" i="19"/>
  <c r="E172" i="19"/>
  <c r="E171" i="19"/>
  <c r="E170" i="19"/>
  <c r="E169" i="19"/>
  <c r="E168" i="19"/>
  <c r="E167" i="19"/>
  <c r="G167" i="19" s="1"/>
  <c r="E166" i="19"/>
  <c r="G166" i="19" s="1"/>
  <c r="E165" i="19"/>
  <c r="G165" i="19" s="1"/>
  <c r="E164" i="19"/>
  <c r="G164" i="19" s="1"/>
  <c r="E163" i="19"/>
  <c r="G163" i="19" s="1"/>
  <c r="E162" i="19"/>
  <c r="G162" i="19" s="1"/>
  <c r="E161" i="19"/>
  <c r="G161" i="19" s="1"/>
  <c r="E160" i="19"/>
  <c r="G160" i="19" s="1"/>
  <c r="E159" i="19"/>
  <c r="G159" i="19" s="1"/>
  <c r="E158" i="19"/>
  <c r="G158" i="19" s="1"/>
  <c r="E151" i="19"/>
  <c r="E150" i="19"/>
  <c r="E149" i="19"/>
  <c r="E148" i="19"/>
  <c r="E147" i="19"/>
  <c r="E146" i="19"/>
  <c r="E145" i="19"/>
  <c r="E144" i="19"/>
  <c r="E143" i="19"/>
  <c r="E142" i="19"/>
  <c r="E141" i="19"/>
  <c r="E140" i="19"/>
  <c r="E139" i="19"/>
  <c r="E138" i="19"/>
  <c r="E137" i="19"/>
  <c r="E136" i="19"/>
  <c r="E135" i="19"/>
  <c r="E134" i="19"/>
  <c r="E133" i="19"/>
  <c r="E132" i="19"/>
  <c r="E131" i="19"/>
  <c r="E130" i="19"/>
  <c r="E129" i="19"/>
  <c r="E128" i="19"/>
  <c r="E127" i="19"/>
  <c r="E126" i="19"/>
  <c r="E125" i="19"/>
  <c r="E124" i="19"/>
  <c r="E123" i="19"/>
  <c r="E122" i="19"/>
  <c r="E121" i="19"/>
  <c r="E120" i="19"/>
  <c r="E119" i="19"/>
  <c r="E118" i="19"/>
  <c r="E117" i="19"/>
  <c r="E116" i="19"/>
  <c r="E115" i="19"/>
  <c r="E114" i="19"/>
  <c r="G114" i="19" s="1"/>
  <c r="E113" i="19"/>
  <c r="G113" i="19" s="1"/>
  <c r="E112" i="19"/>
  <c r="G112" i="19" s="1"/>
  <c r="E111" i="19"/>
  <c r="G111" i="19" s="1"/>
  <c r="E110" i="19"/>
  <c r="G110" i="19" s="1"/>
  <c r="E109" i="19"/>
  <c r="G109" i="19" s="1"/>
  <c r="E108" i="19"/>
  <c r="G108" i="19" s="1"/>
  <c r="E107" i="19"/>
  <c r="G107" i="19" s="1"/>
  <c r="E106" i="19"/>
  <c r="G106" i="19" s="1"/>
  <c r="E105" i="19"/>
  <c r="G105" i="19" s="1"/>
  <c r="E104" i="19"/>
  <c r="G104" i="19" s="1"/>
  <c r="E103" i="19"/>
  <c r="G103" i="19" s="1"/>
  <c r="E102" i="19"/>
  <c r="G102" i="19" s="1"/>
  <c r="E101" i="19"/>
  <c r="G101" i="19" s="1"/>
  <c r="E100" i="19"/>
  <c r="G100" i="19" s="1"/>
  <c r="E99" i="19"/>
  <c r="G99" i="19" s="1"/>
  <c r="E98" i="19"/>
  <c r="G98" i="19" s="1"/>
  <c r="E97" i="19"/>
  <c r="G97" i="19" s="1"/>
  <c r="E96" i="19"/>
  <c r="G96" i="19" s="1"/>
  <c r="E95" i="19"/>
  <c r="G95" i="19" s="1"/>
  <c r="E94" i="19"/>
  <c r="G94" i="19" s="1"/>
  <c r="E93" i="19"/>
  <c r="G93" i="19" s="1"/>
  <c r="E92" i="19"/>
  <c r="G92" i="19" s="1"/>
  <c r="E91" i="19"/>
  <c r="G91" i="19" s="1"/>
  <c r="E90" i="19"/>
  <c r="G90" i="19" s="1"/>
  <c r="E89" i="19"/>
  <c r="G89" i="19" s="1"/>
  <c r="E88" i="19"/>
  <c r="G88" i="19" s="1"/>
  <c r="E87" i="19"/>
  <c r="G87" i="19" s="1"/>
  <c r="E86" i="19"/>
  <c r="G86" i="19" s="1"/>
  <c r="E85" i="19"/>
  <c r="G85" i="19" s="1"/>
  <c r="E84" i="19"/>
  <c r="G84" i="19" s="1"/>
  <c r="E83" i="19"/>
  <c r="G83" i="19" s="1"/>
  <c r="E82" i="19"/>
  <c r="G82" i="19" s="1"/>
  <c r="E81" i="19"/>
  <c r="G81" i="19" s="1"/>
  <c r="E80" i="19"/>
  <c r="G80" i="19" s="1"/>
  <c r="E79" i="19"/>
  <c r="G79" i="19" s="1"/>
  <c r="E78" i="19"/>
  <c r="G78" i="19" s="1"/>
  <c r="E77" i="19"/>
  <c r="G77" i="19" s="1"/>
  <c r="E76" i="19"/>
  <c r="G76" i="19" s="1"/>
  <c r="E75" i="19"/>
  <c r="G75" i="19" s="1"/>
  <c r="E74" i="19"/>
  <c r="G74" i="19" s="1"/>
  <c r="E73" i="19"/>
  <c r="G73" i="19" s="1"/>
  <c r="E72" i="19"/>
  <c r="G72" i="19" s="1"/>
  <c r="E71" i="19"/>
  <c r="G71" i="19" s="1"/>
  <c r="E70" i="19"/>
  <c r="G70" i="19" s="1"/>
  <c r="E69" i="19"/>
  <c r="G69" i="19" s="1"/>
  <c r="E68" i="19"/>
  <c r="G68" i="19" s="1"/>
  <c r="E67" i="19"/>
  <c r="G67" i="19" s="1"/>
  <c r="E66" i="19"/>
  <c r="G66" i="19" s="1"/>
  <c r="E65" i="19"/>
  <c r="G65" i="19" s="1"/>
  <c r="E64" i="19"/>
  <c r="G64" i="19" s="1"/>
  <c r="E63" i="19"/>
  <c r="G63" i="19" s="1"/>
  <c r="E62" i="19"/>
  <c r="G62" i="19" s="1"/>
  <c r="E61" i="19"/>
  <c r="G61" i="19" s="1"/>
  <c r="E60" i="19"/>
  <c r="G60" i="19" s="1"/>
  <c r="E59" i="19"/>
  <c r="G59" i="19" s="1"/>
  <c r="E58" i="19"/>
  <c r="G58" i="19" s="1"/>
  <c r="E57" i="19"/>
  <c r="G57" i="19" s="1"/>
  <c r="E56" i="19"/>
  <c r="G56" i="19" s="1"/>
  <c r="E55" i="19"/>
  <c r="G55" i="19" s="1"/>
  <c r="E54" i="19"/>
  <c r="G54" i="19" s="1"/>
  <c r="E53" i="19"/>
  <c r="G53" i="19" s="1"/>
  <c r="E52" i="19"/>
  <c r="G52" i="19" s="1"/>
  <c r="E51" i="19"/>
  <c r="E44" i="19"/>
  <c r="E43" i="19"/>
  <c r="E42" i="19"/>
  <c r="E41" i="19"/>
  <c r="E40" i="19"/>
  <c r="E39" i="19"/>
  <c r="E38" i="19"/>
  <c r="E37" i="19"/>
  <c r="E36" i="19"/>
  <c r="E35" i="19"/>
  <c r="E34" i="19"/>
  <c r="E33" i="19"/>
  <c r="E32" i="19"/>
  <c r="E31" i="19"/>
  <c r="E30" i="19"/>
  <c r="E29" i="19"/>
  <c r="E28" i="19"/>
  <c r="E27" i="19"/>
  <c r="E26" i="19"/>
  <c r="E25" i="19"/>
  <c r="E24" i="19"/>
  <c r="E23" i="19"/>
  <c r="E22" i="19"/>
  <c r="G22" i="19" s="1"/>
  <c r="E21" i="19"/>
  <c r="G21" i="19" s="1"/>
  <c r="E20" i="19"/>
  <c r="G20" i="19" s="1"/>
  <c r="E19" i="19"/>
  <c r="G19" i="19" s="1"/>
  <c r="E18" i="19"/>
  <c r="G18" i="19" s="1"/>
  <c r="E17" i="19"/>
  <c r="G17" i="19" s="1"/>
  <c r="E16" i="19"/>
  <c r="G16" i="19" s="1"/>
  <c r="E15" i="19"/>
  <c r="G15" i="19" s="1"/>
  <c r="E14" i="19"/>
  <c r="G14" i="19" s="1"/>
  <c r="E13" i="19"/>
  <c r="G13" i="19" s="1"/>
  <c r="E12" i="19"/>
  <c r="G12" i="19" s="1"/>
  <c r="E11" i="19"/>
  <c r="E46" i="19" s="1"/>
  <c r="B9" i="7" s="1"/>
  <c r="J10" i="1" s="1"/>
  <c r="H15" i="1" l="1"/>
  <c r="K15" i="1" s="1"/>
  <c r="E153" i="19"/>
  <c r="B12" i="7" s="1"/>
  <c r="E204" i="19"/>
  <c r="G11" i="19"/>
  <c r="G46" i="19" s="1"/>
  <c r="G51" i="19"/>
  <c r="G153" i="19" s="1"/>
  <c r="C28" i="6" l="1"/>
  <c r="K8" i="23"/>
  <c r="B16" i="23"/>
  <c r="K5" i="23"/>
  <c r="E227" i="19"/>
  <c r="B16" i="7"/>
  <c r="K16" i="23" l="1"/>
  <c r="C9" i="18" l="1"/>
  <c r="C17" i="18"/>
  <c r="C44" i="18"/>
  <c r="C13" i="18"/>
  <c r="C21" i="18"/>
  <c r="C28" i="18"/>
  <c r="C15" i="18"/>
  <c r="C11" i="18"/>
  <c r="C19" i="18"/>
  <c r="B14" i="7"/>
  <c r="B15" i="7"/>
  <c r="J18" i="1" s="1"/>
  <c r="J14" i="1"/>
  <c r="B17" i="7"/>
  <c r="J17" i="1"/>
  <c r="B19" i="7"/>
  <c r="J20" i="1" s="1"/>
  <c r="B13" i="7"/>
  <c r="B10" i="7"/>
  <c r="B11" i="7"/>
  <c r="J12" i="1" s="1"/>
  <c r="J13" i="1"/>
  <c r="J146" i="1" l="1"/>
  <c r="N146" i="1" s="1"/>
  <c r="D34" i="15"/>
  <c r="J16" i="1"/>
  <c r="N16" i="1" s="1"/>
  <c r="J15" i="1"/>
  <c r="J11" i="1"/>
  <c r="B21" i="7"/>
  <c r="J155" i="1"/>
  <c r="D17" i="6"/>
  <c r="C17" i="6"/>
  <c r="D16" i="6"/>
  <c r="C16" i="6"/>
  <c r="E15" i="6"/>
  <c r="D14" i="6"/>
  <c r="E14" i="6" s="1"/>
  <c r="D13" i="6"/>
  <c r="E13" i="6" s="1"/>
  <c r="D12" i="6"/>
  <c r="E12" i="6" s="1"/>
  <c r="D11" i="6"/>
  <c r="C11" i="6"/>
  <c r="C84" i="6" s="1"/>
  <c r="D10" i="6"/>
  <c r="C10" i="6"/>
  <c r="D9" i="6"/>
  <c r="C83" i="6"/>
  <c r="C58" i="6"/>
  <c r="C60" i="6"/>
  <c r="E60" i="6" s="1"/>
  <c r="N15" i="1" l="1"/>
  <c r="M15" i="1"/>
  <c r="E17" i="6"/>
  <c r="E16" i="6"/>
  <c r="G16" i="6" s="1"/>
  <c r="E11" i="6"/>
  <c r="G11" i="6" s="1"/>
  <c r="E10" i="6"/>
  <c r="F10" i="6" s="1"/>
  <c r="E58" i="6"/>
  <c r="L7" i="25" l="1"/>
  <c r="M7" i="25" s="1"/>
  <c r="F7" i="25"/>
  <c r="O7" i="25"/>
  <c r="P7" i="25" s="1"/>
  <c r="I7" i="25"/>
  <c r="J7" i="25" s="1"/>
  <c r="G10" i="6"/>
  <c r="F16" i="6"/>
  <c r="F11" i="6"/>
  <c r="I13" i="25" l="1"/>
  <c r="L13" i="25"/>
  <c r="F13" i="25"/>
  <c r="O13" i="25"/>
  <c r="P13" i="25" s="1"/>
  <c r="F8" i="25"/>
  <c r="L8" i="25"/>
  <c r="M8" i="25" s="1"/>
  <c r="I8" i="25"/>
  <c r="J8" i="25" s="1"/>
  <c r="O8" i="25"/>
  <c r="P8" i="25" s="1"/>
  <c r="G7" i="25"/>
  <c r="R7" i="25"/>
  <c r="M23" i="18"/>
  <c r="U23" i="18"/>
  <c r="AI50" i="18"/>
  <c r="AM50" i="18" s="1"/>
  <c r="AI46" i="18"/>
  <c r="AM46" i="18" s="1"/>
  <c r="AI40" i="18"/>
  <c r="AM40" i="18" s="1"/>
  <c r="AI34" i="18"/>
  <c r="AM34" i="18" s="1"/>
  <c r="AI32" i="18"/>
  <c r="AM32" i="18" s="1"/>
  <c r="AI30" i="18"/>
  <c r="AM30" i="18" s="1"/>
  <c r="AI28" i="18"/>
  <c r="AM28" i="18" s="1"/>
  <c r="AI17" i="18"/>
  <c r="AM17" i="18" s="1"/>
  <c r="AI21" i="18"/>
  <c r="AM21" i="18" s="1"/>
  <c r="AI19" i="18"/>
  <c r="AM19" i="18" s="1"/>
  <c r="AI11" i="18"/>
  <c r="AM11" i="18" s="1"/>
  <c r="AA50" i="18"/>
  <c r="AE50" i="18" s="1"/>
  <c r="AA46" i="18"/>
  <c r="AE46" i="18" s="1"/>
  <c r="AA40" i="18"/>
  <c r="AE40" i="18" s="1"/>
  <c r="AA34" i="18"/>
  <c r="AE34" i="18" s="1"/>
  <c r="AA32" i="18"/>
  <c r="AE32" i="18" s="1"/>
  <c r="AA30" i="18"/>
  <c r="AE30" i="18" s="1"/>
  <c r="AA28" i="18"/>
  <c r="AE28" i="18" s="1"/>
  <c r="AA21" i="18"/>
  <c r="AE21" i="18" s="1"/>
  <c r="AA19" i="18"/>
  <c r="AE19" i="18" s="1"/>
  <c r="AA17" i="18"/>
  <c r="AE17" i="18" s="1"/>
  <c r="AA11" i="18"/>
  <c r="AE11" i="18" s="1"/>
  <c r="S52" i="18"/>
  <c r="S44" i="18"/>
  <c r="S36" i="18"/>
  <c r="S28" i="18"/>
  <c r="W28" i="18" s="1"/>
  <c r="K58" i="18"/>
  <c r="S58" i="18"/>
  <c r="S56" i="18"/>
  <c r="K56" i="18"/>
  <c r="S54" i="18"/>
  <c r="K54" i="18"/>
  <c r="K52" i="18"/>
  <c r="D90" i="7" s="1"/>
  <c r="S50" i="18"/>
  <c r="W50" i="18" s="1"/>
  <c r="K50" i="18"/>
  <c r="O50" i="18" s="1"/>
  <c r="S48" i="18"/>
  <c r="K48" i="18"/>
  <c r="D89" i="7" s="1"/>
  <c r="S46" i="18"/>
  <c r="W46" i="18" s="1"/>
  <c r="K46" i="18"/>
  <c r="O46" i="18" s="1"/>
  <c r="K44" i="18"/>
  <c r="S40" i="18"/>
  <c r="W40" i="18" s="1"/>
  <c r="K40" i="18"/>
  <c r="O40" i="18" s="1"/>
  <c r="S38" i="18"/>
  <c r="K38" i="18"/>
  <c r="K36" i="18"/>
  <c r="S34" i="18"/>
  <c r="W34" i="18" s="1"/>
  <c r="K34" i="18"/>
  <c r="O34" i="18" s="1"/>
  <c r="S32" i="18"/>
  <c r="W32" i="18" s="1"/>
  <c r="K32" i="18"/>
  <c r="O32" i="18" s="1"/>
  <c r="S30" i="18"/>
  <c r="W30" i="18" s="1"/>
  <c r="K30" i="18"/>
  <c r="O30" i="18" s="1"/>
  <c r="F42" i="18"/>
  <c r="K28" i="18"/>
  <c r="O28" i="18" s="1"/>
  <c r="S21" i="18"/>
  <c r="W21" i="18" s="1"/>
  <c r="K21" i="18"/>
  <c r="O21" i="18" s="1"/>
  <c r="S19" i="18"/>
  <c r="W19" i="18" s="1"/>
  <c r="K19" i="18"/>
  <c r="O19" i="18" s="1"/>
  <c r="S17" i="18"/>
  <c r="W17" i="18" s="1"/>
  <c r="K17" i="18"/>
  <c r="O17" i="18" s="1"/>
  <c r="S15" i="18"/>
  <c r="K15" i="18"/>
  <c r="S13" i="18"/>
  <c r="U13" i="18" s="1"/>
  <c r="K13" i="18"/>
  <c r="M13" i="18" s="1"/>
  <c r="S11" i="18"/>
  <c r="W11" i="18" s="1"/>
  <c r="K11" i="18"/>
  <c r="O11" i="18" s="1"/>
  <c r="S9" i="18"/>
  <c r="K9" i="18"/>
  <c r="H7" i="18"/>
  <c r="M13" i="25" l="1"/>
  <c r="J13" i="25"/>
  <c r="D91" i="7"/>
  <c r="D88" i="7"/>
  <c r="AI23" i="18"/>
  <c r="AK23" i="18" s="1"/>
  <c r="W23" i="18"/>
  <c r="AA23" i="18"/>
  <c r="AC23" i="18" s="1"/>
  <c r="O23" i="18"/>
  <c r="G13" i="25"/>
  <c r="G8" i="25"/>
  <c r="R8" i="25" s="1"/>
  <c r="M9" i="18"/>
  <c r="AA9" i="18" s="1"/>
  <c r="AC9" i="18" s="1"/>
  <c r="K25" i="18"/>
  <c r="D86" i="7" s="1"/>
  <c r="U9" i="18"/>
  <c r="AI9" i="18" s="1"/>
  <c r="AK9" i="18" s="1"/>
  <c r="S25" i="18"/>
  <c r="S42" i="18"/>
  <c r="K42" i="18"/>
  <c r="B42" i="18"/>
  <c r="F25" i="18"/>
  <c r="F60" i="18" s="1"/>
  <c r="E25" i="18"/>
  <c r="B25" i="18"/>
  <c r="G42" i="18"/>
  <c r="D25" i="18"/>
  <c r="H25" i="18"/>
  <c r="D42" i="18"/>
  <c r="H42" i="18"/>
  <c r="G25" i="18"/>
  <c r="E42" i="18"/>
  <c r="R13" i="25" l="1"/>
  <c r="C42" i="18"/>
  <c r="S60" i="18"/>
  <c r="H330" i="1" s="1"/>
  <c r="C25" i="18"/>
  <c r="D87" i="7"/>
  <c r="K60" i="18"/>
  <c r="B60" i="18"/>
  <c r="G60" i="18"/>
  <c r="D60" i="18"/>
  <c r="E60" i="18"/>
  <c r="H60" i="18"/>
  <c r="C60" i="18" l="1"/>
  <c r="C73" i="17"/>
  <c r="C67" i="17"/>
  <c r="C74" i="17" s="1"/>
  <c r="C57" i="17"/>
  <c r="C59" i="17" s="1"/>
  <c r="C42" i="17"/>
  <c r="C36" i="17"/>
  <c r="C40" i="17" s="1"/>
  <c r="C26" i="17"/>
  <c r="C19" i="17"/>
  <c r="C20" i="17" s="1"/>
  <c r="D26" i="16"/>
  <c r="D33" i="16" s="1"/>
  <c r="D37" i="16" s="1"/>
  <c r="D41" i="16" s="1"/>
  <c r="Z55" i="15"/>
  <c r="Z54" i="15"/>
  <c r="Z53" i="15"/>
  <c r="Z52" i="15"/>
  <c r="Z49" i="15"/>
  <c r="Z48" i="15"/>
  <c r="Z47" i="15"/>
  <c r="Z46" i="15"/>
  <c r="Z43" i="15"/>
  <c r="Z42" i="15"/>
  <c r="Z41" i="15"/>
  <c r="Z40" i="15"/>
  <c r="Z37" i="15"/>
  <c r="Z36" i="15"/>
  <c r="Z35" i="15"/>
  <c r="Z34" i="15"/>
  <c r="Z31" i="15"/>
  <c r="Z30" i="15"/>
  <c r="Z29" i="15"/>
  <c r="Z28" i="15"/>
  <c r="Z25" i="15"/>
  <c r="Z24" i="15"/>
  <c r="Z23" i="15"/>
  <c r="Z22" i="15"/>
  <c r="Z19" i="15"/>
  <c r="Z18" i="15"/>
  <c r="Z17" i="15"/>
  <c r="Z16" i="15"/>
  <c r="Z13" i="15"/>
  <c r="Z12" i="15"/>
  <c r="Z11" i="15"/>
  <c r="Z10" i="15"/>
  <c r="Z7" i="15"/>
  <c r="Z6" i="15"/>
  <c r="Z5" i="15"/>
  <c r="Z4" i="15"/>
  <c r="C69" i="17" l="1"/>
  <c r="D68" i="17" s="1"/>
  <c r="C29" i="17"/>
  <c r="C46" i="17"/>
  <c r="C61" i="17" s="1"/>
  <c r="C76" i="17"/>
  <c r="E18" i="15" s="1"/>
  <c r="D67" i="17" l="1"/>
  <c r="A2" i="14"/>
  <c r="A1" i="14"/>
  <c r="B345" i="14"/>
  <c r="B344" i="14"/>
  <c r="B343" i="14"/>
  <c r="B342" i="14"/>
  <c r="B248" i="14" s="1"/>
  <c r="C172" i="19" l="1"/>
  <c r="G172" i="19" s="1"/>
  <c r="C168" i="19"/>
  <c r="G168" i="19" s="1"/>
  <c r="C174" i="19"/>
  <c r="G174" i="19" s="1"/>
  <c r="C170" i="19"/>
  <c r="G170" i="19" s="1"/>
  <c r="C173" i="19"/>
  <c r="G173" i="19" s="1"/>
  <c r="C169" i="19"/>
  <c r="G169" i="19" s="1"/>
  <c r="C175" i="19"/>
  <c r="G175" i="19" s="1"/>
  <c r="C171" i="19"/>
  <c r="G171" i="19" s="1"/>
  <c r="G204" i="19" l="1"/>
  <c r="G227" i="19" s="1"/>
  <c r="D56" i="6"/>
  <c r="E56" i="6" s="1"/>
  <c r="E40" i="6"/>
  <c r="F40" i="6" s="1"/>
  <c r="D62" i="6"/>
  <c r="E62" i="6" s="1"/>
  <c r="D54" i="6"/>
  <c r="D52" i="6"/>
  <c r="D51" i="6"/>
  <c r="D14" i="7" l="1"/>
  <c r="F14" i="7" s="1"/>
  <c r="D19" i="7"/>
  <c r="D15" i="7"/>
  <c r="E32" i="6"/>
  <c r="F32" i="6" s="1"/>
  <c r="G40" i="6"/>
  <c r="D42" i="6"/>
  <c r="AK10" i="11"/>
  <c r="AK9" i="11"/>
  <c r="AF47" i="11"/>
  <c r="AD47" i="11"/>
  <c r="AB47" i="11"/>
  <c r="Z47" i="11"/>
  <c r="X47" i="11"/>
  <c r="V47" i="11"/>
  <c r="T47" i="11"/>
  <c r="R47" i="11"/>
  <c r="P47" i="11"/>
  <c r="N47" i="11"/>
  <c r="L47" i="11"/>
  <c r="J47" i="11"/>
  <c r="AH45" i="11"/>
  <c r="AH44" i="11"/>
  <c r="AH43" i="11"/>
  <c r="AH42" i="11"/>
  <c r="AH41" i="11"/>
  <c r="AH40" i="11"/>
  <c r="AH39" i="11"/>
  <c r="AH38" i="11"/>
  <c r="AH37" i="11"/>
  <c r="AH36" i="11"/>
  <c r="AH35" i="11"/>
  <c r="AH34" i="11"/>
  <c r="AH33" i="11"/>
  <c r="AH32" i="11"/>
  <c r="AH31" i="11"/>
  <c r="AH30" i="11"/>
  <c r="AH29" i="11"/>
  <c r="AH28" i="11"/>
  <c r="AH27" i="11"/>
  <c r="AH26" i="11"/>
  <c r="AH25" i="11"/>
  <c r="AH24" i="11"/>
  <c r="AH23" i="11"/>
  <c r="AH22" i="11"/>
  <c r="AH21" i="11"/>
  <c r="AH20" i="11"/>
  <c r="AH19" i="11"/>
  <c r="AH18" i="11"/>
  <c r="AH17" i="11"/>
  <c r="AH16" i="11"/>
  <c r="AH15" i="11"/>
  <c r="AH14" i="11"/>
  <c r="AH13" i="11"/>
  <c r="AF3" i="11"/>
  <c r="AF12" i="11" s="1"/>
  <c r="AD3" i="11"/>
  <c r="AD12" i="11" s="1"/>
  <c r="AB3" i="11"/>
  <c r="AB12" i="11" s="1"/>
  <c r="Z3" i="11"/>
  <c r="Z12" i="11" s="1"/>
  <c r="X3" i="11"/>
  <c r="X12" i="11" s="1"/>
  <c r="V3" i="11"/>
  <c r="V12" i="11" s="1"/>
  <c r="T3" i="11"/>
  <c r="T12" i="11" s="1"/>
  <c r="R3" i="11"/>
  <c r="R12" i="11" s="1"/>
  <c r="P3" i="11"/>
  <c r="P12" i="11" s="1"/>
  <c r="N3" i="11"/>
  <c r="N12" i="11" s="1"/>
  <c r="L3" i="11"/>
  <c r="L12" i="11" s="1"/>
  <c r="J3" i="11"/>
  <c r="J12" i="11" s="1"/>
  <c r="AH2" i="11"/>
  <c r="B4" i="11"/>
  <c r="B5" i="11"/>
  <c r="C51" i="6" l="1"/>
  <c r="AJ17" i="11"/>
  <c r="AL17" i="11" s="1"/>
  <c r="AJ44" i="11"/>
  <c r="AL44" i="11" s="1"/>
  <c r="AJ43" i="11"/>
  <c r="AL43" i="11" s="1"/>
  <c r="AJ39" i="11"/>
  <c r="AL39" i="11" s="1"/>
  <c r="AJ35" i="11"/>
  <c r="AL35" i="11" s="1"/>
  <c r="AJ31" i="11"/>
  <c r="AJ27" i="11"/>
  <c r="AL27" i="11" s="1"/>
  <c r="AJ23" i="11"/>
  <c r="AL23" i="11" s="1"/>
  <c r="AJ19" i="11"/>
  <c r="AL19" i="11" s="1"/>
  <c r="AJ15" i="11"/>
  <c r="AL15" i="11" s="1"/>
  <c r="AJ40" i="11"/>
  <c r="AL40" i="11" s="1"/>
  <c r="AJ28" i="11"/>
  <c r="AJ13" i="11"/>
  <c r="AJ42" i="11"/>
  <c r="AL42" i="11" s="1"/>
  <c r="AJ38" i="11"/>
  <c r="AL38" i="11" s="1"/>
  <c r="AJ34" i="11"/>
  <c r="AL34" i="11" s="1"/>
  <c r="AJ30" i="11"/>
  <c r="AL30" i="11" s="1"/>
  <c r="AJ26" i="11"/>
  <c r="AL26" i="11" s="1"/>
  <c r="AJ22" i="11"/>
  <c r="AL22" i="11" s="1"/>
  <c r="AJ18" i="11"/>
  <c r="AK18" i="11" s="1"/>
  <c r="AL18" i="11" s="1"/>
  <c r="AJ14" i="11"/>
  <c r="AL14" i="11" s="1"/>
  <c r="C52" i="6"/>
  <c r="AJ36" i="11"/>
  <c r="AK36" i="11" s="1"/>
  <c r="AJ32" i="11"/>
  <c r="AL32" i="11" s="1"/>
  <c r="AJ24" i="11"/>
  <c r="AL24" i="11" s="1"/>
  <c r="AJ20" i="11"/>
  <c r="AL20" i="11" s="1"/>
  <c r="AJ16" i="11"/>
  <c r="AJ45" i="11"/>
  <c r="AL45" i="11" s="1"/>
  <c r="AJ41" i="11"/>
  <c r="AL41" i="11" s="1"/>
  <c r="AJ37" i="11"/>
  <c r="AL37" i="11" s="1"/>
  <c r="AJ33" i="11"/>
  <c r="AL33" i="11" s="1"/>
  <c r="AJ29" i="11"/>
  <c r="AL29" i="11" s="1"/>
  <c r="AJ25" i="11"/>
  <c r="AL25" i="11" s="1"/>
  <c r="AJ21" i="11"/>
  <c r="AL21" i="11" s="1"/>
  <c r="G32" i="6"/>
  <c r="AL31" i="11"/>
  <c r="AL46" i="11"/>
  <c r="AH47" i="11"/>
  <c r="E52" i="6" l="1"/>
  <c r="AL28" i="11"/>
  <c r="AL36" i="11"/>
  <c r="AK47" i="11"/>
  <c r="AJ47" i="11"/>
  <c r="AL13" i="11"/>
  <c r="AL16" i="11"/>
  <c r="C42" i="6" l="1"/>
  <c r="C54" i="6"/>
  <c r="E54" i="6" l="1"/>
  <c r="X48" i="7"/>
  <c r="X75" i="7"/>
  <c r="X74" i="7"/>
  <c r="X73" i="7"/>
  <c r="X71" i="7"/>
  <c r="X70" i="7"/>
  <c r="X69" i="7"/>
  <c r="X68" i="7"/>
  <c r="X67" i="7"/>
  <c r="X66" i="7"/>
  <c r="X57" i="7"/>
  <c r="X56" i="7"/>
  <c r="X55" i="7"/>
  <c r="X54" i="7"/>
  <c r="X53" i="7"/>
  <c r="X47" i="7"/>
  <c r="X45" i="7"/>
  <c r="X44" i="7"/>
  <c r="X43" i="7"/>
  <c r="X42" i="7"/>
  <c r="X41" i="7"/>
  <c r="X40" i="7"/>
  <c r="X38" i="7"/>
  <c r="X37" i="7"/>
  <c r="X36" i="7"/>
  <c r="X33" i="7"/>
  <c r="X32" i="7"/>
  <c r="X31" i="7"/>
  <c r="X30" i="7"/>
  <c r="X28" i="7"/>
  <c r="X26" i="7"/>
  <c r="W76" i="7"/>
  <c r="D18" i="7"/>
  <c r="D17" i="7"/>
  <c r="D16" i="7"/>
  <c r="D12" i="7"/>
  <c r="D10" i="7"/>
  <c r="E38" i="6"/>
  <c r="C76" i="6"/>
  <c r="B39" i="8"/>
  <c r="X51" i="7" l="1"/>
  <c r="X34" i="7"/>
  <c r="X35" i="7"/>
  <c r="B101" i="7"/>
  <c r="X27" i="7"/>
  <c r="B105" i="7"/>
  <c r="F38" i="6"/>
  <c r="G38" i="6"/>
  <c r="D64" i="6"/>
  <c r="D18" i="6"/>
  <c r="X39" i="7"/>
  <c r="E28" i="6"/>
  <c r="C77" i="6"/>
  <c r="C21" i="7"/>
  <c r="C18" i="6"/>
  <c r="C75" i="6"/>
  <c r="X72" i="7"/>
  <c r="C73" i="6"/>
  <c r="B37" i="8"/>
  <c r="E36" i="6"/>
  <c r="F36" i="6" s="1"/>
  <c r="E30" i="6"/>
  <c r="G30" i="6" s="1"/>
  <c r="C74" i="6"/>
  <c r="B38" i="8"/>
  <c r="E9" i="6"/>
  <c r="E27" i="6"/>
  <c r="E34" i="6"/>
  <c r="D11" i="7"/>
  <c r="D9" i="7"/>
  <c r="F28" i="6" l="1"/>
  <c r="G28" i="6"/>
  <c r="G9" i="6"/>
  <c r="F9" i="6"/>
  <c r="U36" i="18"/>
  <c r="I9" i="7"/>
  <c r="I10" i="7"/>
  <c r="B107" i="7"/>
  <c r="E42" i="6"/>
  <c r="G17" i="6"/>
  <c r="F30" i="6"/>
  <c r="F17" i="6"/>
  <c r="G27" i="6"/>
  <c r="E18" i="6"/>
  <c r="D20" i="6" s="1"/>
  <c r="C85" i="6"/>
  <c r="D83" i="6" s="1"/>
  <c r="F27" i="6"/>
  <c r="D21" i="7"/>
  <c r="H28" i="6"/>
  <c r="H36" i="6"/>
  <c r="E51" i="6"/>
  <c r="C64" i="6"/>
  <c r="H34" i="6"/>
  <c r="D39" i="8"/>
  <c r="E43" i="8"/>
  <c r="G34" i="6"/>
  <c r="F34" i="6"/>
  <c r="H30" i="6"/>
  <c r="C78" i="6"/>
  <c r="D73" i="6" s="1"/>
  <c r="G36" i="6"/>
  <c r="D41" i="8" l="1"/>
  <c r="G207" i="1" s="1"/>
  <c r="M36" i="18"/>
  <c r="AA36" i="18" s="1"/>
  <c r="C44" i="6"/>
  <c r="D44" i="6"/>
  <c r="AA13" i="18"/>
  <c r="F56" i="6"/>
  <c r="F60" i="6"/>
  <c r="F54" i="6"/>
  <c r="F52" i="6"/>
  <c r="F58" i="6"/>
  <c r="U38" i="18"/>
  <c r="M38" i="18"/>
  <c r="AI36" i="18"/>
  <c r="W36" i="18"/>
  <c r="M15" i="18"/>
  <c r="U15" i="18"/>
  <c r="AI13" i="18"/>
  <c r="W13" i="18"/>
  <c r="H20" i="15"/>
  <c r="H22" i="15" s="1"/>
  <c r="I11" i="7"/>
  <c r="C20" i="6"/>
  <c r="D75" i="6"/>
  <c r="D74" i="6"/>
  <c r="E74" i="6" s="1"/>
  <c r="D76" i="6"/>
  <c r="D77" i="6"/>
  <c r="D93" i="7"/>
  <c r="D94" i="7" s="1"/>
  <c r="E64" i="6"/>
  <c r="D65" i="6" s="1"/>
  <c r="D84" i="6"/>
  <c r="C65" i="6" l="1"/>
  <c r="O36" i="18"/>
  <c r="O15" i="25"/>
  <c r="P15" i="25" s="1"/>
  <c r="I15" i="25"/>
  <c r="J15" i="25" s="1"/>
  <c r="F15" i="25"/>
  <c r="G15" i="25" s="1"/>
  <c r="L15" i="25"/>
  <c r="M15" i="25" s="1"/>
  <c r="F11" i="25"/>
  <c r="I11" i="25"/>
  <c r="L11" i="25"/>
  <c r="O11" i="25"/>
  <c r="O13" i="18"/>
  <c r="AK13" i="18"/>
  <c r="AK25" i="18" s="1"/>
  <c r="AC36" i="18"/>
  <c r="AC42" i="18" s="1"/>
  <c r="U58" i="18"/>
  <c r="U44" i="18"/>
  <c r="U56" i="18"/>
  <c r="U54" i="18"/>
  <c r="U48" i="18"/>
  <c r="M48" i="18"/>
  <c r="M58" i="18"/>
  <c r="M54" i="18"/>
  <c r="M56" i="18"/>
  <c r="M44" i="18"/>
  <c r="O38" i="18"/>
  <c r="AA38" i="18"/>
  <c r="AE38" i="18" s="1"/>
  <c r="AE42" i="18" s="1"/>
  <c r="AI38" i="18"/>
  <c r="AM38" i="18" s="1"/>
  <c r="AM42" i="18" s="1"/>
  <c r="W38" i="18"/>
  <c r="W42" i="18" s="1"/>
  <c r="U52" i="18"/>
  <c r="M52" i="18"/>
  <c r="AI15" i="18"/>
  <c r="AM15" i="18" s="1"/>
  <c r="AM25" i="18" s="1"/>
  <c r="W15" i="18"/>
  <c r="W25" i="18" s="1"/>
  <c r="AK36" i="18"/>
  <c r="AK42" i="18" s="1"/>
  <c r="AC13" i="18"/>
  <c r="AC25" i="18" s="1"/>
  <c r="AA15" i="18"/>
  <c r="AE15" i="18" s="1"/>
  <c r="AE25" i="18" s="1"/>
  <c r="O15" i="18"/>
  <c r="U42" i="18"/>
  <c r="M42" i="18"/>
  <c r="J280" i="1" s="1"/>
  <c r="U25" i="18"/>
  <c r="M25" i="18"/>
  <c r="J279" i="1" s="1"/>
  <c r="E20" i="6"/>
  <c r="E44" i="6"/>
  <c r="D78" i="6"/>
  <c r="D85" i="6"/>
  <c r="O42" i="18" l="1"/>
  <c r="K280" i="1" s="1"/>
  <c r="R15" i="25"/>
  <c r="P11" i="25"/>
  <c r="P19" i="25" s="1"/>
  <c r="P20" i="25" s="1"/>
  <c r="O19" i="25"/>
  <c r="L19" i="25"/>
  <c r="M11" i="25"/>
  <c r="M19" i="25" s="1"/>
  <c r="J11" i="25"/>
  <c r="J19" i="25" s="1"/>
  <c r="I19" i="25"/>
  <c r="I23" i="25" s="1"/>
  <c r="I22" i="25" s="1"/>
  <c r="G11" i="25"/>
  <c r="G19" i="25" s="1"/>
  <c r="F19" i="25"/>
  <c r="F23" i="25" s="1"/>
  <c r="F22" i="25" s="1"/>
  <c r="O25" i="18"/>
  <c r="K279" i="1" s="1"/>
  <c r="AA25" i="18"/>
  <c r="J281" i="1"/>
  <c r="M60" i="18"/>
  <c r="AA44" i="18"/>
  <c r="AE44" i="18" s="1"/>
  <c r="O44" i="18"/>
  <c r="K281" i="1" s="1"/>
  <c r="O48" i="18"/>
  <c r="K282" i="1" s="1"/>
  <c r="J282" i="1"/>
  <c r="AA48" i="18"/>
  <c r="AE48" i="18" s="1"/>
  <c r="AI44" i="18"/>
  <c r="AM44" i="18" s="1"/>
  <c r="U60" i="18"/>
  <c r="J330" i="1" s="1"/>
  <c r="W44" i="18"/>
  <c r="O56" i="18"/>
  <c r="AA56" i="18"/>
  <c r="AC56" i="18" s="1"/>
  <c r="AE56" i="18" s="1"/>
  <c r="AI48" i="18"/>
  <c r="W48" i="18"/>
  <c r="W58" i="18"/>
  <c r="AI58" i="18"/>
  <c r="AI42" i="18"/>
  <c r="J283" i="1"/>
  <c r="AA52" i="18"/>
  <c r="O52" i="18"/>
  <c r="K283" i="1" s="1"/>
  <c r="O54" i="18"/>
  <c r="AA54" i="18"/>
  <c r="J284" i="1"/>
  <c r="W54" i="18"/>
  <c r="AI54" i="18"/>
  <c r="AA42" i="18"/>
  <c r="AI25" i="18"/>
  <c r="W52" i="18"/>
  <c r="AI52" i="18"/>
  <c r="O58" i="18"/>
  <c r="AA58" i="18"/>
  <c r="W56" i="18"/>
  <c r="AI56" i="18"/>
  <c r="E65" i="6"/>
  <c r="F20" i="25" l="1"/>
  <c r="L20" i="25"/>
  <c r="L23" i="25"/>
  <c r="K284" i="1"/>
  <c r="AE52" i="18"/>
  <c r="AC52" i="18"/>
  <c r="AM52" i="18"/>
  <c r="AK52" i="18"/>
  <c r="E8" i="15"/>
  <c r="N330" i="1"/>
  <c r="O20" i="25"/>
  <c r="AK58" i="18"/>
  <c r="AM58" i="18"/>
  <c r="R11" i="25"/>
  <c r="I20" i="25"/>
  <c r="AK56" i="18"/>
  <c r="AM56" i="18"/>
  <c r="AK54" i="18"/>
  <c r="AM54" i="18"/>
  <c r="AK48" i="18"/>
  <c r="AM48" i="18"/>
  <c r="AC54" i="18"/>
  <c r="AC48" i="18"/>
  <c r="AC44" i="18"/>
  <c r="W60" i="18"/>
  <c r="AC58" i="18"/>
  <c r="AE58" i="18" s="1"/>
  <c r="AI60" i="18"/>
  <c r="AK44" i="18"/>
  <c r="O60" i="18"/>
  <c r="AA60" i="18"/>
  <c r="E11" i="5"/>
  <c r="E12" i="5"/>
  <c r="E13" i="5"/>
  <c r="E14" i="5"/>
  <c r="E15" i="5"/>
  <c r="E16" i="5"/>
  <c r="D17" i="5"/>
  <c r="E17" i="5" s="1"/>
  <c r="E18" i="5"/>
  <c r="E19" i="5"/>
  <c r="E20" i="5"/>
  <c r="E21" i="5"/>
  <c r="E22" i="5"/>
  <c r="E23" i="5"/>
  <c r="E24" i="5"/>
  <c r="D25" i="5"/>
  <c r="E25" i="5" s="1"/>
  <c r="D26" i="5"/>
  <c r="E26" i="5" s="1"/>
  <c r="D27" i="5"/>
  <c r="E27" i="5" s="1"/>
  <c r="E28" i="5"/>
  <c r="F29" i="5"/>
  <c r="E30" i="5"/>
  <c r="E31" i="5"/>
  <c r="E32" i="5"/>
  <c r="E33" i="5"/>
  <c r="E34" i="5"/>
  <c r="D35" i="5"/>
  <c r="E35" i="5" s="1"/>
  <c r="D36" i="5"/>
  <c r="E36" i="5" s="1"/>
  <c r="D37" i="5"/>
  <c r="E37" i="5" s="1"/>
  <c r="D38" i="5"/>
  <c r="E38" i="5" s="1"/>
  <c r="D39" i="5"/>
  <c r="E39" i="5" s="1"/>
  <c r="E40" i="5"/>
  <c r="D41" i="5"/>
  <c r="E41" i="5" s="1"/>
  <c r="E42" i="5"/>
  <c r="E43" i="5"/>
  <c r="D44" i="5"/>
  <c r="E44" i="5" s="1"/>
  <c r="E45" i="5"/>
  <c r="E46" i="5"/>
  <c r="E47" i="5"/>
  <c r="E48" i="5"/>
  <c r="E49" i="5"/>
  <c r="E50" i="5"/>
  <c r="D51" i="5"/>
  <c r="E51" i="5" s="1"/>
  <c r="E52" i="5"/>
  <c r="D53" i="5"/>
  <c r="E53" i="5" s="1"/>
  <c r="E54" i="5"/>
  <c r="D55" i="5"/>
  <c r="E55" i="5" s="1"/>
  <c r="E56" i="5"/>
  <c r="E57" i="5"/>
  <c r="E58" i="5"/>
  <c r="E59" i="5"/>
  <c r="E60" i="5"/>
  <c r="E61" i="5"/>
  <c r="E62" i="5"/>
  <c r="E63" i="5"/>
  <c r="E64" i="5"/>
  <c r="E65" i="5"/>
  <c r="E66" i="5"/>
  <c r="D67" i="5"/>
  <c r="E67" i="5" s="1"/>
  <c r="E68" i="5"/>
  <c r="E69" i="5"/>
  <c r="D70" i="5"/>
  <c r="E70" i="5" s="1"/>
  <c r="E71" i="5"/>
  <c r="E72" i="5"/>
  <c r="E73" i="5"/>
  <c r="D74" i="5"/>
  <c r="E74" i="5" s="1"/>
  <c r="E75" i="5"/>
  <c r="E76" i="5"/>
  <c r="E77" i="5"/>
  <c r="E78" i="5"/>
  <c r="D79" i="5"/>
  <c r="E79" i="5" s="1"/>
  <c r="E80" i="5"/>
  <c r="E81" i="5"/>
  <c r="D82" i="5"/>
  <c r="E82" i="5" s="1"/>
  <c r="D83" i="5"/>
  <c r="E83" i="5" s="1"/>
  <c r="D84" i="5"/>
  <c r="E84" i="5" s="1"/>
  <c r="C85" i="5"/>
  <c r="C88" i="5" s="1"/>
  <c r="E87" i="5"/>
  <c r="L22" i="25" l="1"/>
  <c r="D29" i="5"/>
  <c r="E29" i="5" s="1"/>
  <c r="E85" i="5" s="1"/>
  <c r="E88" i="5" s="1"/>
  <c r="B62" i="7" s="1"/>
  <c r="AE54" i="18"/>
  <c r="AM60" i="18"/>
  <c r="AK60" i="18"/>
  <c r="AC60" i="18"/>
  <c r="AE60" i="18" l="1"/>
  <c r="G139" i="1"/>
  <c r="D139" i="1"/>
  <c r="N152" i="1"/>
  <c r="N153" i="1"/>
  <c r="N154" i="1"/>
  <c r="N151" i="1"/>
  <c r="G155" i="1"/>
  <c r="D155" i="1"/>
  <c r="G226" i="1"/>
  <c r="D226" i="1"/>
  <c r="D89" i="1"/>
  <c r="D90" i="1" s="1"/>
  <c r="G237" i="1"/>
  <c r="D237" i="1"/>
  <c r="N155" i="1" l="1"/>
  <c r="L148" i="1"/>
  <c r="C321" i="1"/>
  <c r="C285" i="1"/>
  <c r="C284" i="1"/>
  <c r="C91" i="7" s="1"/>
  <c r="E91" i="7" s="1"/>
  <c r="R65" i="7" s="1"/>
  <c r="C281" i="1"/>
  <c r="C88" i="7" s="1"/>
  <c r="E88" i="7" s="1"/>
  <c r="R62" i="7" s="1"/>
  <c r="C207" i="1"/>
  <c r="C283" i="1"/>
  <c r="C90" i="7" s="1"/>
  <c r="E90" i="7" s="1"/>
  <c r="R64" i="7" s="1"/>
  <c r="C282" i="1"/>
  <c r="C89" i="7" s="1"/>
  <c r="E89" i="7" s="1"/>
  <c r="R63" i="7" s="1"/>
  <c r="C280" i="1"/>
  <c r="C87" i="7" s="1"/>
  <c r="E87" i="7" s="1"/>
  <c r="R61" i="7" s="1"/>
  <c r="C279" i="1"/>
  <c r="C86" i="7" s="1"/>
  <c r="C210" i="1"/>
  <c r="C209" i="1"/>
  <c r="C251" i="1"/>
  <c r="B109" i="7" s="1"/>
  <c r="B111" i="7" s="1"/>
  <c r="S58" i="7" s="1"/>
  <c r="C208" i="1"/>
  <c r="C206" i="1"/>
  <c r="C304" i="1"/>
  <c r="C275" i="1"/>
  <c r="C205" i="1"/>
  <c r="C214" i="1"/>
  <c r="C274" i="1"/>
  <c r="C163" i="1"/>
  <c r="C273" i="1"/>
  <c r="C204" i="1"/>
  <c r="C272" i="1"/>
  <c r="D272" i="1" s="1"/>
  <c r="C271" i="1"/>
  <c r="C270" i="1"/>
  <c r="C203" i="1"/>
  <c r="C269" i="1"/>
  <c r="C268" i="1"/>
  <c r="C267" i="1"/>
  <c r="C266" i="1"/>
  <c r="C265" i="1"/>
  <c r="C202" i="1"/>
  <c r="D202" i="1" s="1"/>
  <c r="T52" i="7" s="1"/>
  <c r="X52" i="7" s="1"/>
  <c r="C201" i="1"/>
  <c r="C264" i="1"/>
  <c r="C200" i="1"/>
  <c r="H200" i="1" s="1"/>
  <c r="C263" i="1"/>
  <c r="C225" i="1"/>
  <c r="C262" i="1"/>
  <c r="C261" i="1"/>
  <c r="C247" i="1"/>
  <c r="C260" i="1"/>
  <c r="D260" i="1" s="1"/>
  <c r="C259" i="1"/>
  <c r="D259" i="1" s="1"/>
  <c r="C258" i="1"/>
  <c r="C257" i="1"/>
  <c r="C256" i="1"/>
  <c r="C187" i="1"/>
  <c r="C186" i="1"/>
  <c r="C236" i="1"/>
  <c r="C313" i="1"/>
  <c r="C185" i="1"/>
  <c r="C184" i="1"/>
  <c r="C183" i="1"/>
  <c r="C138" i="1"/>
  <c r="E138" i="1" s="1"/>
  <c r="C162" i="1"/>
  <c r="C137" i="1"/>
  <c r="C246" i="1"/>
  <c r="C154" i="1"/>
  <c r="C153" i="1"/>
  <c r="E153" i="1" s="1"/>
  <c r="C235" i="1"/>
  <c r="H235" i="1" s="1"/>
  <c r="K235" i="1" s="1"/>
  <c r="C312" i="1"/>
  <c r="C152" i="1"/>
  <c r="C175" i="1"/>
  <c r="C65" i="1"/>
  <c r="C174" i="1"/>
  <c r="D174" i="1" s="1"/>
  <c r="T49" i="7" s="1"/>
  <c r="C173" i="1"/>
  <c r="C169" i="1"/>
  <c r="C168" i="1"/>
  <c r="C167" i="1"/>
  <c r="C176" i="1"/>
  <c r="C300" i="1"/>
  <c r="C199" i="1"/>
  <c r="C198" i="1"/>
  <c r="C136" i="1"/>
  <c r="C135" i="1"/>
  <c r="C291" i="1"/>
  <c r="C134" i="1"/>
  <c r="C79" i="1"/>
  <c r="C133" i="1"/>
  <c r="C317" i="1"/>
  <c r="C132" i="1"/>
  <c r="C220" i="1"/>
  <c r="C29" i="1"/>
  <c r="C28" i="1"/>
  <c r="C197" i="1"/>
  <c r="H197" i="1" s="1"/>
  <c r="C255" i="1"/>
  <c r="C224" i="1"/>
  <c r="C131" i="1"/>
  <c r="C245" i="1"/>
  <c r="C130" i="1"/>
  <c r="C129" i="1"/>
  <c r="C89" i="1"/>
  <c r="H89" i="1" s="1"/>
  <c r="C88" i="1"/>
  <c r="C234" i="1"/>
  <c r="C311" i="1"/>
  <c r="C87" i="1"/>
  <c r="C86" i="1"/>
  <c r="C85" i="1"/>
  <c r="C83" i="1"/>
  <c r="C219" i="1"/>
  <c r="H219" i="1" s="1"/>
  <c r="C117" i="1"/>
  <c r="C78" i="1"/>
  <c r="C57" i="1"/>
  <c r="C56" i="1"/>
  <c r="C244" i="1"/>
  <c r="C128" i="1"/>
  <c r="C49" i="1"/>
  <c r="C48" i="1"/>
  <c r="C233" i="1"/>
  <c r="C310" i="1"/>
  <c r="C47" i="1"/>
  <c r="C46" i="1"/>
  <c r="C45" i="1"/>
  <c r="C77" i="1"/>
  <c r="C196" i="1"/>
  <c r="C76" i="1"/>
  <c r="C195" i="1"/>
  <c r="C75" i="1"/>
  <c r="C74" i="1"/>
  <c r="C218" i="1"/>
  <c r="C61" i="1"/>
  <c r="C116" i="1"/>
  <c r="C115" i="1"/>
  <c r="C114" i="1"/>
  <c r="C113" i="1"/>
  <c r="B21" i="30" s="1"/>
  <c r="B22" i="30" s="1"/>
  <c r="C69" i="1"/>
  <c r="C55" i="1"/>
  <c r="C54" i="1"/>
  <c r="C53" i="1"/>
  <c r="C243" i="1"/>
  <c r="E243" i="1" s="1"/>
  <c r="C231" i="1"/>
  <c r="C242" i="1"/>
  <c r="C73" i="1"/>
  <c r="C127" i="1"/>
  <c r="C40" i="1"/>
  <c r="C39" i="1"/>
  <c r="C232" i="1"/>
  <c r="C309" i="1"/>
  <c r="C38" i="1"/>
  <c r="C37" i="1"/>
  <c r="C36" i="1"/>
  <c r="C35" i="1"/>
  <c r="H35" i="1" s="1"/>
  <c r="C241" i="1"/>
  <c r="E241" i="1" s="1"/>
  <c r="C229" i="1"/>
  <c r="H229" i="1" s="1"/>
  <c r="K229" i="1" s="1"/>
  <c r="C240" i="1"/>
  <c r="C126" i="1"/>
  <c r="C125" i="1"/>
  <c r="C124" i="1"/>
  <c r="C98" i="1"/>
  <c r="C97" i="1"/>
  <c r="C230" i="1"/>
  <c r="C308" i="1"/>
  <c r="C109" i="1"/>
  <c r="C110" i="1" s="1"/>
  <c r="C96" i="1"/>
  <c r="C95" i="1"/>
  <c r="C94" i="1"/>
  <c r="C93" i="1"/>
  <c r="C123" i="1"/>
  <c r="E123" i="1" s="1"/>
  <c r="C158" i="1"/>
  <c r="B80" i="7" s="1"/>
  <c r="C295" i="1"/>
  <c r="C290" i="1"/>
  <c r="C145" i="1"/>
  <c r="C144" i="1"/>
  <c r="C143" i="1"/>
  <c r="I11" i="22" s="1"/>
  <c r="E10" i="7"/>
  <c r="F10" i="7" s="1"/>
  <c r="D11" i="1" s="1"/>
  <c r="E144" i="1" l="1"/>
  <c r="I10" i="22"/>
  <c r="K219" i="1"/>
  <c r="J219" i="1"/>
  <c r="J200" i="1"/>
  <c r="K200" i="1"/>
  <c r="D203" i="1"/>
  <c r="H203" i="1" s="1"/>
  <c r="K203" i="1" s="1"/>
  <c r="X49" i="7"/>
  <c r="C80" i="1"/>
  <c r="U76" i="7"/>
  <c r="D251" i="1"/>
  <c r="C106" i="1"/>
  <c r="AJ49" i="11"/>
  <c r="AL49" i="11" s="1"/>
  <c r="AL50" i="11" s="1"/>
  <c r="B70" i="7"/>
  <c r="H143" i="1"/>
  <c r="E18" i="7"/>
  <c r="F18" i="7" s="1"/>
  <c r="N16" i="7" s="1"/>
  <c r="X16" i="7" s="1"/>
  <c r="E12" i="7"/>
  <c r="F12" i="7" s="1"/>
  <c r="D13" i="1" s="1"/>
  <c r="E9" i="7"/>
  <c r="F9" i="7" s="1"/>
  <c r="D10" i="1" s="1"/>
  <c r="C226" i="1"/>
  <c r="H243" i="1"/>
  <c r="E197" i="1"/>
  <c r="H138" i="1"/>
  <c r="J138" i="1" s="1"/>
  <c r="E11" i="7"/>
  <c r="F11" i="7" s="1"/>
  <c r="D12" i="1" s="1"/>
  <c r="E200" i="1"/>
  <c r="E235" i="1"/>
  <c r="C286" i="1"/>
  <c r="E17" i="7"/>
  <c r="F17" i="7" s="1"/>
  <c r="N15" i="7" s="1"/>
  <c r="X15" i="7" s="1"/>
  <c r="C20" i="1"/>
  <c r="E19" i="7" s="1"/>
  <c r="F19" i="7" s="1"/>
  <c r="C122" i="1"/>
  <c r="C191" i="1"/>
  <c r="B65" i="7" s="1"/>
  <c r="E15" i="7"/>
  <c r="F15" i="7" s="1"/>
  <c r="N17" i="7" s="1"/>
  <c r="X17" i="7" s="1"/>
  <c r="C299" i="1"/>
  <c r="H114" i="1"/>
  <c r="K114" i="1" s="1"/>
  <c r="E114" i="1"/>
  <c r="H128" i="1"/>
  <c r="E128" i="1"/>
  <c r="H85" i="1"/>
  <c r="K85" i="1" s="1"/>
  <c r="E85" i="1"/>
  <c r="H224" i="1"/>
  <c r="E224" i="1"/>
  <c r="E152" i="1"/>
  <c r="H152" i="1"/>
  <c r="E154" i="1"/>
  <c r="H154" i="1"/>
  <c r="E137" i="1"/>
  <c r="H137" i="1"/>
  <c r="K137" i="1" s="1"/>
  <c r="E210" i="1"/>
  <c r="H210" i="1"/>
  <c r="C33" i="1"/>
  <c r="C41" i="1" s="1"/>
  <c r="E231" i="1"/>
  <c r="H231" i="1"/>
  <c r="H117" i="1"/>
  <c r="J117" i="1" s="1"/>
  <c r="K117" i="1" s="1"/>
  <c r="E117" i="1"/>
  <c r="E86" i="1"/>
  <c r="H86" i="1"/>
  <c r="K86" i="1" s="1"/>
  <c r="H136" i="1"/>
  <c r="E136" i="1"/>
  <c r="H312" i="1"/>
  <c r="K312" i="1" s="1"/>
  <c r="E246" i="1"/>
  <c r="H246" i="1"/>
  <c r="K246" i="1" s="1"/>
  <c r="E202" i="1"/>
  <c r="H202" i="1"/>
  <c r="C44" i="1"/>
  <c r="C121" i="1"/>
  <c r="C180" i="1"/>
  <c r="E16" i="7"/>
  <c r="F16" i="7" s="1"/>
  <c r="C151" i="1"/>
  <c r="H241" i="1"/>
  <c r="E89" i="1"/>
  <c r="J229" i="1"/>
  <c r="E229" i="1"/>
  <c r="C19" i="1"/>
  <c r="C142" i="1"/>
  <c r="I12" i="22" s="1"/>
  <c r="H123" i="1"/>
  <c r="K123" i="1" s="1"/>
  <c r="E219" i="1"/>
  <c r="H153" i="1"/>
  <c r="K89" i="1"/>
  <c r="J89" i="1"/>
  <c r="J197" i="1"/>
  <c r="K197" i="1"/>
  <c r="N10" i="7"/>
  <c r="X10" i="7" s="1"/>
  <c r="E23" i="7"/>
  <c r="F23" i="7" s="1"/>
  <c r="N20" i="7" s="1"/>
  <c r="X20" i="7" s="1"/>
  <c r="D21" i="1"/>
  <c r="X61" i="7"/>
  <c r="D280" i="1"/>
  <c r="X65" i="7"/>
  <c r="D284" i="1"/>
  <c r="X62" i="7"/>
  <c r="D281" i="1"/>
  <c r="X63" i="7"/>
  <c r="D282" i="1"/>
  <c r="C93" i="7"/>
  <c r="E93" i="7" s="1"/>
  <c r="E86" i="7"/>
  <c r="R60" i="7" s="1"/>
  <c r="R76" i="7" s="1"/>
  <c r="X64" i="7"/>
  <c r="D283" i="1"/>
  <c r="C90" i="1"/>
  <c r="C237" i="1"/>
  <c r="N122" i="1"/>
  <c r="N123" i="1"/>
  <c r="E143" i="1"/>
  <c r="H144" i="1"/>
  <c r="I13" i="22" l="1"/>
  <c r="T59" i="7"/>
  <c r="T76" i="7" s="1"/>
  <c r="E203" i="1"/>
  <c r="K210" i="1"/>
  <c r="J210" i="1"/>
  <c r="K128" i="1"/>
  <c r="J128" i="1"/>
  <c r="D20" i="1"/>
  <c r="N19" i="7"/>
  <c r="X58" i="7"/>
  <c r="K241" i="1"/>
  <c r="J241" i="1"/>
  <c r="J243" i="1"/>
  <c r="K243" i="1" s="1"/>
  <c r="J202" i="1"/>
  <c r="N202" i="1" s="1"/>
  <c r="K202" i="1"/>
  <c r="J231" i="1"/>
  <c r="K231" i="1" s="1"/>
  <c r="K143" i="1"/>
  <c r="M143" i="1" s="1"/>
  <c r="K144" i="1"/>
  <c r="M144" i="1" s="1"/>
  <c r="K138" i="1"/>
  <c r="N11" i="7"/>
  <c r="X11" i="7" s="1"/>
  <c r="N12" i="7"/>
  <c r="X12" i="7" s="1"/>
  <c r="D18" i="1"/>
  <c r="H18" i="1" s="1"/>
  <c r="M18" i="1" s="1"/>
  <c r="J85" i="1"/>
  <c r="J137" i="1"/>
  <c r="C148" i="1"/>
  <c r="I5" i="22" s="1"/>
  <c r="I14" i="22" s="1"/>
  <c r="J86" i="1"/>
  <c r="J203" i="1"/>
  <c r="M203" i="1" s="1"/>
  <c r="C139" i="1"/>
  <c r="E21" i="7"/>
  <c r="M229" i="1"/>
  <c r="N229" i="1"/>
  <c r="K224" i="1"/>
  <c r="J224" i="1"/>
  <c r="N224" i="1" s="1"/>
  <c r="E122" i="1"/>
  <c r="H122" i="1"/>
  <c r="K122" i="1" s="1"/>
  <c r="K153" i="1"/>
  <c r="AJ50" i="11"/>
  <c r="N13" i="7"/>
  <c r="X13" i="7" s="1"/>
  <c r="D14" i="1"/>
  <c r="H14" i="1" s="1"/>
  <c r="K154" i="1"/>
  <c r="K152" i="1"/>
  <c r="E151" i="1"/>
  <c r="E155" i="1" s="1"/>
  <c r="H151" i="1"/>
  <c r="C155" i="1"/>
  <c r="K136" i="1"/>
  <c r="J136" i="1"/>
  <c r="D17" i="1"/>
  <c r="D16" i="1"/>
  <c r="N9" i="7"/>
  <c r="F21" i="7"/>
  <c r="F24" i="7" s="1"/>
  <c r="N29" i="7" s="1"/>
  <c r="X29" i="7" s="1"/>
  <c r="D279" i="1"/>
  <c r="H279" i="1" s="1"/>
  <c r="M279" i="1" s="1"/>
  <c r="M200" i="1"/>
  <c r="N210" i="1"/>
  <c r="N200" i="1"/>
  <c r="M197" i="1"/>
  <c r="N197" i="1"/>
  <c r="M219" i="1"/>
  <c r="N219" i="1"/>
  <c r="M123" i="1"/>
  <c r="K330" i="1"/>
  <c r="J322" i="1"/>
  <c r="G322" i="1"/>
  <c r="D322" i="1"/>
  <c r="N321" i="1"/>
  <c r="N322" i="1" s="1"/>
  <c r="C322" i="1"/>
  <c r="G318" i="1"/>
  <c r="D318" i="1"/>
  <c r="H317" i="1"/>
  <c r="H310" i="1"/>
  <c r="G305" i="1"/>
  <c r="D305" i="1"/>
  <c r="G301" i="1"/>
  <c r="D301" i="1"/>
  <c r="H299" i="1"/>
  <c r="C301" i="1"/>
  <c r="G296" i="1"/>
  <c r="D296" i="1"/>
  <c r="E295" i="1"/>
  <c r="E296" i="1" s="1"/>
  <c r="H295" i="1"/>
  <c r="G292" i="1"/>
  <c r="D292" i="1"/>
  <c r="E291" i="1"/>
  <c r="H291" i="1"/>
  <c r="N290" i="1"/>
  <c r="E290" i="1"/>
  <c r="H290" i="1"/>
  <c r="K290" i="1" s="1"/>
  <c r="G287" i="1"/>
  <c r="H286" i="1"/>
  <c r="E286" i="1"/>
  <c r="N285" i="1"/>
  <c r="E285" i="1"/>
  <c r="N284" i="1"/>
  <c r="H284" i="1"/>
  <c r="N283" i="1"/>
  <c r="N282" i="1"/>
  <c r="E282" i="1"/>
  <c r="N281" i="1"/>
  <c r="E281" i="1"/>
  <c r="N280" i="1"/>
  <c r="E280" i="1"/>
  <c r="N279" i="1"/>
  <c r="G276" i="1"/>
  <c r="E275" i="1"/>
  <c r="H274" i="1"/>
  <c r="E274" i="1"/>
  <c r="H273" i="1"/>
  <c r="E273" i="1"/>
  <c r="H272" i="1"/>
  <c r="H271" i="1"/>
  <c r="E271" i="1"/>
  <c r="E270" i="1"/>
  <c r="E268" i="1"/>
  <c r="E267" i="1"/>
  <c r="H266" i="1"/>
  <c r="E266" i="1"/>
  <c r="H265" i="1"/>
  <c r="E264" i="1"/>
  <c r="E263" i="1"/>
  <c r="H262" i="1"/>
  <c r="E262" i="1"/>
  <c r="N260" i="1"/>
  <c r="H260" i="1"/>
  <c r="M260" i="1" s="1"/>
  <c r="N259" i="1"/>
  <c r="E258" i="1"/>
  <c r="H255" i="1"/>
  <c r="E255" i="1"/>
  <c r="G252" i="1"/>
  <c r="D252" i="1"/>
  <c r="G248" i="1"/>
  <c r="F248" i="1"/>
  <c r="D248" i="1"/>
  <c r="H247" i="1"/>
  <c r="E247" i="1"/>
  <c r="H245" i="1"/>
  <c r="E245" i="1"/>
  <c r="E244" i="1"/>
  <c r="H244" i="1"/>
  <c r="E242" i="1"/>
  <c r="C248" i="1"/>
  <c r="H240" i="1"/>
  <c r="E240" i="1"/>
  <c r="H236" i="1"/>
  <c r="H234" i="1"/>
  <c r="E234" i="1"/>
  <c r="E233" i="1"/>
  <c r="H232" i="1"/>
  <c r="E225" i="1"/>
  <c r="E226" i="1" s="1"/>
  <c r="H225" i="1"/>
  <c r="G221" i="1"/>
  <c r="D221" i="1"/>
  <c r="H220" i="1"/>
  <c r="E220" i="1"/>
  <c r="E218" i="1"/>
  <c r="G215" i="1"/>
  <c r="D215" i="1"/>
  <c r="H214" i="1"/>
  <c r="D211" i="1"/>
  <c r="H209" i="1"/>
  <c r="G211" i="1"/>
  <c r="E206" i="1"/>
  <c r="H205" i="1"/>
  <c r="E205" i="1"/>
  <c r="H204" i="1"/>
  <c r="E201" i="1"/>
  <c r="H199" i="1"/>
  <c r="E199" i="1"/>
  <c r="E196" i="1"/>
  <c r="H195" i="1"/>
  <c r="E195" i="1"/>
  <c r="C211" i="1"/>
  <c r="C192" i="1"/>
  <c r="H187" i="1"/>
  <c r="E187" i="1"/>
  <c r="H186" i="1"/>
  <c r="E186" i="1"/>
  <c r="H184" i="1"/>
  <c r="E184" i="1"/>
  <c r="E183" i="1"/>
  <c r="H183" i="1"/>
  <c r="E180" i="1"/>
  <c r="G177" i="1"/>
  <c r="H176" i="1"/>
  <c r="E176" i="1"/>
  <c r="H175" i="1"/>
  <c r="E175" i="1"/>
  <c r="D177" i="1"/>
  <c r="C177" i="1"/>
  <c r="H173" i="1"/>
  <c r="E173" i="1"/>
  <c r="G170" i="1"/>
  <c r="D170" i="1"/>
  <c r="E169" i="1"/>
  <c r="H168" i="1"/>
  <c r="E168" i="1"/>
  <c r="H167" i="1"/>
  <c r="E167" i="1"/>
  <c r="C170" i="1"/>
  <c r="G164" i="1"/>
  <c r="D164" i="1"/>
  <c r="H163" i="1"/>
  <c r="E163" i="1"/>
  <c r="E162" i="1"/>
  <c r="C164" i="1"/>
  <c r="K159" i="1"/>
  <c r="G159" i="1"/>
  <c r="C159" i="1"/>
  <c r="H135" i="1"/>
  <c r="E135" i="1"/>
  <c r="H134" i="1"/>
  <c r="E134" i="1"/>
  <c r="E133" i="1"/>
  <c r="H133" i="1"/>
  <c r="E131" i="1"/>
  <c r="H131" i="1"/>
  <c r="H130" i="1"/>
  <c r="E130" i="1"/>
  <c r="E129" i="1"/>
  <c r="E127" i="1"/>
  <c r="E126" i="1"/>
  <c r="H126" i="1"/>
  <c r="E125" i="1"/>
  <c r="E124" i="1"/>
  <c r="H121" i="1"/>
  <c r="K121" i="1" s="1"/>
  <c r="E121" i="1"/>
  <c r="D118" i="1"/>
  <c r="E116" i="1"/>
  <c r="E115" i="1"/>
  <c r="G118" i="1"/>
  <c r="E113" i="1"/>
  <c r="G110" i="1"/>
  <c r="D110" i="1"/>
  <c r="H98" i="1"/>
  <c r="K98" i="1" s="1"/>
  <c r="H97" i="1"/>
  <c r="K97" i="1" s="1"/>
  <c r="H96" i="1"/>
  <c r="K96" i="1" s="1"/>
  <c r="E96" i="1"/>
  <c r="H95" i="1"/>
  <c r="K95" i="1" s="1"/>
  <c r="E95" i="1"/>
  <c r="H94" i="1"/>
  <c r="K94" i="1" s="1"/>
  <c r="G93" i="1"/>
  <c r="H88" i="1"/>
  <c r="E88" i="1"/>
  <c r="H87" i="1"/>
  <c r="G90" i="1"/>
  <c r="G80" i="1"/>
  <c r="D80" i="1"/>
  <c r="H79" i="1"/>
  <c r="H78" i="1"/>
  <c r="H77" i="1"/>
  <c r="E77" i="1"/>
  <c r="H76" i="1"/>
  <c r="E76" i="1"/>
  <c r="H75" i="1"/>
  <c r="E75" i="1"/>
  <c r="H74" i="1"/>
  <c r="H73" i="1"/>
  <c r="E73" i="1"/>
  <c r="G70" i="1"/>
  <c r="D70" i="1"/>
  <c r="C70" i="1"/>
  <c r="H69" i="1"/>
  <c r="E69" i="1"/>
  <c r="E70" i="1" s="1"/>
  <c r="G66" i="1"/>
  <c r="D66" i="1"/>
  <c r="H65" i="1"/>
  <c r="E65" i="1"/>
  <c r="G62" i="1"/>
  <c r="D62" i="1"/>
  <c r="H61" i="1"/>
  <c r="G58" i="1"/>
  <c r="H57" i="1"/>
  <c r="J57" i="1" s="1"/>
  <c r="K57" i="1" s="1"/>
  <c r="H56" i="1"/>
  <c r="J56" i="1" s="1"/>
  <c r="K56" i="1" s="1"/>
  <c r="H55" i="1"/>
  <c r="E55" i="1"/>
  <c r="H54" i="1"/>
  <c r="E54" i="1"/>
  <c r="G50" i="1"/>
  <c r="H48" i="1"/>
  <c r="H47" i="1"/>
  <c r="E47" i="1"/>
  <c r="H46" i="1"/>
  <c r="E46" i="1"/>
  <c r="E45" i="1"/>
  <c r="E40" i="1"/>
  <c r="H39" i="1"/>
  <c r="H38" i="1"/>
  <c r="H37" i="1"/>
  <c r="E37" i="1"/>
  <c r="E36" i="1"/>
  <c r="G41" i="1"/>
  <c r="D30" i="1"/>
  <c r="G30" i="1"/>
  <c r="H28" i="1"/>
  <c r="E28" i="1"/>
  <c r="G22" i="1"/>
  <c r="N21" i="1"/>
  <c r="D53" i="1"/>
  <c r="D58" i="1" s="1"/>
  <c r="N20" i="1"/>
  <c r="H20" i="1"/>
  <c r="D19" i="1"/>
  <c r="E19" i="1" s="1"/>
  <c r="N18" i="1"/>
  <c r="N17" i="1"/>
  <c r="N14" i="1"/>
  <c r="E13" i="1"/>
  <c r="N12" i="1"/>
  <c r="E12" i="1"/>
  <c r="N11" i="1"/>
  <c r="E11" i="1"/>
  <c r="N10" i="1"/>
  <c r="E10" i="1"/>
  <c r="N21" i="7" l="1"/>
  <c r="K317" i="1"/>
  <c r="K318" i="1" s="1"/>
  <c r="J317" i="1"/>
  <c r="J69" i="1"/>
  <c r="K69" i="1" s="1"/>
  <c r="K204" i="1"/>
  <c r="J204" i="1"/>
  <c r="N204" i="1" s="1"/>
  <c r="J209" i="1"/>
  <c r="N209" i="1" s="1"/>
  <c r="K209" i="1"/>
  <c r="J225" i="1"/>
  <c r="J226" i="1" s="1"/>
  <c r="K225" i="1"/>
  <c r="K226" i="1" s="1"/>
  <c r="K234" i="1"/>
  <c r="J234" i="1"/>
  <c r="K245" i="1"/>
  <c r="J245" i="1"/>
  <c r="K310" i="1"/>
  <c r="J310" i="1"/>
  <c r="K54" i="1"/>
  <c r="J54" i="1"/>
  <c r="N54" i="1" s="1"/>
  <c r="K55" i="1"/>
  <c r="J55" i="1"/>
  <c r="N55" i="1" s="1"/>
  <c r="N76" i="7"/>
  <c r="X19" i="7"/>
  <c r="M202" i="1"/>
  <c r="J184" i="1"/>
  <c r="N184" i="1" s="1"/>
  <c r="K184" i="1"/>
  <c r="J187" i="1"/>
  <c r="K187" i="1"/>
  <c r="J183" i="1"/>
  <c r="K183" i="1"/>
  <c r="J186" i="1"/>
  <c r="N186" i="1" s="1"/>
  <c r="K186" i="1"/>
  <c r="J232" i="1"/>
  <c r="K232" i="1" s="1"/>
  <c r="K236" i="1"/>
  <c r="J236" i="1"/>
  <c r="N236" i="1" s="1"/>
  <c r="J240" i="1"/>
  <c r="K240" i="1"/>
  <c r="J247" i="1"/>
  <c r="N247" i="1" s="1"/>
  <c r="K247" i="1"/>
  <c r="K244" i="1"/>
  <c r="J244" i="1"/>
  <c r="J39" i="1"/>
  <c r="K39" i="1" s="1"/>
  <c r="J46" i="1"/>
  <c r="K46" i="1" s="1"/>
  <c r="J38" i="1"/>
  <c r="K38" i="1" s="1"/>
  <c r="J48" i="1"/>
  <c r="K48" i="1" s="1"/>
  <c r="J37" i="1"/>
  <c r="K37" i="1" s="1"/>
  <c r="J47" i="1"/>
  <c r="K47" i="1" s="1"/>
  <c r="N317" i="1"/>
  <c r="K291" i="1"/>
  <c r="K292" i="1" s="1"/>
  <c r="J291" i="1"/>
  <c r="M210" i="1"/>
  <c r="N203" i="1"/>
  <c r="M224" i="1"/>
  <c r="M122" i="1"/>
  <c r="M152" i="1"/>
  <c r="M153" i="1"/>
  <c r="H17" i="1"/>
  <c r="E17" i="1"/>
  <c r="H16" i="1"/>
  <c r="M16" i="1" s="1"/>
  <c r="E16" i="1"/>
  <c r="K151" i="1"/>
  <c r="M151" i="1" s="1"/>
  <c r="H155" i="1"/>
  <c r="M154" i="1"/>
  <c r="B71" i="7"/>
  <c r="B72" i="7" s="1"/>
  <c r="J214" i="1"/>
  <c r="J215" i="1" s="1"/>
  <c r="K214" i="1"/>
  <c r="K215" i="1" s="1"/>
  <c r="K265" i="1"/>
  <c r="J265" i="1"/>
  <c r="N265" i="1" s="1"/>
  <c r="K262" i="1"/>
  <c r="J262" i="1"/>
  <c r="K74" i="1"/>
  <c r="J74" i="1"/>
  <c r="K76" i="1"/>
  <c r="J76" i="1"/>
  <c r="K87" i="1"/>
  <c r="J87" i="1"/>
  <c r="K131" i="1"/>
  <c r="J131" i="1"/>
  <c r="K134" i="1"/>
  <c r="J134" i="1"/>
  <c r="K167" i="1"/>
  <c r="J167" i="1"/>
  <c r="K220" i="1"/>
  <c r="J220" i="1"/>
  <c r="K271" i="1"/>
  <c r="J271" i="1"/>
  <c r="K286" i="1"/>
  <c r="J286" i="1"/>
  <c r="K61" i="1"/>
  <c r="J61" i="1"/>
  <c r="K65" i="1"/>
  <c r="J65" i="1"/>
  <c r="K77" i="1"/>
  <c r="J77" i="1"/>
  <c r="K78" i="1"/>
  <c r="J78" i="1"/>
  <c r="K133" i="1"/>
  <c r="J133" i="1"/>
  <c r="K176" i="1"/>
  <c r="J176" i="1"/>
  <c r="N183" i="1"/>
  <c r="K195" i="1"/>
  <c r="J195" i="1"/>
  <c r="J199" i="1"/>
  <c r="K199" i="1"/>
  <c r="K205" i="1"/>
  <c r="J205" i="1"/>
  <c r="K255" i="1"/>
  <c r="J255" i="1"/>
  <c r="K272" i="1"/>
  <c r="J272" i="1"/>
  <c r="K28" i="1"/>
  <c r="J28" i="1"/>
  <c r="K73" i="1"/>
  <c r="J73" i="1"/>
  <c r="K75" i="1"/>
  <c r="J75" i="1"/>
  <c r="K88" i="1"/>
  <c r="J88" i="1"/>
  <c r="K126" i="1"/>
  <c r="J126" i="1"/>
  <c r="K135" i="1"/>
  <c r="J135" i="1"/>
  <c r="K168" i="1"/>
  <c r="J168" i="1"/>
  <c r="K299" i="1"/>
  <c r="J299" i="1"/>
  <c r="K79" i="1"/>
  <c r="J79" i="1"/>
  <c r="K130" i="1"/>
  <c r="J130" i="1"/>
  <c r="K163" i="1"/>
  <c r="J163" i="1"/>
  <c r="N163" i="1" s="1"/>
  <c r="K173" i="1"/>
  <c r="J173" i="1"/>
  <c r="K175" i="1"/>
  <c r="J175" i="1"/>
  <c r="K266" i="1"/>
  <c r="J266" i="1"/>
  <c r="K274" i="1"/>
  <c r="J274" i="1"/>
  <c r="X9" i="7"/>
  <c r="G21" i="7"/>
  <c r="F25" i="7"/>
  <c r="X60" i="7"/>
  <c r="H226" i="1"/>
  <c r="E164" i="1"/>
  <c r="H313" i="1"/>
  <c r="E142" i="1"/>
  <c r="H19" i="1"/>
  <c r="K19" i="1" s="1"/>
  <c r="H311" i="1"/>
  <c r="H12" i="1"/>
  <c r="H280" i="1"/>
  <c r="M280" i="1" s="1"/>
  <c r="M14" i="1"/>
  <c r="E18" i="1"/>
  <c r="E272" i="1"/>
  <c r="E265" i="1"/>
  <c r="H309" i="1"/>
  <c r="J309" i="1" s="1"/>
  <c r="K309" i="1" s="1"/>
  <c r="E14" i="1"/>
  <c r="M20" i="1"/>
  <c r="H113" i="1"/>
  <c r="D22" i="1"/>
  <c r="N13" i="1"/>
  <c r="E21" i="1"/>
  <c r="H180" i="1"/>
  <c r="E260" i="1"/>
  <c r="E279" i="1"/>
  <c r="H292" i="1"/>
  <c r="E283" i="1"/>
  <c r="D314" i="1"/>
  <c r="H21" i="1"/>
  <c r="M21" i="1" s="1"/>
  <c r="E93" i="1"/>
  <c r="H283" i="1"/>
  <c r="M283" i="1" s="1"/>
  <c r="M284" i="1"/>
  <c r="H10" i="1"/>
  <c r="D287" i="1"/>
  <c r="M290" i="1"/>
  <c r="E292" i="1"/>
  <c r="E221" i="1"/>
  <c r="C22" i="1"/>
  <c r="C23" i="1" s="1"/>
  <c r="E20" i="1"/>
  <c r="C30" i="1"/>
  <c r="H33" i="1"/>
  <c r="C50" i="1"/>
  <c r="H44" i="1"/>
  <c r="H11" i="1"/>
  <c r="H13" i="1"/>
  <c r="H29" i="1"/>
  <c r="E35" i="1"/>
  <c r="H36" i="1"/>
  <c r="E38" i="1"/>
  <c r="H40" i="1"/>
  <c r="E44" i="1"/>
  <c r="E48" i="1"/>
  <c r="H62" i="1"/>
  <c r="E29" i="1"/>
  <c r="E30" i="1" s="1"/>
  <c r="E33" i="1"/>
  <c r="E39" i="1"/>
  <c r="H45" i="1"/>
  <c r="H49" i="1"/>
  <c r="E49" i="1"/>
  <c r="H53" i="1"/>
  <c r="J53" i="1" s="1"/>
  <c r="H70" i="1"/>
  <c r="H83" i="1"/>
  <c r="E56" i="1"/>
  <c r="E61" i="1"/>
  <c r="E62" i="1" s="1"/>
  <c r="C62" i="1"/>
  <c r="E66" i="1"/>
  <c r="C66" i="1"/>
  <c r="H66" i="1"/>
  <c r="E97" i="1"/>
  <c r="E109" i="1"/>
  <c r="E110" i="1" s="1"/>
  <c r="H125" i="1"/>
  <c r="E53" i="1"/>
  <c r="E57" i="1"/>
  <c r="C58" i="1"/>
  <c r="E74" i="1"/>
  <c r="E78" i="1"/>
  <c r="E79" i="1"/>
  <c r="H80" i="1"/>
  <c r="E83" i="1"/>
  <c r="E90" i="1" s="1"/>
  <c r="H93" i="1"/>
  <c r="E94" i="1"/>
  <c r="E98" i="1"/>
  <c r="H109" i="1"/>
  <c r="C118" i="1"/>
  <c r="H132" i="1"/>
  <c r="E132" i="1"/>
  <c r="E139" i="1" s="1"/>
  <c r="E118" i="1"/>
  <c r="H116" i="1"/>
  <c r="H127" i="1"/>
  <c r="J127" i="1" s="1"/>
  <c r="K127" i="1" s="1"/>
  <c r="H115" i="1"/>
  <c r="H124" i="1"/>
  <c r="H129" i="1"/>
  <c r="H142" i="1"/>
  <c r="H169" i="1"/>
  <c r="E170" i="1"/>
  <c r="E185" i="1"/>
  <c r="E188" i="1" s="1"/>
  <c r="C188" i="1"/>
  <c r="E174" i="1"/>
  <c r="E177" i="1" s="1"/>
  <c r="H185" i="1"/>
  <c r="H198" i="1"/>
  <c r="E198" i="1"/>
  <c r="H162" i="1"/>
  <c r="H174" i="1"/>
  <c r="H196" i="1"/>
  <c r="H201" i="1"/>
  <c r="E204" i="1"/>
  <c r="H206" i="1"/>
  <c r="E207" i="1"/>
  <c r="E208" i="1"/>
  <c r="E209" i="1"/>
  <c r="C215" i="1"/>
  <c r="E214" i="1"/>
  <c r="E215" i="1" s="1"/>
  <c r="C221" i="1"/>
  <c r="H218" i="1"/>
  <c r="J218" i="1" s="1"/>
  <c r="K218" i="1" s="1"/>
  <c r="E230" i="1"/>
  <c r="H233" i="1"/>
  <c r="E236" i="1"/>
  <c r="H242" i="1"/>
  <c r="J242" i="1" s="1"/>
  <c r="K242" i="1" s="1"/>
  <c r="E257" i="1"/>
  <c r="H257" i="1"/>
  <c r="H208" i="1"/>
  <c r="H215" i="1"/>
  <c r="H230" i="1"/>
  <c r="E248" i="1"/>
  <c r="H251" i="1"/>
  <c r="C252" i="1"/>
  <c r="E251" i="1"/>
  <c r="E252" i="1" s="1"/>
  <c r="C276" i="1"/>
  <c r="H207" i="1"/>
  <c r="E232" i="1"/>
  <c r="E256" i="1"/>
  <c r="E259" i="1"/>
  <c r="H263" i="1"/>
  <c r="H267" i="1"/>
  <c r="H256" i="1"/>
  <c r="H258" i="1"/>
  <c r="H259" i="1"/>
  <c r="H264" i="1"/>
  <c r="H268" i="1"/>
  <c r="E269" i="1"/>
  <c r="H270" i="1"/>
  <c r="H269" i="1"/>
  <c r="H275" i="1"/>
  <c r="E284" i="1"/>
  <c r="K285" i="1"/>
  <c r="H282" i="1"/>
  <c r="M282" i="1" s="1"/>
  <c r="C292" i="1"/>
  <c r="C296" i="1"/>
  <c r="H296" i="1"/>
  <c r="E299" i="1"/>
  <c r="H318" i="1"/>
  <c r="H300" i="1"/>
  <c r="E300" i="1"/>
  <c r="C305" i="1"/>
  <c r="C287" i="1"/>
  <c r="H281" i="1"/>
  <c r="M281" i="1" s="1"/>
  <c r="H285" i="1"/>
  <c r="H304" i="1"/>
  <c r="E304" i="1"/>
  <c r="C314" i="1"/>
  <c r="E321" i="1"/>
  <c r="E322" i="1" s="1"/>
  <c r="H308" i="1"/>
  <c r="E317" i="1"/>
  <c r="E318" i="1" s="1"/>
  <c r="C318" i="1"/>
  <c r="H321" i="1"/>
  <c r="E41" i="1" l="1"/>
  <c r="J33" i="1"/>
  <c r="K33" i="1" s="1"/>
  <c r="H41" i="1"/>
  <c r="J263" i="1"/>
  <c r="K263" i="1"/>
  <c r="K208" i="1"/>
  <c r="J208" i="1"/>
  <c r="K201" i="1"/>
  <c r="J201" i="1"/>
  <c r="J313" i="1"/>
  <c r="N313" i="1" s="1"/>
  <c r="K313" i="1"/>
  <c r="X21" i="7"/>
  <c r="K304" i="1"/>
  <c r="K305" i="1" s="1"/>
  <c r="J304" i="1"/>
  <c r="J185" i="1"/>
  <c r="K185" i="1"/>
  <c r="J233" i="1"/>
  <c r="K233" i="1"/>
  <c r="J180" i="1"/>
  <c r="K180" i="1"/>
  <c r="E106" i="1"/>
  <c r="K93" i="1"/>
  <c r="J45" i="1"/>
  <c r="K45" i="1" s="1"/>
  <c r="J44" i="1"/>
  <c r="K44" i="1" s="1"/>
  <c r="J40" i="1"/>
  <c r="K40" i="1" s="1"/>
  <c r="J35" i="1"/>
  <c r="J49" i="1"/>
  <c r="K49" i="1" s="1"/>
  <c r="J36" i="1"/>
  <c r="K36" i="1" s="1"/>
  <c r="C324" i="1"/>
  <c r="C326" i="1" s="1"/>
  <c r="E287" i="1"/>
  <c r="M291" i="1"/>
  <c r="N291" i="1"/>
  <c r="J292" i="1"/>
  <c r="M69" i="1"/>
  <c r="J58" i="1"/>
  <c r="I17" i="22"/>
  <c r="I19" i="22" s="1"/>
  <c r="D145" i="1" s="1"/>
  <c r="M262" i="1"/>
  <c r="N187" i="1"/>
  <c r="P59" i="7"/>
  <c r="X59" i="7" s="1"/>
  <c r="D261" i="1"/>
  <c r="D276" i="1" s="1"/>
  <c r="K155" i="1"/>
  <c r="K275" i="1"/>
  <c r="J275" i="1"/>
  <c r="K264" i="1"/>
  <c r="J264" i="1"/>
  <c r="K308" i="1"/>
  <c r="J308" i="1"/>
  <c r="H301" i="1"/>
  <c r="K300" i="1"/>
  <c r="J300" i="1"/>
  <c r="K270" i="1"/>
  <c r="J270" i="1"/>
  <c r="K162" i="1"/>
  <c r="K164" i="1" s="1"/>
  <c r="J162" i="1"/>
  <c r="K113" i="1"/>
  <c r="J113" i="1"/>
  <c r="K258" i="1"/>
  <c r="J258" i="1"/>
  <c r="H248" i="1"/>
  <c r="K206" i="1"/>
  <c r="J206" i="1"/>
  <c r="J198" i="1"/>
  <c r="K198" i="1"/>
  <c r="K129" i="1"/>
  <c r="J129" i="1"/>
  <c r="K132" i="1"/>
  <c r="J132" i="1"/>
  <c r="K125" i="1"/>
  <c r="J125" i="1"/>
  <c r="K29" i="1"/>
  <c r="J29" i="1"/>
  <c r="K269" i="1"/>
  <c r="J269" i="1"/>
  <c r="K268" i="1"/>
  <c r="J268" i="1"/>
  <c r="K256" i="1"/>
  <c r="J256" i="1"/>
  <c r="K267" i="1"/>
  <c r="J267" i="1"/>
  <c r="K230" i="1"/>
  <c r="J230" i="1"/>
  <c r="K196" i="1"/>
  <c r="J196" i="1"/>
  <c r="K169" i="1"/>
  <c r="J169" i="1"/>
  <c r="K124" i="1"/>
  <c r="J124" i="1"/>
  <c r="K311" i="1"/>
  <c r="J311" i="1"/>
  <c r="K257" i="1"/>
  <c r="J257" i="1"/>
  <c r="K174" i="1"/>
  <c r="J174" i="1"/>
  <c r="K115" i="1"/>
  <c r="J115" i="1"/>
  <c r="K116" i="1"/>
  <c r="J116" i="1"/>
  <c r="K109" i="1"/>
  <c r="J109" i="1"/>
  <c r="H90" i="1"/>
  <c r="K83" i="1"/>
  <c r="J83" i="1"/>
  <c r="M13" i="1"/>
  <c r="M12" i="1"/>
  <c r="M19" i="1"/>
  <c r="M11" i="1"/>
  <c r="M10" i="1"/>
  <c r="H139" i="1"/>
  <c r="O121" i="1"/>
  <c r="M187" i="1"/>
  <c r="N121" i="1"/>
  <c r="H188" i="1"/>
  <c r="H237" i="1"/>
  <c r="E237" i="1"/>
  <c r="N214" i="1"/>
  <c r="M214" i="1"/>
  <c r="M186" i="1"/>
  <c r="M247" i="1"/>
  <c r="E22" i="1"/>
  <c r="B61" i="7" s="1"/>
  <c r="M183" i="1"/>
  <c r="N262" i="1"/>
  <c r="E301" i="1"/>
  <c r="M236" i="1"/>
  <c r="H22" i="1"/>
  <c r="H305" i="1"/>
  <c r="M285" i="1"/>
  <c r="M265" i="1"/>
  <c r="H211" i="1"/>
  <c r="E211" i="1"/>
  <c r="M209" i="1"/>
  <c r="H118" i="1"/>
  <c r="E80" i="1"/>
  <c r="E50" i="1"/>
  <c r="H221" i="1"/>
  <c r="M204" i="1"/>
  <c r="H110" i="1"/>
  <c r="M184" i="1"/>
  <c r="H170" i="1"/>
  <c r="J22" i="1"/>
  <c r="E6" i="15" s="1"/>
  <c r="D33" i="15" s="1"/>
  <c r="D35" i="15" s="1"/>
  <c r="M163" i="1"/>
  <c r="H314" i="1"/>
  <c r="K321" i="1"/>
  <c r="K322" i="1" s="1"/>
  <c r="H322" i="1"/>
  <c r="H287" i="1"/>
  <c r="E305" i="1"/>
  <c r="K259" i="1"/>
  <c r="H252" i="1"/>
  <c r="N225" i="1"/>
  <c r="H177" i="1"/>
  <c r="E58" i="1"/>
  <c r="H30" i="1"/>
  <c r="J207" i="1"/>
  <c r="H164" i="1"/>
  <c r="M225" i="1"/>
  <c r="H58" i="1"/>
  <c r="H50" i="1"/>
  <c r="N19" i="1"/>
  <c r="N226" i="1" l="1"/>
  <c r="K314" i="1"/>
  <c r="C80" i="8"/>
  <c r="B86" i="8" s="1"/>
  <c r="G101" i="1"/>
  <c r="H101" i="1" s="1"/>
  <c r="J101" i="1" s="1"/>
  <c r="G104" i="1"/>
  <c r="H104" i="1" s="1"/>
  <c r="G100" i="1"/>
  <c r="H100" i="1" s="1"/>
  <c r="G103" i="1"/>
  <c r="H103" i="1" s="1"/>
  <c r="G99" i="1"/>
  <c r="G102" i="1"/>
  <c r="H102" i="1" s="1"/>
  <c r="J102" i="1" s="1"/>
  <c r="N304" i="1"/>
  <c r="J41" i="1"/>
  <c r="K35" i="1"/>
  <c r="K41" i="1" s="1"/>
  <c r="N215" i="1"/>
  <c r="N292" i="1"/>
  <c r="K53" i="1"/>
  <c r="D146" i="1"/>
  <c r="D148" i="1" s="1"/>
  <c r="H145" i="1"/>
  <c r="E145" i="1"/>
  <c r="M17" i="1"/>
  <c r="E146" i="1"/>
  <c r="K142" i="1"/>
  <c r="H261" i="1"/>
  <c r="E261" i="1"/>
  <c r="E276" i="1" s="1"/>
  <c r="J305" i="1"/>
  <c r="M304" i="1"/>
  <c r="K22" i="1"/>
  <c r="K23" i="1" s="1"/>
  <c r="B63" i="7"/>
  <c r="B66" i="7" s="1"/>
  <c r="B76" i="7"/>
  <c r="M121" i="1"/>
  <c r="M313" i="1"/>
  <c r="M201" i="1"/>
  <c r="M263" i="1"/>
  <c r="M206" i="1"/>
  <c r="M208" i="1"/>
  <c r="M264" i="1"/>
  <c r="C328" i="1"/>
  <c r="N185" i="1"/>
  <c r="N275" i="1"/>
  <c r="N207" i="1"/>
  <c r="M275" i="1"/>
  <c r="M259" i="1"/>
  <c r="J23" i="1"/>
  <c r="K207" i="1"/>
  <c r="N201" i="1"/>
  <c r="N263" i="1"/>
  <c r="J164" i="1"/>
  <c r="N162" i="1"/>
  <c r="N22" i="1"/>
  <c r="M185" i="1"/>
  <c r="M162" i="1"/>
  <c r="N206" i="1"/>
  <c r="M321" i="1"/>
  <c r="N208" i="1"/>
  <c r="N264" i="1"/>
  <c r="K273" i="1" l="1"/>
  <c r="K295" i="1"/>
  <c r="K296" i="1" s="1"/>
  <c r="J295" i="1"/>
  <c r="J273" i="1"/>
  <c r="J251" i="1"/>
  <c r="K261" i="1"/>
  <c r="J261" i="1"/>
  <c r="J42" i="1"/>
  <c r="K102" i="1"/>
  <c r="M102" i="1" s="1"/>
  <c r="N102" i="1"/>
  <c r="J104" i="1"/>
  <c r="G106" i="1"/>
  <c r="G324" i="1" s="1"/>
  <c r="H99" i="1"/>
  <c r="J103" i="1"/>
  <c r="K103" i="1" s="1"/>
  <c r="M103" i="1" s="1"/>
  <c r="J100" i="1"/>
  <c r="B78" i="7"/>
  <c r="B81" i="7" s="1"/>
  <c r="Q46" i="7" s="1"/>
  <c r="Q76" i="7" s="1"/>
  <c r="K145" i="1"/>
  <c r="J145" i="1"/>
  <c r="H146" i="1"/>
  <c r="H148" i="1" s="1"/>
  <c r="E148" i="1"/>
  <c r="K146" i="1"/>
  <c r="M142" i="1"/>
  <c r="H276" i="1"/>
  <c r="N305" i="1"/>
  <c r="P50" i="7"/>
  <c r="P76" i="7" s="1"/>
  <c r="D191" i="1"/>
  <c r="M207" i="1"/>
  <c r="N164" i="1"/>
  <c r="G328" i="1" l="1"/>
  <c r="B87" i="8"/>
  <c r="K251" i="1"/>
  <c r="J252" i="1"/>
  <c r="N251" i="1"/>
  <c r="N252" i="1" s="1"/>
  <c r="M273" i="1"/>
  <c r="N273" i="1"/>
  <c r="K100" i="1"/>
  <c r="M100" i="1" s="1"/>
  <c r="N100" i="1"/>
  <c r="N101" i="1"/>
  <c r="K104" i="1"/>
  <c r="M104" i="1" s="1"/>
  <c r="N104" i="1"/>
  <c r="J99" i="1"/>
  <c r="H106" i="1"/>
  <c r="N103" i="1"/>
  <c r="K101" i="1"/>
  <c r="M101" i="1" s="1"/>
  <c r="J148" i="1"/>
  <c r="N145" i="1"/>
  <c r="S76" i="7"/>
  <c r="X76" i="7" s="1"/>
  <c r="D158" i="1"/>
  <c r="M146" i="1"/>
  <c r="M145" i="1"/>
  <c r="K148" i="1"/>
  <c r="N261" i="1"/>
  <c r="M261" i="1"/>
  <c r="C333" i="1"/>
  <c r="X50" i="7"/>
  <c r="E191" i="1"/>
  <c r="E192" i="1" s="1"/>
  <c r="H191" i="1"/>
  <c r="D192" i="1"/>
  <c r="J296" i="1"/>
  <c r="N295" i="1"/>
  <c r="M295" i="1"/>
  <c r="K252" i="1" l="1"/>
  <c r="M251" i="1"/>
  <c r="K99" i="1"/>
  <c r="M99" i="1" s="1"/>
  <c r="J106" i="1"/>
  <c r="N99" i="1"/>
  <c r="N148" i="1"/>
  <c r="E158" i="1"/>
  <c r="E159" i="1" s="1"/>
  <c r="D159" i="1"/>
  <c r="H158" i="1"/>
  <c r="X46" i="7"/>
  <c r="K191" i="1"/>
  <c r="K192" i="1" s="1"/>
  <c r="J191" i="1"/>
  <c r="H192" i="1"/>
  <c r="N296" i="1"/>
  <c r="K106" i="1" l="1"/>
  <c r="D324" i="1"/>
  <c r="X77" i="7" s="1"/>
  <c r="J158" i="1"/>
  <c r="M158" i="1" s="1"/>
  <c r="H159" i="1"/>
  <c r="H324" i="1" s="1"/>
  <c r="H326" i="1" s="1"/>
  <c r="N191" i="1"/>
  <c r="J192" i="1"/>
  <c r="M191" i="1"/>
  <c r="D328" i="1" l="1"/>
  <c r="H328" i="1"/>
  <c r="J159" i="1"/>
  <c r="N158" i="1"/>
  <c r="N192" i="1"/>
  <c r="N159" i="1" l="1"/>
  <c r="K70" i="1" l="1"/>
  <c r="K62" i="1"/>
  <c r="K287" i="1"/>
  <c r="K110" i="1"/>
  <c r="K188" i="1"/>
  <c r="K221" i="1"/>
  <c r="K301" i="1"/>
  <c r="K90" i="1"/>
  <c r="K30" i="1"/>
  <c r="K177" i="1"/>
  <c r="M232" i="1" l="1"/>
  <c r="M45" i="1"/>
  <c r="N45" i="1"/>
  <c r="M124" i="1"/>
  <c r="N124" i="1"/>
  <c r="J90" i="1"/>
  <c r="N83" i="1"/>
  <c r="M83" i="1"/>
  <c r="M269" i="1"/>
  <c r="N269" i="1"/>
  <c r="N308" i="1"/>
  <c r="M308" i="1"/>
  <c r="J314" i="1"/>
  <c r="N242" i="1"/>
  <c r="M242" i="1"/>
  <c r="N198" i="1"/>
  <c r="M198" i="1"/>
  <c r="M180" i="1"/>
  <c r="N180" i="1"/>
  <c r="J188" i="1"/>
  <c r="J110" i="1"/>
  <c r="M109" i="1"/>
  <c r="N109" i="1"/>
  <c r="N256" i="1"/>
  <c r="M256" i="1"/>
  <c r="N309" i="1"/>
  <c r="M309" i="1"/>
  <c r="N234" i="1"/>
  <c r="M234" i="1"/>
  <c r="N46" i="1"/>
  <c r="M46" i="1"/>
  <c r="N255" i="1"/>
  <c r="M255" i="1"/>
  <c r="M54" i="1"/>
  <c r="N56" i="1"/>
  <c r="M56" i="1"/>
  <c r="N195" i="1"/>
  <c r="M195" i="1"/>
  <c r="J211" i="1"/>
  <c r="N96" i="1"/>
  <c r="M96" i="1"/>
  <c r="M55" i="1"/>
  <c r="N98" i="1"/>
  <c r="M98" i="1"/>
  <c r="N205" i="1"/>
  <c r="M205" i="1"/>
  <c r="N134" i="1"/>
  <c r="M134" i="1"/>
  <c r="N167" i="1"/>
  <c r="M167" i="1"/>
  <c r="J170" i="1"/>
  <c r="N114" i="1"/>
  <c r="M114" i="1"/>
  <c r="N85" i="1"/>
  <c r="M85" i="1"/>
  <c r="M312" i="1"/>
  <c r="N312" i="1"/>
  <c r="K211" i="1"/>
  <c r="K80" i="1"/>
  <c r="M116" i="1"/>
  <c r="N116" i="1"/>
  <c r="N93" i="1"/>
  <c r="M93" i="1"/>
  <c r="N196" i="1"/>
  <c r="M196" i="1"/>
  <c r="M127" i="1"/>
  <c r="N127" i="1"/>
  <c r="N33" i="1"/>
  <c r="M33" i="1"/>
  <c r="N233" i="1"/>
  <c r="M233" i="1"/>
  <c r="M40" i="1"/>
  <c r="N40" i="1"/>
  <c r="J301" i="1"/>
  <c r="M300" i="1"/>
  <c r="N300" i="1"/>
  <c r="N218" i="1"/>
  <c r="J221" i="1"/>
  <c r="M218" i="1"/>
  <c r="M49" i="1"/>
  <c r="N49" i="1"/>
  <c r="J139" i="1"/>
  <c r="M286" i="1"/>
  <c r="J287" i="1"/>
  <c r="N286" i="1"/>
  <c r="N73" i="1"/>
  <c r="M73" i="1"/>
  <c r="N39" i="1"/>
  <c r="M39" i="1"/>
  <c r="N272" i="1"/>
  <c r="M272" i="1"/>
  <c r="M245" i="1"/>
  <c r="N245" i="1"/>
  <c r="N78" i="1"/>
  <c r="M78" i="1"/>
  <c r="N299" i="1"/>
  <c r="M299" i="1"/>
  <c r="N88" i="1"/>
  <c r="M88" i="1"/>
  <c r="N130" i="1"/>
  <c r="M130" i="1"/>
  <c r="N74" i="1"/>
  <c r="M74" i="1"/>
  <c r="N28" i="1"/>
  <c r="M28" i="1"/>
  <c r="J30" i="1"/>
  <c r="N199" i="1"/>
  <c r="M199" i="1"/>
  <c r="N47" i="1"/>
  <c r="M47" i="1"/>
  <c r="M61" i="1"/>
  <c r="J62" i="1"/>
  <c r="N61" i="1"/>
  <c r="N240" i="1"/>
  <c r="M240" i="1"/>
  <c r="J248" i="1"/>
  <c r="J318" i="1"/>
  <c r="M317" i="1"/>
  <c r="N137" i="1"/>
  <c r="M137" i="1"/>
  <c r="M231" i="1"/>
  <c r="N231" i="1"/>
  <c r="M138" i="1"/>
  <c r="N138" i="1"/>
  <c r="N86" i="1"/>
  <c r="N235" i="1"/>
  <c r="M235" i="1"/>
  <c r="K276" i="1"/>
  <c r="K66" i="1"/>
  <c r="M310" i="1"/>
  <c r="M38" i="1"/>
  <c r="N270" i="1"/>
  <c r="M270" i="1"/>
  <c r="N53" i="1"/>
  <c r="M53" i="1"/>
  <c r="N29" i="1"/>
  <c r="M29" i="1"/>
  <c r="J50" i="1"/>
  <c r="N44" i="1"/>
  <c r="M44" i="1"/>
  <c r="M125" i="1"/>
  <c r="N125" i="1"/>
  <c r="M115" i="1"/>
  <c r="N115" i="1"/>
  <c r="M230" i="1"/>
  <c r="J237" i="1"/>
  <c r="N230" i="1"/>
  <c r="N267" i="1"/>
  <c r="M267" i="1"/>
  <c r="M169" i="1"/>
  <c r="N169" i="1"/>
  <c r="N113" i="1"/>
  <c r="J118" i="1"/>
  <c r="M113" i="1"/>
  <c r="N274" i="1"/>
  <c r="M274" i="1"/>
  <c r="N87" i="1"/>
  <c r="M87" i="1"/>
  <c r="N135" i="1"/>
  <c r="M135" i="1"/>
  <c r="N133" i="1"/>
  <c r="N168" i="1"/>
  <c r="M168" i="1"/>
  <c r="N94" i="1"/>
  <c r="M94" i="1"/>
  <c r="M220" i="1"/>
  <c r="N220" i="1"/>
  <c r="N57" i="1"/>
  <c r="M57" i="1"/>
  <c r="M176" i="1"/>
  <c r="N176" i="1"/>
  <c r="N310" i="1"/>
  <c r="J66" i="1"/>
  <c r="N65" i="1"/>
  <c r="M65" i="1"/>
  <c r="N126" i="1"/>
  <c r="M126" i="1"/>
  <c r="N232" i="1"/>
  <c r="N38" i="1"/>
  <c r="N117" i="1"/>
  <c r="M117" i="1"/>
  <c r="N241" i="1"/>
  <c r="M241" i="1"/>
  <c r="N128" i="1"/>
  <c r="M128" i="1"/>
  <c r="K237" i="1"/>
  <c r="K118" i="1"/>
  <c r="K248" i="1"/>
  <c r="K170" i="1"/>
  <c r="M86" i="1"/>
  <c r="N36" i="1"/>
  <c r="M36" i="1"/>
  <c r="M132" i="1"/>
  <c r="N132" i="1"/>
  <c r="N35" i="1"/>
  <c r="M35" i="1"/>
  <c r="M174" i="1"/>
  <c r="N174" i="1"/>
  <c r="N257" i="1"/>
  <c r="M257" i="1"/>
  <c r="M268" i="1"/>
  <c r="N268" i="1"/>
  <c r="M258" i="1"/>
  <c r="N258" i="1"/>
  <c r="N129" i="1"/>
  <c r="M129" i="1"/>
  <c r="J276" i="1"/>
  <c r="N311" i="1"/>
  <c r="M311" i="1"/>
  <c r="N77" i="1"/>
  <c r="M77" i="1"/>
  <c r="N244" i="1"/>
  <c r="M244" i="1"/>
  <c r="M271" i="1"/>
  <c r="N271" i="1"/>
  <c r="N76" i="1"/>
  <c r="M76" i="1"/>
  <c r="N97" i="1"/>
  <c r="M97" i="1"/>
  <c r="N131" i="1"/>
  <c r="M131" i="1"/>
  <c r="N175" i="1"/>
  <c r="M175" i="1"/>
  <c r="J70" i="1"/>
  <c r="N69" i="1"/>
  <c r="J80" i="1"/>
  <c r="N37" i="1"/>
  <c r="M37" i="1"/>
  <c r="M266" i="1"/>
  <c r="N266" i="1"/>
  <c r="N48" i="1"/>
  <c r="M48" i="1"/>
  <c r="N95" i="1"/>
  <c r="M95" i="1"/>
  <c r="N79" i="1"/>
  <c r="M79" i="1"/>
  <c r="M173" i="1"/>
  <c r="N173" i="1"/>
  <c r="J177" i="1"/>
  <c r="N75" i="1"/>
  <c r="M75" i="1"/>
  <c r="N243" i="1"/>
  <c r="M243" i="1"/>
  <c r="N89" i="1"/>
  <c r="M89" i="1"/>
  <c r="M246" i="1"/>
  <c r="N246" i="1"/>
  <c r="M136" i="1"/>
  <c r="N136" i="1"/>
  <c r="K50" i="1"/>
  <c r="K58" i="1"/>
  <c r="K139" i="1"/>
  <c r="M133" i="1"/>
  <c r="N41" i="1" l="1"/>
  <c r="N314" i="1"/>
  <c r="N237" i="1"/>
  <c r="N90" i="1"/>
  <c r="N139" i="1"/>
  <c r="J71" i="1"/>
  <c r="J51" i="1"/>
  <c r="N106" i="1"/>
  <c r="K324" i="1"/>
  <c r="K326" i="1" s="1"/>
  <c r="J324" i="1"/>
  <c r="N80" i="1"/>
  <c r="N50" i="1"/>
  <c r="N318" i="1"/>
  <c r="N221" i="1"/>
  <c r="N188" i="1"/>
  <c r="N177" i="1"/>
  <c r="N276" i="1"/>
  <c r="N66" i="1"/>
  <c r="N248" i="1"/>
  <c r="N30" i="1"/>
  <c r="N170" i="1"/>
  <c r="N118" i="1"/>
  <c r="N58" i="1"/>
  <c r="N62" i="1"/>
  <c r="N301" i="1"/>
  <c r="N211" i="1"/>
  <c r="N110" i="1"/>
  <c r="N70" i="1"/>
  <c r="N287" i="1"/>
  <c r="E7" i="15" l="1"/>
  <c r="U4" i="15" s="1"/>
  <c r="V4" i="15" s="1"/>
  <c r="N324" i="1"/>
  <c r="K328" i="1"/>
  <c r="J328" i="1"/>
  <c r="J326" i="1"/>
  <c r="U5" i="15" l="1"/>
  <c r="V5" i="15" s="1"/>
  <c r="AJ29" i="15" s="1"/>
  <c r="U6" i="15"/>
  <c r="V6" i="15" s="1"/>
  <c r="AJ30" i="15" s="1"/>
  <c r="U7" i="15"/>
  <c r="V7" i="15" s="1"/>
  <c r="AJ31" i="15" s="1"/>
  <c r="W4" i="15"/>
  <c r="X4" i="15" s="1"/>
  <c r="Y4" i="15" s="1"/>
  <c r="AA4" i="15" s="1"/>
  <c r="AB4" i="15" s="1"/>
  <c r="AC4" i="15" s="1"/>
  <c r="AJ28" i="15"/>
  <c r="E9" i="15"/>
  <c r="E11" i="15" s="1"/>
  <c r="N328" i="1"/>
  <c r="N326" i="1"/>
  <c r="W6" i="15" l="1"/>
  <c r="X6" i="15" s="1"/>
  <c r="Y6" i="15" s="1"/>
  <c r="AA6" i="15" s="1"/>
  <c r="AB6" i="15" s="1"/>
  <c r="AC6" i="15" s="1"/>
  <c r="AF6" i="15" s="1"/>
  <c r="AJ21" i="15" s="1"/>
  <c r="W5" i="15"/>
  <c r="X5" i="15" s="1"/>
  <c r="Y5" i="15" s="1"/>
  <c r="AA5" i="15" s="1"/>
  <c r="AB5" i="15" s="1"/>
  <c r="AC5" i="15" s="1"/>
  <c r="AF5" i="15" s="1"/>
  <c r="AJ20" i="15" s="1"/>
  <c r="W7" i="15"/>
  <c r="X7" i="15" s="1"/>
  <c r="Y7" i="15" s="1"/>
  <c r="AA7" i="15" s="1"/>
  <c r="AB7" i="15" s="1"/>
  <c r="AC7" i="15" s="1"/>
  <c r="AD7" i="15" s="1"/>
  <c r="AF4" i="15"/>
  <c r="AJ19" i="15" s="1"/>
  <c r="AD4" i="15"/>
  <c r="AD6" i="15" l="1"/>
  <c r="V12" i="15" s="1"/>
  <c r="AD5" i="15"/>
  <c r="V11" i="15" s="1"/>
  <c r="AF7" i="15"/>
  <c r="AJ22" i="15" s="1"/>
  <c r="AE7" i="15"/>
  <c r="AJ16" i="15" s="1"/>
  <c r="AJ40" i="15"/>
  <c r="V13" i="15"/>
  <c r="V10" i="15"/>
  <c r="AJ37" i="15"/>
  <c r="AE4" i="15"/>
  <c r="AJ13" i="15" s="1"/>
  <c r="AJ39" i="15" l="1"/>
  <c r="AE6" i="15"/>
  <c r="AJ15" i="15" s="1"/>
  <c r="AJ36" i="15" s="1"/>
  <c r="AE5" i="15"/>
  <c r="AJ14" i="15" s="1"/>
  <c r="AJ38" i="15"/>
  <c r="AK29" i="15"/>
  <c r="W11" i="15"/>
  <c r="X11" i="15" s="1"/>
  <c r="Y11" i="15" s="1"/>
  <c r="AA11" i="15" s="1"/>
  <c r="AB11" i="15" s="1"/>
  <c r="AC11" i="15" s="1"/>
  <c r="W12" i="15"/>
  <c r="X12" i="15" s="1"/>
  <c r="Y12" i="15" s="1"/>
  <c r="AA12" i="15" s="1"/>
  <c r="AB12" i="15" s="1"/>
  <c r="AC12" i="15" s="1"/>
  <c r="AK30" i="15"/>
  <c r="AK31" i="15"/>
  <c r="W13" i="15"/>
  <c r="X13" i="15" s="1"/>
  <c r="Y13" i="15" s="1"/>
  <c r="AA13" i="15" s="1"/>
  <c r="AB13" i="15" s="1"/>
  <c r="AC13" i="15" s="1"/>
  <c r="AK28" i="15"/>
  <c r="W10" i="15"/>
  <c r="X10" i="15" s="1"/>
  <c r="Y10" i="15" s="1"/>
  <c r="AA10" i="15" s="1"/>
  <c r="AB10" i="15" s="1"/>
  <c r="AC10" i="15" s="1"/>
  <c r="AJ27" i="15" l="1"/>
  <c r="AJ18" i="15"/>
  <c r="AF10" i="15"/>
  <c r="AK19" i="15" s="1"/>
  <c r="AD10" i="15"/>
  <c r="AF12" i="15"/>
  <c r="AK21" i="15" s="1"/>
  <c r="AD12" i="15"/>
  <c r="AF11" i="15"/>
  <c r="AK20" i="15" s="1"/>
  <c r="AD11" i="15"/>
  <c r="AF13" i="15"/>
  <c r="AK22" i="15" s="1"/>
  <c r="AD13" i="15"/>
  <c r="AK37" i="15" l="1"/>
  <c r="V16" i="15"/>
  <c r="AE10" i="15"/>
  <c r="AK13" i="15" s="1"/>
  <c r="V19" i="15"/>
  <c r="AE13" i="15"/>
  <c r="AK16" i="15" s="1"/>
  <c r="AK40" i="15"/>
  <c r="V18" i="15"/>
  <c r="AK39" i="15"/>
  <c r="AE12" i="15"/>
  <c r="AK15" i="15" s="1"/>
  <c r="AK38" i="15"/>
  <c r="V17" i="15"/>
  <c r="AE11" i="15"/>
  <c r="AK14" i="15" s="1"/>
  <c r="W19" i="15" l="1"/>
  <c r="X19" i="15" s="1"/>
  <c r="Y19" i="15" s="1"/>
  <c r="AA19" i="15" s="1"/>
  <c r="AB19" i="15" s="1"/>
  <c r="AC19" i="15" s="1"/>
  <c r="AL31" i="15"/>
  <c r="W17" i="15"/>
  <c r="X17" i="15" s="1"/>
  <c r="Y17" i="15" s="1"/>
  <c r="AA17" i="15" s="1"/>
  <c r="AB17" i="15" s="1"/>
  <c r="AC17" i="15" s="1"/>
  <c r="AL29" i="15"/>
  <c r="W18" i="15"/>
  <c r="X18" i="15" s="1"/>
  <c r="Y18" i="15" s="1"/>
  <c r="AA18" i="15" s="1"/>
  <c r="AB18" i="15" s="1"/>
  <c r="AC18" i="15" s="1"/>
  <c r="AL30" i="15"/>
  <c r="AL28" i="15"/>
  <c r="W16" i="15"/>
  <c r="X16" i="15" s="1"/>
  <c r="Y16" i="15" s="1"/>
  <c r="AA16" i="15" s="1"/>
  <c r="AB16" i="15" s="1"/>
  <c r="AC16" i="15" s="1"/>
  <c r="AK18" i="15"/>
  <c r="AK27" i="15"/>
  <c r="AK36" i="15"/>
  <c r="AF16" i="15" l="1"/>
  <c r="AL19" i="15" s="1"/>
  <c r="AD16" i="15"/>
  <c r="AF17" i="15"/>
  <c r="AL20" i="15" s="1"/>
  <c r="AD17" i="15"/>
  <c r="AF18" i="15"/>
  <c r="AL21" i="15" s="1"/>
  <c r="AD18" i="15"/>
  <c r="AF19" i="15"/>
  <c r="AL22" i="15" s="1"/>
  <c r="AD19" i="15"/>
  <c r="AL38" i="15" l="1"/>
  <c r="V23" i="15"/>
  <c r="AE17" i="15"/>
  <c r="AL14" i="15" s="1"/>
  <c r="AL39" i="15"/>
  <c r="AE18" i="15"/>
  <c r="AL15" i="15" s="1"/>
  <c r="V24" i="15"/>
  <c r="V22" i="15"/>
  <c r="AE16" i="15"/>
  <c r="AL13" i="15" s="1"/>
  <c r="AL37" i="15"/>
  <c r="AL40" i="15"/>
  <c r="AE19" i="15"/>
  <c r="AL16" i="15" s="1"/>
  <c r="V25" i="15"/>
  <c r="W25" i="15" l="1"/>
  <c r="X25" i="15" s="1"/>
  <c r="Y25" i="15" s="1"/>
  <c r="AA25" i="15" s="1"/>
  <c r="AB25" i="15" s="1"/>
  <c r="AC25" i="15" s="1"/>
  <c r="AM31" i="15"/>
  <c r="AL27" i="15"/>
  <c r="AL36" i="15"/>
  <c r="AL18" i="15"/>
  <c r="W22" i="15"/>
  <c r="X22" i="15" s="1"/>
  <c r="Y22" i="15" s="1"/>
  <c r="AA22" i="15" s="1"/>
  <c r="AB22" i="15" s="1"/>
  <c r="AC22" i="15" s="1"/>
  <c r="AM28" i="15"/>
  <c r="AM30" i="15"/>
  <c r="W24" i="15"/>
  <c r="X24" i="15" s="1"/>
  <c r="Y24" i="15" s="1"/>
  <c r="AA24" i="15" s="1"/>
  <c r="AB24" i="15" s="1"/>
  <c r="AC24" i="15" s="1"/>
  <c r="AM29" i="15"/>
  <c r="W23" i="15"/>
  <c r="X23" i="15" s="1"/>
  <c r="Y23" i="15" s="1"/>
  <c r="AA23" i="15" s="1"/>
  <c r="AB23" i="15" s="1"/>
  <c r="AC23" i="15" s="1"/>
  <c r="AF23" i="15" l="1"/>
  <c r="AM20" i="15" s="1"/>
  <c r="AD23" i="15"/>
  <c r="AF22" i="15"/>
  <c r="AM19" i="15" s="1"/>
  <c r="AD22" i="15"/>
  <c r="AF24" i="15"/>
  <c r="AM21" i="15" s="1"/>
  <c r="AD24" i="15"/>
  <c r="AF25" i="15"/>
  <c r="AM22" i="15" s="1"/>
  <c r="AD25" i="15"/>
  <c r="AE24" i="15" l="1"/>
  <c r="AM15" i="15" s="1"/>
  <c r="V30" i="15"/>
  <c r="AM39" i="15"/>
  <c r="AM37" i="15"/>
  <c r="V28" i="15"/>
  <c r="AE22" i="15"/>
  <c r="AM13" i="15" s="1"/>
  <c r="AE25" i="15"/>
  <c r="AM16" i="15" s="1"/>
  <c r="V31" i="15"/>
  <c r="AM40" i="15"/>
  <c r="AM38" i="15"/>
  <c r="V29" i="15"/>
  <c r="AE23" i="15"/>
  <c r="AM14" i="15" s="1"/>
  <c r="W31" i="15" l="1"/>
  <c r="X31" i="15" s="1"/>
  <c r="Y31" i="15" s="1"/>
  <c r="AA31" i="15" s="1"/>
  <c r="AB31" i="15" s="1"/>
  <c r="AC31" i="15" s="1"/>
  <c r="AN31" i="15"/>
  <c r="AN29" i="15"/>
  <c r="W29" i="15"/>
  <c r="X29" i="15" s="1"/>
  <c r="Y29" i="15" s="1"/>
  <c r="AA29" i="15" s="1"/>
  <c r="AB29" i="15" s="1"/>
  <c r="AC29" i="15" s="1"/>
  <c r="AM36" i="15"/>
  <c r="AM27" i="15"/>
  <c r="AM18" i="15"/>
  <c r="AN30" i="15"/>
  <c r="W30" i="15"/>
  <c r="X30" i="15" s="1"/>
  <c r="Y30" i="15" s="1"/>
  <c r="AA30" i="15" s="1"/>
  <c r="AB30" i="15" s="1"/>
  <c r="AC30" i="15" s="1"/>
  <c r="AN28" i="15"/>
  <c r="W28" i="15"/>
  <c r="X28" i="15" s="1"/>
  <c r="Y28" i="15" s="1"/>
  <c r="AA28" i="15" s="1"/>
  <c r="AB28" i="15" s="1"/>
  <c r="AC28" i="15" s="1"/>
  <c r="AF29" i="15" l="1"/>
  <c r="AN20" i="15" s="1"/>
  <c r="AD29" i="15"/>
  <c r="AF28" i="15"/>
  <c r="AN19" i="15" s="1"/>
  <c r="AD28" i="15"/>
  <c r="AF30" i="15"/>
  <c r="AN21" i="15" s="1"/>
  <c r="AD30" i="15"/>
  <c r="AF31" i="15"/>
  <c r="AN22" i="15" s="1"/>
  <c r="AD31" i="15"/>
  <c r="AE31" i="15" l="1"/>
  <c r="AN16" i="15" s="1"/>
  <c r="AN40" i="15"/>
  <c r="V37" i="15"/>
  <c r="V35" i="15"/>
  <c r="AN38" i="15"/>
  <c r="AE29" i="15"/>
  <c r="AN14" i="15" s="1"/>
  <c r="AN39" i="15"/>
  <c r="V36" i="15"/>
  <c r="AE30" i="15"/>
  <c r="AN15" i="15" s="1"/>
  <c r="AN37" i="15"/>
  <c r="V34" i="15"/>
  <c r="AE28" i="15"/>
  <c r="AN13" i="15" s="1"/>
  <c r="W36" i="15" l="1"/>
  <c r="X36" i="15" s="1"/>
  <c r="Y36" i="15" s="1"/>
  <c r="AA36" i="15" s="1"/>
  <c r="AB36" i="15" s="1"/>
  <c r="AC36" i="15" s="1"/>
  <c r="AO30" i="15"/>
  <c r="W34" i="15"/>
  <c r="X34" i="15" s="1"/>
  <c r="Y34" i="15" s="1"/>
  <c r="AA34" i="15" s="1"/>
  <c r="AB34" i="15" s="1"/>
  <c r="AC34" i="15" s="1"/>
  <c r="AO28" i="15"/>
  <c r="W37" i="15"/>
  <c r="X37" i="15" s="1"/>
  <c r="Y37" i="15" s="1"/>
  <c r="AA37" i="15" s="1"/>
  <c r="AB37" i="15" s="1"/>
  <c r="AC37" i="15" s="1"/>
  <c r="AO31" i="15"/>
  <c r="AO29" i="15"/>
  <c r="W35" i="15"/>
  <c r="X35" i="15" s="1"/>
  <c r="Y35" i="15" s="1"/>
  <c r="AA35" i="15" s="1"/>
  <c r="AB35" i="15" s="1"/>
  <c r="AC35" i="15" s="1"/>
  <c r="AN27" i="15"/>
  <c r="AN36" i="15"/>
  <c r="AN18" i="15"/>
  <c r="AF34" i="15" l="1"/>
  <c r="AO19" i="15" s="1"/>
  <c r="AD34" i="15"/>
  <c r="AF35" i="15"/>
  <c r="AO20" i="15" s="1"/>
  <c r="AD35" i="15"/>
  <c r="AF37" i="15"/>
  <c r="AO22" i="15" s="1"/>
  <c r="AD37" i="15"/>
  <c r="AF36" i="15"/>
  <c r="AO21" i="15" s="1"/>
  <c r="AD36" i="15"/>
  <c r="AE36" i="15" l="1"/>
  <c r="AO15" i="15" s="1"/>
  <c r="AO39" i="15"/>
  <c r="V42" i="15"/>
  <c r="AO40" i="15"/>
  <c r="AE37" i="15"/>
  <c r="AO16" i="15" s="1"/>
  <c r="V43" i="15"/>
  <c r="V41" i="15"/>
  <c r="AE35" i="15"/>
  <c r="AO14" i="15" s="1"/>
  <c r="AO38" i="15"/>
  <c r="AO37" i="15"/>
  <c r="V40" i="15"/>
  <c r="AE34" i="15"/>
  <c r="AO13" i="15" s="1"/>
  <c r="W41" i="15" l="1"/>
  <c r="X41" i="15" s="1"/>
  <c r="Y41" i="15" s="1"/>
  <c r="AA41" i="15" s="1"/>
  <c r="AB41" i="15" s="1"/>
  <c r="AC41" i="15" s="1"/>
  <c r="AP29" i="15"/>
  <c r="W43" i="15"/>
  <c r="X43" i="15" s="1"/>
  <c r="Y43" i="15" s="1"/>
  <c r="AA43" i="15" s="1"/>
  <c r="AB43" i="15" s="1"/>
  <c r="AC43" i="15" s="1"/>
  <c r="AP31" i="15"/>
  <c r="W40" i="15"/>
  <c r="X40" i="15" s="1"/>
  <c r="Y40" i="15" s="1"/>
  <c r="AA40" i="15" s="1"/>
  <c r="AB40" i="15" s="1"/>
  <c r="AC40" i="15" s="1"/>
  <c r="AP28" i="15"/>
  <c r="W42" i="15"/>
  <c r="X42" i="15" s="1"/>
  <c r="Y42" i="15" s="1"/>
  <c r="AA42" i="15" s="1"/>
  <c r="AB42" i="15" s="1"/>
  <c r="AC42" i="15" s="1"/>
  <c r="AP30" i="15"/>
  <c r="AO18" i="15"/>
  <c r="AO27" i="15"/>
  <c r="AO36" i="15"/>
  <c r="AF42" i="15" l="1"/>
  <c r="AP21" i="15" s="1"/>
  <c r="AD42" i="15"/>
  <c r="AF43" i="15"/>
  <c r="AP22" i="15" s="1"/>
  <c r="AD43" i="15"/>
  <c r="AF40" i="15"/>
  <c r="AP19" i="15" s="1"/>
  <c r="AD40" i="15"/>
  <c r="AF41" i="15"/>
  <c r="AP20" i="15" s="1"/>
  <c r="AD41" i="15"/>
  <c r="AP38" i="15" l="1"/>
  <c r="AE41" i="15"/>
  <c r="AP14" i="15" s="1"/>
  <c r="V47" i="15"/>
  <c r="AE42" i="15"/>
  <c r="AP15" i="15" s="1"/>
  <c r="AP39" i="15"/>
  <c r="V48" i="15"/>
  <c r="AP40" i="15"/>
  <c r="V49" i="15"/>
  <c r="AE43" i="15"/>
  <c r="AP16" i="15" s="1"/>
  <c r="AP37" i="15"/>
  <c r="V46" i="15"/>
  <c r="AE40" i="15"/>
  <c r="AP13" i="15" s="1"/>
  <c r="AQ29" i="15" l="1"/>
  <c r="W47" i="15"/>
  <c r="X47" i="15" s="1"/>
  <c r="Y47" i="15" s="1"/>
  <c r="AA47" i="15" s="1"/>
  <c r="AB47" i="15" s="1"/>
  <c r="AC47" i="15" s="1"/>
  <c r="AQ31" i="15"/>
  <c r="W49" i="15"/>
  <c r="X49" i="15" s="1"/>
  <c r="Y49" i="15" s="1"/>
  <c r="AA49" i="15" s="1"/>
  <c r="AB49" i="15" s="1"/>
  <c r="AC49" i="15" s="1"/>
  <c r="AQ28" i="15"/>
  <c r="W46" i="15"/>
  <c r="X46" i="15" s="1"/>
  <c r="Y46" i="15" s="1"/>
  <c r="AA46" i="15" s="1"/>
  <c r="AB46" i="15" s="1"/>
  <c r="AC46" i="15" s="1"/>
  <c r="W48" i="15"/>
  <c r="X48" i="15" s="1"/>
  <c r="Y48" i="15" s="1"/>
  <c r="AA48" i="15" s="1"/>
  <c r="AB48" i="15" s="1"/>
  <c r="AC48" i="15" s="1"/>
  <c r="AQ30" i="15"/>
  <c r="AP27" i="15"/>
  <c r="AP18" i="15"/>
  <c r="AP36" i="15"/>
  <c r="AF48" i="15" l="1"/>
  <c r="AQ21" i="15" s="1"/>
  <c r="AD48" i="15"/>
  <c r="AF49" i="15"/>
  <c r="AQ22" i="15" s="1"/>
  <c r="AD49" i="15"/>
  <c r="AF46" i="15"/>
  <c r="AQ19" i="15" s="1"/>
  <c r="AD46" i="15"/>
  <c r="AF47" i="15"/>
  <c r="AQ20" i="15" s="1"/>
  <c r="AD47" i="15"/>
  <c r="AE47" i="15" l="1"/>
  <c r="AQ14" i="15" s="1"/>
  <c r="V53" i="15"/>
  <c r="AQ38" i="15"/>
  <c r="AE46" i="15"/>
  <c r="AQ13" i="15" s="1"/>
  <c r="V52" i="15"/>
  <c r="AQ37" i="15"/>
  <c r="AE49" i="15"/>
  <c r="AQ16" i="15" s="1"/>
  <c r="AQ40" i="15"/>
  <c r="V55" i="15"/>
  <c r="AE48" i="15"/>
  <c r="AQ15" i="15" s="1"/>
  <c r="V54" i="15"/>
  <c r="AQ39" i="15"/>
  <c r="AQ27" i="15" l="1"/>
  <c r="AQ18" i="15"/>
  <c r="AQ36" i="15"/>
  <c r="W53" i="15"/>
  <c r="X53" i="15" s="1"/>
  <c r="Y53" i="15" s="1"/>
  <c r="AA53" i="15" s="1"/>
  <c r="AB53" i="15" s="1"/>
  <c r="AC53" i="15" s="1"/>
  <c r="AR29" i="15"/>
  <c r="W54" i="15"/>
  <c r="X54" i="15" s="1"/>
  <c r="Y54" i="15" s="1"/>
  <c r="AA54" i="15" s="1"/>
  <c r="AB54" i="15" s="1"/>
  <c r="AC54" i="15" s="1"/>
  <c r="AR30" i="15"/>
  <c r="AR31" i="15"/>
  <c r="W55" i="15"/>
  <c r="X55" i="15" s="1"/>
  <c r="Y55" i="15" s="1"/>
  <c r="AA55" i="15" s="1"/>
  <c r="AB55" i="15" s="1"/>
  <c r="AC55" i="15" s="1"/>
  <c r="W52" i="15"/>
  <c r="X52" i="15" s="1"/>
  <c r="Y52" i="15" s="1"/>
  <c r="AA52" i="15" s="1"/>
  <c r="AB52" i="15" s="1"/>
  <c r="AC52" i="15" s="1"/>
  <c r="AR28" i="15"/>
  <c r="E10" i="15" l="1"/>
  <c r="AJ34" i="15"/>
  <c r="AF53" i="15"/>
  <c r="AR20" i="15" s="1"/>
  <c r="AD53" i="15"/>
  <c r="AF52" i="15"/>
  <c r="AR19" i="15" s="1"/>
  <c r="AD52" i="15"/>
  <c r="AF54" i="15"/>
  <c r="AR21" i="15" s="1"/>
  <c r="AD54" i="15"/>
  <c r="AF55" i="15"/>
  <c r="AR22" i="15" s="1"/>
  <c r="AD55" i="15"/>
  <c r="AE53" i="15" l="1"/>
  <c r="AR14" i="15" s="1"/>
  <c r="AR38" i="15"/>
  <c r="AE55" i="15"/>
  <c r="AR16" i="15" s="1"/>
  <c r="AR40" i="15"/>
  <c r="AJ43" i="15" s="1"/>
  <c r="AE54" i="15"/>
  <c r="AR15" i="15" s="1"/>
  <c r="AR39" i="15"/>
  <c r="AR37" i="15"/>
  <c r="AE52" i="15"/>
  <c r="AR13" i="15" s="1"/>
  <c r="H14" i="15"/>
  <c r="AJ25" i="15"/>
  <c r="AR36" i="15" l="1"/>
  <c r="AR18" i="15"/>
  <c r="AR27" i="15"/>
  <c r="H24" i="15"/>
  <c r="E5" i="15" s="1"/>
  <c r="D40" i="15" l="1"/>
  <c r="E4" i="15"/>
  <c r="J5" i="15"/>
  <c r="D37" i="15" s="1"/>
  <c r="D38" i="15" s="1"/>
  <c r="I6" i="19" l="1"/>
  <c r="I158" i="19" s="1"/>
  <c r="K158" i="19" s="1"/>
  <c r="H2" i="14"/>
  <c r="D42" i="15"/>
  <c r="I57" i="19" l="1"/>
  <c r="K57" i="19" s="1"/>
  <c r="I134" i="19"/>
  <c r="K134" i="19" s="1"/>
  <c r="O134" i="19" s="1"/>
  <c r="I113" i="19"/>
  <c r="K113" i="19" s="1"/>
  <c r="O113" i="19" s="1"/>
  <c r="I32" i="19"/>
  <c r="K32" i="19" s="1"/>
  <c r="O32" i="19" s="1"/>
  <c r="I68" i="19"/>
  <c r="K68" i="19" s="1"/>
  <c r="O68" i="19" s="1"/>
  <c r="I223" i="19"/>
  <c r="K223" i="19" s="1"/>
  <c r="O223" i="19" s="1"/>
  <c r="I11" i="19"/>
  <c r="K11" i="19" s="1"/>
  <c r="I34" i="19"/>
  <c r="K34" i="19" s="1"/>
  <c r="O34" i="19" s="1"/>
  <c r="I202" i="19"/>
  <c r="K202" i="19" s="1"/>
  <c r="O202" i="19" s="1"/>
  <c r="I63" i="19"/>
  <c r="K63" i="19" s="1"/>
  <c r="O63" i="19" s="1"/>
  <c r="I29" i="19"/>
  <c r="K29" i="19" s="1"/>
  <c r="O29" i="19" s="1"/>
  <c r="I35" i="19"/>
  <c r="K35" i="19" s="1"/>
  <c r="O35" i="19" s="1"/>
  <c r="I159" i="19"/>
  <c r="K159" i="19" s="1"/>
  <c r="O159" i="19" s="1"/>
  <c r="I112" i="19"/>
  <c r="K112" i="19" s="1"/>
  <c r="O112" i="19" s="1"/>
  <c r="I78" i="19"/>
  <c r="K78" i="19" s="1"/>
  <c r="O78" i="19" s="1"/>
  <c r="I165" i="19"/>
  <c r="K165" i="19" s="1"/>
  <c r="O165" i="19" s="1"/>
  <c r="I73" i="19"/>
  <c r="K73" i="19" s="1"/>
  <c r="O73" i="19" s="1"/>
  <c r="I128" i="19"/>
  <c r="K128" i="19" s="1"/>
  <c r="O128" i="19" s="1"/>
  <c r="I94" i="19"/>
  <c r="K94" i="19" s="1"/>
  <c r="O94" i="19" s="1"/>
  <c r="I85" i="19"/>
  <c r="K85" i="19" s="1"/>
  <c r="O85" i="19" s="1"/>
  <c r="I79" i="19"/>
  <c r="K79" i="19" s="1"/>
  <c r="O79" i="19" s="1"/>
  <c r="I89" i="19"/>
  <c r="K89" i="19" s="1"/>
  <c r="O89" i="19" s="1"/>
  <c r="I129" i="19"/>
  <c r="K129" i="19" s="1"/>
  <c r="O129" i="19" s="1"/>
  <c r="I191" i="19"/>
  <c r="K191" i="19" s="1"/>
  <c r="O191" i="19" s="1"/>
  <c r="I41" i="19"/>
  <c r="K41" i="19" s="1"/>
  <c r="O41" i="19" s="1"/>
  <c r="I13" i="19"/>
  <c r="K13" i="19" s="1"/>
  <c r="O13" i="19" s="1"/>
  <c r="I88" i="19"/>
  <c r="K88" i="19" s="1"/>
  <c r="O88" i="19" s="1"/>
  <c r="I132" i="19"/>
  <c r="K132" i="19" s="1"/>
  <c r="O132" i="19" s="1"/>
  <c r="I182" i="19"/>
  <c r="K182" i="19" s="1"/>
  <c r="O182" i="19" s="1"/>
  <c r="I81" i="19"/>
  <c r="K81" i="19" s="1"/>
  <c r="O81" i="19" s="1"/>
  <c r="I15" i="19"/>
  <c r="K15" i="19" s="1"/>
  <c r="O15" i="19" s="1"/>
  <c r="I114" i="19"/>
  <c r="K114" i="19" s="1"/>
  <c r="O114" i="19" s="1"/>
  <c r="I168" i="19"/>
  <c r="K168" i="19" s="1"/>
  <c r="O168" i="19" s="1"/>
  <c r="I179" i="19"/>
  <c r="K179" i="19" s="1"/>
  <c r="O179" i="19" s="1"/>
  <c r="I107" i="19"/>
  <c r="K107" i="19" s="1"/>
  <c r="O107" i="19" s="1"/>
  <c r="I44" i="19"/>
  <c r="K44" i="19" s="1"/>
  <c r="O44" i="19" s="1"/>
  <c r="I117" i="19"/>
  <c r="K117" i="19" s="1"/>
  <c r="O117" i="19" s="1"/>
  <c r="I171" i="19"/>
  <c r="K171" i="19" s="1"/>
  <c r="O171" i="19" s="1"/>
  <c r="I21" i="19"/>
  <c r="K21" i="19" s="1"/>
  <c r="O21" i="19" s="1"/>
  <c r="I84" i="19"/>
  <c r="K84" i="19" s="1"/>
  <c r="O84" i="19" s="1"/>
  <c r="I174" i="19"/>
  <c r="K174" i="19" s="1"/>
  <c r="O174" i="19" s="1"/>
  <c r="I69" i="19"/>
  <c r="K69" i="19" s="1"/>
  <c r="O69" i="19" s="1"/>
  <c r="I31" i="19"/>
  <c r="K31" i="19" s="1"/>
  <c r="O31" i="19" s="1"/>
  <c r="I164" i="19"/>
  <c r="K164" i="19" s="1"/>
  <c r="O164" i="19" s="1"/>
  <c r="I185" i="19"/>
  <c r="K185" i="19" s="1"/>
  <c r="O185" i="19" s="1"/>
  <c r="I20" i="19"/>
  <c r="K20" i="19" s="1"/>
  <c r="O20" i="19" s="1"/>
  <c r="I12" i="19"/>
  <c r="K12" i="19" s="1"/>
  <c r="O12" i="19" s="1"/>
  <c r="I93" i="19"/>
  <c r="K93" i="19" s="1"/>
  <c r="O93" i="19" s="1"/>
  <c r="I145" i="19"/>
  <c r="K145" i="19" s="1"/>
  <c r="O145" i="19" s="1"/>
  <c r="I42" i="19"/>
  <c r="K42" i="19" s="1"/>
  <c r="O42" i="19" s="1"/>
  <c r="I37" i="19"/>
  <c r="K37" i="19" s="1"/>
  <c r="O37" i="19" s="1"/>
  <c r="I64" i="19"/>
  <c r="K64" i="19" s="1"/>
  <c r="O64" i="19" s="1"/>
  <c r="I104" i="19"/>
  <c r="K104" i="19" s="1"/>
  <c r="O104" i="19" s="1"/>
  <c r="I148" i="19"/>
  <c r="K148" i="19" s="1"/>
  <c r="O148" i="19" s="1"/>
  <c r="I198" i="19"/>
  <c r="K198" i="19" s="1"/>
  <c r="O198" i="19" s="1"/>
  <c r="I149" i="19"/>
  <c r="K149" i="19" s="1"/>
  <c r="O149" i="19" s="1"/>
  <c r="I70" i="19"/>
  <c r="K70" i="19" s="1"/>
  <c r="O70" i="19" s="1"/>
  <c r="I118" i="19"/>
  <c r="K118" i="19" s="1"/>
  <c r="O118" i="19" s="1"/>
  <c r="I184" i="19"/>
  <c r="K184" i="19" s="1"/>
  <c r="O184" i="19" s="1"/>
  <c r="I30" i="19"/>
  <c r="K30" i="19" s="1"/>
  <c r="O30" i="19" s="1"/>
  <c r="I123" i="19"/>
  <c r="K123" i="19" s="1"/>
  <c r="O123" i="19" s="1"/>
  <c r="I175" i="19"/>
  <c r="K175" i="19" s="1"/>
  <c r="O175" i="19" s="1"/>
  <c r="I54" i="19"/>
  <c r="K54" i="19" s="1"/>
  <c r="O54" i="19" s="1"/>
  <c r="I98" i="19"/>
  <c r="K98" i="19" s="1"/>
  <c r="O98" i="19" s="1"/>
  <c r="I142" i="19"/>
  <c r="K142" i="19" s="1"/>
  <c r="O142" i="19" s="1"/>
  <c r="I188" i="19"/>
  <c r="K188" i="19" s="1"/>
  <c r="O188" i="19" s="1"/>
  <c r="I101" i="19"/>
  <c r="K101" i="19" s="1"/>
  <c r="O101" i="19" s="1"/>
  <c r="I18" i="19"/>
  <c r="K18" i="19" s="1"/>
  <c r="O18" i="19" s="1"/>
  <c r="I83" i="19"/>
  <c r="K83" i="19" s="1"/>
  <c r="O83" i="19" s="1"/>
  <c r="I127" i="19"/>
  <c r="K127" i="19" s="1"/>
  <c r="O127" i="19" s="1"/>
  <c r="I197" i="19"/>
  <c r="K197" i="19" s="1"/>
  <c r="O197" i="19" s="1"/>
  <c r="I222" i="19"/>
  <c r="K222" i="19" s="1"/>
  <c r="I163" i="19"/>
  <c r="K163" i="19" s="1"/>
  <c r="O163" i="19" s="1"/>
  <c r="I59" i="19"/>
  <c r="K59" i="19" s="1"/>
  <c r="O59" i="19" s="1"/>
  <c r="I99" i="19"/>
  <c r="K99" i="19" s="1"/>
  <c r="O99" i="19" s="1"/>
  <c r="I147" i="19"/>
  <c r="K147" i="19" s="1"/>
  <c r="O147" i="19" s="1"/>
  <c r="I52" i="19"/>
  <c r="K52" i="19" s="1"/>
  <c r="O52" i="19" s="1"/>
  <c r="I72" i="19"/>
  <c r="K72" i="19" s="1"/>
  <c r="O72" i="19" s="1"/>
  <c r="I96" i="19"/>
  <c r="K96" i="19" s="1"/>
  <c r="O96" i="19" s="1"/>
  <c r="I116" i="19"/>
  <c r="K116" i="19" s="1"/>
  <c r="O116" i="19" s="1"/>
  <c r="I136" i="19"/>
  <c r="K136" i="19" s="1"/>
  <c r="O136" i="19" s="1"/>
  <c r="I166" i="19"/>
  <c r="K166" i="19" s="1"/>
  <c r="O166" i="19" s="1"/>
  <c r="I186" i="19"/>
  <c r="K186" i="19" s="1"/>
  <c r="O186" i="19" s="1"/>
  <c r="I36" i="19"/>
  <c r="K36" i="19" s="1"/>
  <c r="O36" i="19" s="1"/>
  <c r="I109" i="19"/>
  <c r="K109" i="19" s="1"/>
  <c r="O109" i="19" s="1"/>
  <c r="I187" i="19"/>
  <c r="K187" i="19" s="1"/>
  <c r="O187" i="19" s="1"/>
  <c r="I27" i="19"/>
  <c r="K27" i="19" s="1"/>
  <c r="O27" i="19" s="1"/>
  <c r="I62" i="19"/>
  <c r="K62" i="19" s="1"/>
  <c r="O62" i="19" s="1"/>
  <c r="I82" i="19"/>
  <c r="K82" i="19" s="1"/>
  <c r="O82" i="19" s="1"/>
  <c r="I102" i="19"/>
  <c r="K102" i="19" s="1"/>
  <c r="O102" i="19" s="1"/>
  <c r="I126" i="19"/>
  <c r="K126" i="19" s="1"/>
  <c r="O126" i="19" s="1"/>
  <c r="I146" i="19"/>
  <c r="K146" i="19" s="1"/>
  <c r="O146" i="19" s="1"/>
  <c r="I172" i="19"/>
  <c r="K172" i="19" s="1"/>
  <c r="O172" i="19" s="1"/>
  <c r="I196" i="19"/>
  <c r="K196" i="19" s="1"/>
  <c r="O196" i="19" s="1"/>
  <c r="I16" i="19"/>
  <c r="K16" i="19" s="1"/>
  <c r="O16" i="19" s="1"/>
  <c r="I125" i="19"/>
  <c r="K125" i="19" s="1"/>
  <c r="O125" i="19" s="1"/>
  <c r="I39" i="19"/>
  <c r="K39" i="19" s="1"/>
  <c r="O39" i="19" s="1"/>
  <c r="I14" i="19"/>
  <c r="K14" i="19" s="1"/>
  <c r="O14" i="19" s="1"/>
  <c r="I67" i="19"/>
  <c r="K67" i="19" s="1"/>
  <c r="O67" i="19" s="1"/>
  <c r="I91" i="19"/>
  <c r="K91" i="19" s="1"/>
  <c r="O91" i="19" s="1"/>
  <c r="I111" i="19"/>
  <c r="K111" i="19" s="1"/>
  <c r="O111" i="19" s="1"/>
  <c r="I139" i="19"/>
  <c r="K139" i="19" s="1"/>
  <c r="O139" i="19" s="1"/>
  <c r="I169" i="19"/>
  <c r="K169" i="19" s="1"/>
  <c r="O169" i="19" s="1"/>
  <c r="I25" i="19"/>
  <c r="K25" i="19" s="1"/>
  <c r="O25" i="19" s="1"/>
  <c r="I56" i="19"/>
  <c r="K56" i="19" s="1"/>
  <c r="O56" i="19" s="1"/>
  <c r="I80" i="19"/>
  <c r="K80" i="19" s="1"/>
  <c r="O80" i="19" s="1"/>
  <c r="I100" i="19"/>
  <c r="K100" i="19" s="1"/>
  <c r="O100" i="19" s="1"/>
  <c r="I120" i="19"/>
  <c r="K120" i="19" s="1"/>
  <c r="O120" i="19" s="1"/>
  <c r="I144" i="19"/>
  <c r="K144" i="19" s="1"/>
  <c r="O144" i="19" s="1"/>
  <c r="I170" i="19"/>
  <c r="K170" i="19" s="1"/>
  <c r="O170" i="19" s="1"/>
  <c r="I190" i="19"/>
  <c r="K190" i="19" s="1"/>
  <c r="O190" i="19" s="1"/>
  <c r="I53" i="19"/>
  <c r="K53" i="19" s="1"/>
  <c r="O53" i="19" s="1"/>
  <c r="I121" i="19"/>
  <c r="K121" i="19" s="1"/>
  <c r="O121" i="19" s="1"/>
  <c r="I195" i="19"/>
  <c r="K195" i="19" s="1"/>
  <c r="O195" i="19" s="1"/>
  <c r="I19" i="19"/>
  <c r="K19" i="19" s="1"/>
  <c r="O19" i="19" s="1"/>
  <c r="I66" i="19"/>
  <c r="K66" i="19" s="1"/>
  <c r="O66" i="19" s="1"/>
  <c r="I86" i="19"/>
  <c r="K86" i="19" s="1"/>
  <c r="O86" i="19" s="1"/>
  <c r="I110" i="19"/>
  <c r="K110" i="19" s="1"/>
  <c r="O110" i="19" s="1"/>
  <c r="I130" i="19"/>
  <c r="K130" i="19" s="1"/>
  <c r="O130" i="19" s="1"/>
  <c r="I150" i="19"/>
  <c r="K150" i="19" s="1"/>
  <c r="O150" i="19" s="1"/>
  <c r="I180" i="19"/>
  <c r="K180" i="19" s="1"/>
  <c r="O180" i="19" s="1"/>
  <c r="I200" i="19"/>
  <c r="K200" i="19" s="1"/>
  <c r="O200" i="19" s="1"/>
  <c r="I61" i="19"/>
  <c r="K61" i="19" s="1"/>
  <c r="O61" i="19" s="1"/>
  <c r="I141" i="19"/>
  <c r="K141" i="19" s="1"/>
  <c r="O141" i="19" s="1"/>
  <c r="I38" i="19"/>
  <c r="K38" i="19" s="1"/>
  <c r="O38" i="19" s="1"/>
  <c r="I51" i="19"/>
  <c r="K51" i="19" s="1"/>
  <c r="I75" i="19"/>
  <c r="K75" i="19" s="1"/>
  <c r="O75" i="19" s="1"/>
  <c r="I95" i="19"/>
  <c r="K95" i="19" s="1"/>
  <c r="O95" i="19" s="1"/>
  <c r="I115" i="19"/>
  <c r="K115" i="19" s="1"/>
  <c r="O115" i="19" s="1"/>
  <c r="I143" i="19"/>
  <c r="K143" i="19" s="1"/>
  <c r="O143" i="19" s="1"/>
  <c r="I177" i="19"/>
  <c r="K177" i="19" s="1"/>
  <c r="O177" i="19" s="1"/>
  <c r="I131" i="19"/>
  <c r="K131" i="19" s="1"/>
  <c r="O131" i="19" s="1"/>
  <c r="I161" i="19"/>
  <c r="K161" i="19" s="1"/>
  <c r="O161" i="19" s="1"/>
  <c r="I181" i="19"/>
  <c r="K181" i="19" s="1"/>
  <c r="O181" i="19" s="1"/>
  <c r="I201" i="19"/>
  <c r="K201" i="19" s="1"/>
  <c r="O201" i="19" s="1"/>
  <c r="I193" i="19"/>
  <c r="K193" i="19" s="1"/>
  <c r="O193" i="19" s="1"/>
  <c r="I28" i="19"/>
  <c r="K28" i="19" s="1"/>
  <c r="O28" i="19" s="1"/>
  <c r="I65" i="19"/>
  <c r="K65" i="19" s="1"/>
  <c r="O65" i="19" s="1"/>
  <c r="I105" i="19"/>
  <c r="K105" i="19" s="1"/>
  <c r="O105" i="19" s="1"/>
  <c r="I137" i="19"/>
  <c r="K137" i="19" s="1"/>
  <c r="O137" i="19" s="1"/>
  <c r="I183" i="19"/>
  <c r="K183" i="19" s="1"/>
  <c r="O183" i="19" s="1"/>
  <c r="I26" i="19"/>
  <c r="K26" i="19" s="1"/>
  <c r="O26" i="19" s="1"/>
  <c r="I33" i="19"/>
  <c r="K33" i="19" s="1"/>
  <c r="O33" i="19" s="1"/>
  <c r="I17" i="19"/>
  <c r="K17" i="19" s="1"/>
  <c r="O17" i="19" s="1"/>
  <c r="I60" i="19"/>
  <c r="K60" i="19" s="1"/>
  <c r="O60" i="19" s="1"/>
  <c r="I76" i="19"/>
  <c r="K76" i="19" s="1"/>
  <c r="O76" i="19" s="1"/>
  <c r="I92" i="19"/>
  <c r="K92" i="19" s="1"/>
  <c r="O92" i="19" s="1"/>
  <c r="I108" i="19"/>
  <c r="K108" i="19" s="1"/>
  <c r="O108" i="19" s="1"/>
  <c r="I124" i="19"/>
  <c r="K124" i="19" s="1"/>
  <c r="O124" i="19" s="1"/>
  <c r="I140" i="19"/>
  <c r="K140" i="19" s="1"/>
  <c r="O140" i="19" s="1"/>
  <c r="I162" i="19"/>
  <c r="K162" i="19" s="1"/>
  <c r="O162" i="19" s="1"/>
  <c r="I178" i="19"/>
  <c r="K178" i="19" s="1"/>
  <c r="O178" i="19" s="1"/>
  <c r="I194" i="19"/>
  <c r="K194" i="19" s="1"/>
  <c r="O194" i="19" s="1"/>
  <c r="I24" i="19"/>
  <c r="K24" i="19" s="1"/>
  <c r="O24" i="19" s="1"/>
  <c r="I97" i="19"/>
  <c r="K97" i="19" s="1"/>
  <c r="O97" i="19" s="1"/>
  <c r="I167" i="19"/>
  <c r="K167" i="19" s="1"/>
  <c r="O167" i="19" s="1"/>
  <c r="I43" i="19"/>
  <c r="K43" i="19" s="1"/>
  <c r="O43" i="19" s="1"/>
  <c r="I23" i="19"/>
  <c r="K23" i="19" s="1"/>
  <c r="O23" i="19" s="1"/>
  <c r="I58" i="19"/>
  <c r="K58" i="19" s="1"/>
  <c r="O58" i="19" s="1"/>
  <c r="I74" i="19"/>
  <c r="K74" i="19" s="1"/>
  <c r="O74" i="19" s="1"/>
  <c r="I90" i="19"/>
  <c r="K90" i="19" s="1"/>
  <c r="O90" i="19" s="1"/>
  <c r="I106" i="19"/>
  <c r="K106" i="19" s="1"/>
  <c r="O106" i="19" s="1"/>
  <c r="I122" i="19"/>
  <c r="K122" i="19" s="1"/>
  <c r="O122" i="19" s="1"/>
  <c r="I138" i="19"/>
  <c r="K138" i="19" s="1"/>
  <c r="O138" i="19" s="1"/>
  <c r="I160" i="19"/>
  <c r="K160" i="19" s="1"/>
  <c r="O160" i="19" s="1"/>
  <c r="I176" i="19"/>
  <c r="K176" i="19" s="1"/>
  <c r="O176" i="19" s="1"/>
  <c r="I192" i="19"/>
  <c r="K192" i="19" s="1"/>
  <c r="O192" i="19" s="1"/>
  <c r="I40" i="19"/>
  <c r="K40" i="19" s="1"/>
  <c r="O40" i="19" s="1"/>
  <c r="I77" i="19"/>
  <c r="K77" i="19" s="1"/>
  <c r="O77" i="19" s="1"/>
  <c r="I133" i="19"/>
  <c r="K133" i="19" s="1"/>
  <c r="O133" i="19" s="1"/>
  <c r="I199" i="19"/>
  <c r="K199" i="19" s="1"/>
  <c r="O199" i="19" s="1"/>
  <c r="I22" i="19"/>
  <c r="K22" i="19" s="1"/>
  <c r="O22" i="19" s="1"/>
  <c r="I55" i="19"/>
  <c r="K55" i="19" s="1"/>
  <c r="O55" i="19" s="1"/>
  <c r="I71" i="19"/>
  <c r="K71" i="19" s="1"/>
  <c r="O71" i="19" s="1"/>
  <c r="I87" i="19"/>
  <c r="K87" i="19" s="1"/>
  <c r="O87" i="19" s="1"/>
  <c r="I103" i="19"/>
  <c r="K103" i="19" s="1"/>
  <c r="O103" i="19" s="1"/>
  <c r="I119" i="19"/>
  <c r="K119" i="19" s="1"/>
  <c r="O119" i="19" s="1"/>
  <c r="I135" i="19"/>
  <c r="K135" i="19" s="1"/>
  <c r="O135" i="19" s="1"/>
  <c r="I151" i="19"/>
  <c r="K151" i="19" s="1"/>
  <c r="O151" i="19" s="1"/>
  <c r="I173" i="19"/>
  <c r="K173" i="19" s="1"/>
  <c r="O173" i="19" s="1"/>
  <c r="I189" i="19"/>
  <c r="K189" i="19" s="1"/>
  <c r="O189" i="19" s="1"/>
  <c r="F239" i="14"/>
  <c r="H239" i="14" s="1"/>
  <c r="F242" i="14"/>
  <c r="H242" i="14" s="1"/>
  <c r="F245" i="14"/>
  <c r="H245" i="14" s="1"/>
  <c r="F251" i="14"/>
  <c r="H251" i="14" s="1"/>
  <c r="F248" i="14"/>
  <c r="H248" i="14" s="1"/>
  <c r="F11" i="14"/>
  <c r="H11" i="14" s="1"/>
  <c r="F362" i="14"/>
  <c r="H362" i="14" s="1"/>
  <c r="O57" i="19"/>
  <c r="M158" i="19"/>
  <c r="M68" i="19"/>
  <c r="M41" i="19" l="1"/>
  <c r="M79" i="19"/>
  <c r="M57" i="19"/>
  <c r="M223" i="19"/>
  <c r="M112" i="19"/>
  <c r="M129" i="19"/>
  <c r="M11" i="19"/>
  <c r="M134" i="19"/>
  <c r="M84" i="19"/>
  <c r="M113" i="19"/>
  <c r="M34" i="19"/>
  <c r="M35" i="19"/>
  <c r="M32" i="19"/>
  <c r="K46" i="19"/>
  <c r="O11" i="19"/>
  <c r="M63" i="19"/>
  <c r="M185" i="19"/>
  <c r="M70" i="19"/>
  <c r="M163" i="19"/>
  <c r="M117" i="19"/>
  <c r="M174" i="19"/>
  <c r="M123" i="19"/>
  <c r="M145" i="19"/>
  <c r="M93" i="19"/>
  <c r="M114" i="19"/>
  <c r="M109" i="19"/>
  <c r="M164" i="19"/>
  <c r="M191" i="19"/>
  <c r="M147" i="19"/>
  <c r="M132" i="19"/>
  <c r="M85" i="19"/>
  <c r="M73" i="19"/>
  <c r="M98" i="19"/>
  <c r="M159" i="19"/>
  <c r="M118" i="19"/>
  <c r="M78" i="19"/>
  <c r="M29" i="19"/>
  <c r="M124" i="19"/>
  <c r="M179" i="19"/>
  <c r="M30" i="19"/>
  <c r="M149" i="19"/>
  <c r="M44" i="19"/>
  <c r="M18" i="19"/>
  <c r="M222" i="19"/>
  <c r="M225" i="19" s="1"/>
  <c r="M202" i="19"/>
  <c r="M64" i="19"/>
  <c r="M88" i="19"/>
  <c r="M15" i="19"/>
  <c r="M104" i="19"/>
  <c r="M168" i="19"/>
  <c r="M52" i="19"/>
  <c r="M107" i="19"/>
  <c r="M182" i="19"/>
  <c r="M184" i="19"/>
  <c r="M198" i="19"/>
  <c r="M122" i="19"/>
  <c r="M37" i="19"/>
  <c r="M31" i="19"/>
  <c r="M94" i="19"/>
  <c r="M21" i="19"/>
  <c r="M165" i="19"/>
  <c r="M92" i="19"/>
  <c r="M151" i="19"/>
  <c r="M105" i="19"/>
  <c r="M12" i="19"/>
  <c r="M42" i="19"/>
  <c r="M188" i="19"/>
  <c r="M81" i="19"/>
  <c r="M69" i="19"/>
  <c r="M148" i="19"/>
  <c r="M89" i="19"/>
  <c r="M128" i="19"/>
  <c r="M13" i="19"/>
  <c r="M20" i="19"/>
  <c r="M171" i="19"/>
  <c r="M127" i="19"/>
  <c r="M59" i="19"/>
  <c r="M175" i="19"/>
  <c r="M166" i="19"/>
  <c r="M28" i="19"/>
  <c r="M86" i="19"/>
  <c r="M72" i="19"/>
  <c r="M102" i="19"/>
  <c r="M187" i="19"/>
  <c r="M144" i="19"/>
  <c r="M160" i="19"/>
  <c r="M38" i="19"/>
  <c r="M189" i="19"/>
  <c r="M194" i="19"/>
  <c r="M121" i="19"/>
  <c r="M39" i="19"/>
  <c r="M180" i="19"/>
  <c r="M142" i="19"/>
  <c r="M183" i="19"/>
  <c r="M136" i="19"/>
  <c r="M83" i="19"/>
  <c r="M77" i="19"/>
  <c r="M43" i="19"/>
  <c r="M115" i="19"/>
  <c r="M172" i="19"/>
  <c r="M111" i="19"/>
  <c r="M82" i="19"/>
  <c r="M56" i="19"/>
  <c r="M199" i="19"/>
  <c r="M192" i="19"/>
  <c r="M97" i="19"/>
  <c r="M162" i="19"/>
  <c r="M61" i="19"/>
  <c r="M190" i="19"/>
  <c r="M197" i="19"/>
  <c r="M87" i="19"/>
  <c r="M58" i="19"/>
  <c r="M27" i="19"/>
  <c r="M101" i="19"/>
  <c r="M130" i="19"/>
  <c r="M126" i="19"/>
  <c r="M96" i="19"/>
  <c r="M201" i="19"/>
  <c r="M169" i="19"/>
  <c r="M99" i="19"/>
  <c r="M67" i="19"/>
  <c r="M16" i="19"/>
  <c r="M100" i="19"/>
  <c r="M177" i="19"/>
  <c r="M33" i="19"/>
  <c r="M54" i="19"/>
  <c r="M25" i="19"/>
  <c r="M173" i="19"/>
  <c r="M131" i="19"/>
  <c r="M146" i="19"/>
  <c r="M103" i="19"/>
  <c r="M143" i="19"/>
  <c r="M200" i="19"/>
  <c r="M170" i="19"/>
  <c r="M23" i="19"/>
  <c r="M195" i="19"/>
  <c r="M51" i="19"/>
  <c r="M14" i="19"/>
  <c r="M139" i="19"/>
  <c r="M110" i="19"/>
  <c r="M26" i="19"/>
  <c r="M196" i="19"/>
  <c r="M80" i="19"/>
  <c r="M138" i="19"/>
  <c r="M178" i="19"/>
  <c r="M17" i="19"/>
  <c r="M36" i="19"/>
  <c r="M91" i="19"/>
  <c r="M141" i="19"/>
  <c r="M22" i="19"/>
  <c r="M74" i="19"/>
  <c r="M167" i="19"/>
  <c r="M108" i="19"/>
  <c r="M150" i="19"/>
  <c r="M120" i="19"/>
  <c r="M95" i="19"/>
  <c r="M66" i="19"/>
  <c r="M40" i="19"/>
  <c r="M137" i="19"/>
  <c r="M125" i="19"/>
  <c r="M116" i="19"/>
  <c r="M193" i="19"/>
  <c r="M62" i="19"/>
  <c r="M53" i="19"/>
  <c r="M19" i="19"/>
  <c r="M186" i="19"/>
  <c r="M75" i="19"/>
  <c r="M119" i="19"/>
  <c r="M90" i="19"/>
  <c r="M24" i="19"/>
  <c r="M60" i="19"/>
  <c r="M181" i="19"/>
  <c r="M161" i="19"/>
  <c r="M55" i="19"/>
  <c r="M135" i="19"/>
  <c r="M71" i="19"/>
  <c r="M133" i="19"/>
  <c r="M176" i="19"/>
  <c r="M106" i="19"/>
  <c r="M140" i="19"/>
  <c r="M76" i="19"/>
  <c r="M65" i="19"/>
  <c r="O46" i="19"/>
  <c r="O51" i="19"/>
  <c r="O153" i="19" s="1"/>
  <c r="K153" i="19"/>
  <c r="O158" i="19"/>
  <c r="O204" i="19" s="1"/>
  <c r="K204" i="19"/>
  <c r="O222" i="19"/>
  <c r="O225" i="19" s="1"/>
  <c r="K225" i="19"/>
  <c r="F308" i="14"/>
  <c r="H308" i="14" s="1"/>
  <c r="F307" i="14"/>
  <c r="H307" i="14" s="1"/>
  <c r="F70" i="14"/>
  <c r="H70" i="14" s="1"/>
  <c r="F140" i="14"/>
  <c r="H140" i="14" s="1"/>
  <c r="F51" i="14"/>
  <c r="H51" i="14" s="1"/>
  <c r="F50" i="14"/>
  <c r="H50" i="14" s="1"/>
  <c r="F46" i="14"/>
  <c r="H46" i="14" s="1"/>
  <c r="F45" i="14"/>
  <c r="H45" i="14" s="1"/>
  <c r="F139" i="14"/>
  <c r="H139" i="14" s="1"/>
  <c r="F138" i="14"/>
  <c r="H138" i="14" s="1"/>
  <c r="F29" i="14"/>
  <c r="H29" i="14" s="1"/>
  <c r="F379" i="14"/>
  <c r="H379" i="14" s="1"/>
  <c r="F377" i="14"/>
  <c r="H377" i="14" s="1"/>
  <c r="F378" i="14"/>
  <c r="H378" i="14" s="1"/>
  <c r="F360" i="14"/>
  <c r="H360" i="14" s="1"/>
  <c r="F354" i="14"/>
  <c r="H354" i="14" s="1"/>
  <c r="F279" i="14"/>
  <c r="H279" i="14" s="1"/>
  <c r="F297" i="14"/>
  <c r="H297" i="14" s="1"/>
  <c r="F284" i="14"/>
  <c r="H284" i="14" s="1"/>
  <c r="F290" i="14"/>
  <c r="H290" i="14" s="1"/>
  <c r="F280" i="14"/>
  <c r="H280" i="14" s="1"/>
  <c r="F272" i="14"/>
  <c r="H272" i="14" s="1"/>
  <c r="F299" i="14"/>
  <c r="H299" i="14" s="1"/>
  <c r="F228" i="14"/>
  <c r="H228" i="14" s="1"/>
  <c r="F227" i="14"/>
  <c r="H227" i="14" s="1"/>
  <c r="F216" i="14"/>
  <c r="H216" i="14" s="1"/>
  <c r="F206" i="14"/>
  <c r="H206" i="14" s="1"/>
  <c r="F187" i="14"/>
  <c r="H187" i="14" s="1"/>
  <c r="F177" i="14"/>
  <c r="H177" i="14" s="1"/>
  <c r="F133" i="14"/>
  <c r="H133" i="14" s="1"/>
  <c r="F69" i="14"/>
  <c r="H69" i="14" s="1"/>
  <c r="F128" i="14"/>
  <c r="H128" i="14" s="1"/>
  <c r="F109" i="14"/>
  <c r="H109" i="14" s="1"/>
  <c r="F373" i="14"/>
  <c r="H373" i="14" s="1"/>
  <c r="F350" i="14"/>
  <c r="H350" i="14" s="1"/>
  <c r="F335" i="14"/>
  <c r="H335" i="14" s="1"/>
  <c r="F372" i="14"/>
  <c r="H372" i="14" s="1"/>
  <c r="F349" i="14"/>
  <c r="H349" i="14" s="1"/>
  <c r="F332" i="14"/>
  <c r="H332" i="14" s="1"/>
  <c r="F315" i="14"/>
  <c r="H315" i="14" s="1"/>
  <c r="F234" i="14"/>
  <c r="H234" i="14" s="1"/>
  <c r="F209" i="14"/>
  <c r="H209" i="14" s="1"/>
  <c r="F190" i="14"/>
  <c r="H190" i="14" s="1"/>
  <c r="F79" i="14"/>
  <c r="H79" i="14" s="1"/>
  <c r="F166" i="14"/>
  <c r="H166" i="14" s="1"/>
  <c r="F189" i="14"/>
  <c r="H189" i="14" s="1"/>
  <c r="F342" i="14"/>
  <c r="H342" i="14" s="1"/>
  <c r="F41" i="14"/>
  <c r="H41" i="14" s="1"/>
  <c r="F62" i="14"/>
  <c r="H62" i="14" s="1"/>
  <c r="F110" i="14"/>
  <c r="H110" i="14" s="1"/>
  <c r="F180" i="14"/>
  <c r="H180" i="14" s="1"/>
  <c r="F260" i="14"/>
  <c r="H260" i="14" s="1"/>
  <c r="F164" i="14"/>
  <c r="H164" i="14" s="1"/>
  <c r="F254" i="14"/>
  <c r="H254" i="14" s="1"/>
  <c r="H259" i="14" s="1"/>
  <c r="F259" i="14" s="1"/>
  <c r="F75" i="14"/>
  <c r="H75" i="14" s="1"/>
  <c r="F106" i="14"/>
  <c r="H106" i="14" s="1"/>
  <c r="F23" i="14"/>
  <c r="H23" i="14" s="1"/>
  <c r="F36" i="14"/>
  <c r="H36" i="14" s="1"/>
  <c r="F56" i="14"/>
  <c r="H56" i="14" s="1"/>
  <c r="F81" i="14"/>
  <c r="H81" i="14" s="1"/>
  <c r="F199" i="14"/>
  <c r="H199" i="14" s="1"/>
  <c r="F135" i="14"/>
  <c r="H135" i="14" s="1"/>
  <c r="F214" i="14"/>
  <c r="H214" i="14" s="1"/>
  <c r="F210" i="14"/>
  <c r="H210" i="14" s="1"/>
  <c r="F17" i="14"/>
  <c r="H17" i="14" s="1"/>
  <c r="F54" i="14"/>
  <c r="H54" i="14" s="1"/>
  <c r="F183" i="14"/>
  <c r="H183" i="14" s="1"/>
  <c r="F361" i="14"/>
  <c r="H361" i="14" s="1"/>
  <c r="F357" i="14"/>
  <c r="H357" i="14" s="1"/>
  <c r="F317" i="14"/>
  <c r="H317" i="14" s="1"/>
  <c r="F285" i="14"/>
  <c r="H285" i="14" s="1"/>
  <c r="F265" i="14"/>
  <c r="H265" i="14" s="1"/>
  <c r="F292" i="14"/>
  <c r="H292" i="14" s="1"/>
  <c r="F296" i="14"/>
  <c r="H296" i="14" s="1"/>
  <c r="F291" i="14"/>
  <c r="H291" i="14" s="1"/>
  <c r="F278" i="14"/>
  <c r="H278" i="14" s="1"/>
  <c r="F305" i="14"/>
  <c r="H305" i="14" s="1"/>
  <c r="F229" i="14"/>
  <c r="H229" i="14" s="1"/>
  <c r="F231" i="14"/>
  <c r="H231" i="14" s="1"/>
  <c r="F196" i="14"/>
  <c r="H196" i="14" s="1"/>
  <c r="F198" i="14"/>
  <c r="H198" i="14" s="1"/>
  <c r="F174" i="14"/>
  <c r="H174" i="14" s="1"/>
  <c r="F176" i="14"/>
  <c r="H176" i="14" s="1"/>
  <c r="F132" i="14"/>
  <c r="H132" i="14" s="1"/>
  <c r="F60" i="14"/>
  <c r="H60" i="14" s="1"/>
  <c r="F145" i="14"/>
  <c r="H145" i="14" s="1"/>
  <c r="F125" i="14"/>
  <c r="H125" i="14" s="1"/>
  <c r="F105" i="14"/>
  <c r="H105" i="14" s="1"/>
  <c r="F371" i="14"/>
  <c r="H371" i="14" s="1"/>
  <c r="F348" i="14"/>
  <c r="H348" i="14" s="1"/>
  <c r="F331" i="14"/>
  <c r="H331" i="14" s="1"/>
  <c r="F370" i="14"/>
  <c r="H370" i="14" s="1"/>
  <c r="F345" i="14"/>
  <c r="H345" i="14" s="1"/>
  <c r="F330" i="14"/>
  <c r="H330" i="14" s="1"/>
  <c r="F312" i="14"/>
  <c r="H312" i="14" s="1"/>
  <c r="F220" i="14"/>
  <c r="H220" i="14" s="1"/>
  <c r="F204" i="14"/>
  <c r="H204" i="14" s="1"/>
  <c r="F188" i="14"/>
  <c r="H188" i="14" s="1"/>
  <c r="F113" i="14"/>
  <c r="H113" i="14" s="1"/>
  <c r="F170" i="14"/>
  <c r="H170" i="14" s="1"/>
  <c r="F201" i="14"/>
  <c r="H201" i="14" s="1"/>
  <c r="F14" i="14"/>
  <c r="H14" i="14" s="1"/>
  <c r="F49" i="14"/>
  <c r="H49" i="14" s="1"/>
  <c r="F64" i="14"/>
  <c r="H64" i="14" s="1"/>
  <c r="F92" i="14"/>
  <c r="H92" i="14" s="1"/>
  <c r="F126" i="14"/>
  <c r="H126" i="14" s="1"/>
  <c r="F205" i="14"/>
  <c r="H205" i="14" s="1"/>
  <c r="F318" i="14"/>
  <c r="H318" i="14" s="1"/>
  <c r="F173" i="14"/>
  <c r="H173" i="14" s="1"/>
  <c r="F261" i="14"/>
  <c r="H261" i="14" s="1"/>
  <c r="F80" i="14"/>
  <c r="H80" i="14" s="1"/>
  <c r="F114" i="14"/>
  <c r="H114" i="14" s="1"/>
  <c r="F185" i="14"/>
  <c r="H185" i="14" s="1"/>
  <c r="F28" i="14"/>
  <c r="H28" i="14" s="1"/>
  <c r="F40" i="14"/>
  <c r="H40" i="14" s="1"/>
  <c r="F61" i="14"/>
  <c r="H61" i="14" s="1"/>
  <c r="F84" i="14"/>
  <c r="H84" i="14" s="1"/>
  <c r="F93" i="14"/>
  <c r="H93" i="14" s="1"/>
  <c r="F97" i="14"/>
  <c r="H97" i="14" s="1"/>
  <c r="F363" i="14"/>
  <c r="H363" i="14" s="1"/>
  <c r="F355" i="14"/>
  <c r="H355" i="14" s="1"/>
  <c r="F267" i="14"/>
  <c r="H267" i="14" s="1"/>
  <c r="F274" i="14"/>
  <c r="H274" i="14" s="1"/>
  <c r="F271" i="14"/>
  <c r="H271" i="14" s="1"/>
  <c r="F298" i="14"/>
  <c r="H298" i="14" s="1"/>
  <c r="F302" i="14"/>
  <c r="H302" i="14" s="1"/>
  <c r="F303" i="14"/>
  <c r="H303" i="14" s="1"/>
  <c r="F287" i="14"/>
  <c r="H287" i="14" s="1"/>
  <c r="F225" i="14"/>
  <c r="H225" i="14" s="1"/>
  <c r="F226" i="14"/>
  <c r="H226" i="14" s="1"/>
  <c r="F217" i="14"/>
  <c r="H217" i="14" s="1"/>
  <c r="F197" i="14"/>
  <c r="H197" i="14" s="1"/>
  <c r="F208" i="14"/>
  <c r="H208" i="14" s="1"/>
  <c r="F175" i="14"/>
  <c r="H175" i="14" s="1"/>
  <c r="F165" i="14"/>
  <c r="H165" i="14" s="1"/>
  <c r="F134" i="14"/>
  <c r="H134" i="14" s="1"/>
  <c r="F68" i="14"/>
  <c r="H68" i="14" s="1"/>
  <c r="F72" i="14"/>
  <c r="H72" i="14" s="1"/>
  <c r="F136" i="14"/>
  <c r="H136" i="14" s="1"/>
  <c r="F123" i="14"/>
  <c r="H123" i="14" s="1"/>
  <c r="F380" i="14"/>
  <c r="H380" i="14" s="1"/>
  <c r="F369" i="14"/>
  <c r="H369" i="14" s="1"/>
  <c r="F343" i="14"/>
  <c r="H343" i="14" s="1"/>
  <c r="F329" i="14"/>
  <c r="H329" i="14" s="1"/>
  <c r="F364" i="14"/>
  <c r="H364" i="14" s="1"/>
  <c r="F338" i="14"/>
  <c r="H338" i="14" s="1"/>
  <c r="F325" i="14"/>
  <c r="H325" i="14" s="1"/>
  <c r="F215" i="14"/>
  <c r="H215" i="14" s="1"/>
  <c r="F200" i="14"/>
  <c r="H200" i="14" s="1"/>
  <c r="F66" i="14"/>
  <c r="H66" i="14" s="1"/>
  <c r="F85" i="14"/>
  <c r="H85" i="14" s="1"/>
  <c r="F118" i="14"/>
  <c r="H118" i="14" s="1"/>
  <c r="F179" i="14"/>
  <c r="H179" i="14" s="1"/>
  <c r="F219" i="14"/>
  <c r="H219" i="14" s="1"/>
  <c r="F20" i="14"/>
  <c r="H20" i="14" s="1"/>
  <c r="F55" i="14"/>
  <c r="H55" i="14" s="1"/>
  <c r="F71" i="14"/>
  <c r="H71" i="14" s="1"/>
  <c r="F96" i="14"/>
  <c r="H96" i="14" s="1"/>
  <c r="F163" i="14"/>
  <c r="H163" i="14" s="1"/>
  <c r="F221" i="14"/>
  <c r="H221" i="14" s="1"/>
  <c r="F65" i="14"/>
  <c r="H65" i="14" s="1"/>
  <c r="F194" i="14"/>
  <c r="H194" i="14" s="1"/>
  <c r="F322" i="14"/>
  <c r="H322" i="14" s="1"/>
  <c r="F86" i="14"/>
  <c r="H86" i="14" s="1"/>
  <c r="F124" i="14"/>
  <c r="H124" i="14" s="1"/>
  <c r="F44" i="14"/>
  <c r="H44" i="14" s="1"/>
  <c r="F63" i="14"/>
  <c r="H63" i="14" s="1"/>
  <c r="F87" i="14"/>
  <c r="H87" i="14" s="1"/>
  <c r="F169" i="14"/>
  <c r="H169" i="14" s="1"/>
  <c r="F324" i="14"/>
  <c r="H324" i="14" s="1"/>
  <c r="F101" i="14"/>
  <c r="H101" i="14" s="1"/>
  <c r="F257" i="14"/>
  <c r="H257" i="14" s="1"/>
  <c r="F144" i="14"/>
  <c r="H144" i="14" s="1"/>
  <c r="F78" i="14"/>
  <c r="H78" i="14" s="1"/>
  <c r="F356" i="14"/>
  <c r="H356" i="14" s="1"/>
  <c r="F273" i="14"/>
  <c r="H273" i="14" s="1"/>
  <c r="F286" i="14"/>
  <c r="H286" i="14" s="1"/>
  <c r="F277" i="14"/>
  <c r="H277" i="14" s="1"/>
  <c r="F304" i="14"/>
  <c r="H304" i="14" s="1"/>
  <c r="F268" i="14"/>
  <c r="H268" i="14" s="1"/>
  <c r="F266" i="14"/>
  <c r="H266" i="14" s="1"/>
  <c r="F293" i="14"/>
  <c r="H293" i="14" s="1"/>
  <c r="F224" i="14"/>
  <c r="H224" i="14" s="1"/>
  <c r="F230" i="14"/>
  <c r="H230" i="14" s="1"/>
  <c r="F218" i="14"/>
  <c r="H218" i="14" s="1"/>
  <c r="F207" i="14"/>
  <c r="H207" i="14" s="1"/>
  <c r="F186" i="14"/>
  <c r="H186" i="14" s="1"/>
  <c r="F178" i="14"/>
  <c r="H178" i="14" s="1"/>
  <c r="F168" i="14"/>
  <c r="H168" i="14" s="1"/>
  <c r="F127" i="14"/>
  <c r="H127" i="14" s="1"/>
  <c r="F67" i="14"/>
  <c r="H67" i="14" s="1"/>
  <c r="F30" i="14"/>
  <c r="H30" i="14" s="1"/>
  <c r="F131" i="14"/>
  <c r="H131" i="14" s="1"/>
  <c r="F119" i="14"/>
  <c r="H119" i="14" s="1"/>
  <c r="F374" i="14"/>
  <c r="H374" i="14" s="1"/>
  <c r="F359" i="14"/>
  <c r="H359" i="14" s="1"/>
  <c r="F337" i="14"/>
  <c r="H337" i="14" s="1"/>
  <c r="F376" i="14"/>
  <c r="H376" i="14" s="1"/>
  <c r="F351" i="14"/>
  <c r="H351" i="14" s="1"/>
  <c r="F336" i="14"/>
  <c r="H336" i="14" s="1"/>
  <c r="F323" i="14"/>
  <c r="H323" i="14" s="1"/>
  <c r="F211" i="14"/>
  <c r="H211" i="14" s="1"/>
  <c r="F195" i="14"/>
  <c r="H195" i="14" s="1"/>
  <c r="F76" i="14"/>
  <c r="H76" i="14" s="1"/>
  <c r="F129" i="14"/>
  <c r="H129" i="14" s="1"/>
  <c r="F184" i="14"/>
  <c r="H184" i="14" s="1"/>
  <c r="F24" i="14"/>
  <c r="H24" i="14" s="1"/>
  <c r="F37" i="14"/>
  <c r="H37" i="14" s="1"/>
  <c r="F59" i="14"/>
  <c r="H59" i="14" s="1"/>
  <c r="F77" i="14"/>
  <c r="H77" i="14" s="1"/>
  <c r="F167" i="14"/>
  <c r="H167" i="14" s="1"/>
  <c r="F100" i="14"/>
  <c r="H100" i="14" s="1"/>
  <c r="F344" i="14"/>
  <c r="H344" i="14" s="1"/>
  <c r="F31" i="14"/>
  <c r="H31" i="14" s="1"/>
  <c r="M46" i="19" l="1"/>
  <c r="M153" i="19"/>
  <c r="M204" i="19"/>
  <c r="O227" i="19"/>
  <c r="K227" i="19"/>
  <c r="E312" i="1"/>
  <c r="E309" i="1"/>
  <c r="E311" i="1"/>
  <c r="E313" i="1"/>
  <c r="E310" i="1"/>
  <c r="E308" i="1"/>
  <c r="E314" i="1" l="1"/>
  <c r="E324" i="1" s="1"/>
  <c r="E328" i="1" s="1"/>
  <c r="M227" i="19"/>
</calcChain>
</file>

<file path=xl/comments1.xml><?xml version="1.0" encoding="utf-8"?>
<comments xmlns="http://schemas.openxmlformats.org/spreadsheetml/2006/main">
  <authors>
    <author>Heather Garland</author>
  </authors>
  <commentList>
    <comment ref="G99" authorId="0">
      <text>
        <r>
          <rPr>
            <b/>
            <sz val="9"/>
            <color indexed="81"/>
            <rFont val="Tahoma"/>
            <family val="2"/>
          </rPr>
          <t>Heather Garland:</t>
        </r>
        <r>
          <rPr>
            <sz val="9"/>
            <color indexed="81"/>
            <rFont val="Tahoma"/>
            <family val="2"/>
          </rPr>
          <t xml:space="preserve">
2018 raises + impact of sick law change.</t>
        </r>
      </text>
    </comment>
    <comment ref="B138" authorId="0">
      <text>
        <r>
          <rPr>
            <b/>
            <sz val="9"/>
            <color indexed="81"/>
            <rFont val="Tahoma"/>
            <family val="2"/>
          </rPr>
          <t>Heather Garland:</t>
        </r>
        <r>
          <rPr>
            <sz val="9"/>
            <color indexed="81"/>
            <rFont val="Tahoma"/>
            <family val="2"/>
          </rPr>
          <t xml:space="preserve">
Google Search.</t>
        </r>
      </text>
    </comment>
    <comment ref="K142" authorId="0">
      <text>
        <r>
          <rPr>
            <b/>
            <sz val="9"/>
            <color indexed="81"/>
            <rFont val="Tahoma"/>
            <family val="2"/>
          </rPr>
          <t>Heather Garland:</t>
        </r>
        <r>
          <rPr>
            <sz val="9"/>
            <color indexed="81"/>
            <rFont val="Tahoma"/>
            <family val="2"/>
          </rPr>
          <t xml:space="preserve">
Wood, C&amp;D, YW</t>
        </r>
      </text>
    </comment>
    <comment ref="K143" authorId="0">
      <text>
        <r>
          <rPr>
            <b/>
            <sz val="9"/>
            <color indexed="81"/>
            <rFont val="Tahoma"/>
            <family val="2"/>
          </rPr>
          <t>Heather Garland:</t>
        </r>
        <r>
          <rPr>
            <sz val="9"/>
            <color indexed="81"/>
            <rFont val="Tahoma"/>
            <family val="2"/>
          </rPr>
          <t xml:space="preserve">
Wood waste, special waste, C&amp;D, etc.</t>
        </r>
      </text>
    </comment>
    <comment ref="K144" authorId="0">
      <text>
        <r>
          <rPr>
            <b/>
            <sz val="9"/>
            <color indexed="81"/>
            <rFont val="Tahoma"/>
            <family val="2"/>
          </rPr>
          <t>Heather Garland:</t>
        </r>
        <r>
          <rPr>
            <sz val="9"/>
            <color indexed="81"/>
            <rFont val="Tahoma"/>
            <family val="2"/>
          </rPr>
          <t xml:space="preserve">
Food Waste - Non-Reg.</t>
        </r>
      </text>
    </comment>
    <comment ref="D145" authorId="0">
      <text>
        <r>
          <rPr>
            <b/>
            <sz val="9"/>
            <color indexed="81"/>
            <rFont val="Tahoma"/>
            <family val="2"/>
          </rPr>
          <t>Heather Garland:</t>
        </r>
        <r>
          <rPr>
            <sz val="9"/>
            <color indexed="81"/>
            <rFont val="Tahoma"/>
            <family val="2"/>
          </rPr>
          <t xml:space="preserve">
Reclass garbage pass-through.  Amount does not tie to amount in account 31005 above because some of pass-through expense is booked to 40101, and 40109.</t>
        </r>
      </text>
    </comment>
    <comment ref="D174" authorId="0">
      <text>
        <r>
          <rPr>
            <b/>
            <sz val="9"/>
            <color indexed="81"/>
            <rFont val="Tahoma"/>
            <family val="2"/>
          </rPr>
          <t>Heather Garland:</t>
        </r>
        <r>
          <rPr>
            <sz val="9"/>
            <color indexed="81"/>
            <rFont val="Tahoma"/>
            <family val="2"/>
          </rPr>
          <t xml:space="preserve">
Related to credits from PY.  PY claim was not in rates so credit shouldn't be recognized.</t>
        </r>
      </text>
    </comment>
    <comment ref="D202" authorId="0">
      <text>
        <r>
          <rPr>
            <b/>
            <sz val="9"/>
            <color indexed="81"/>
            <rFont val="Tahoma"/>
            <family val="2"/>
          </rPr>
          <t>Heather Garland:</t>
        </r>
        <r>
          <rPr>
            <sz val="9"/>
            <color indexed="81"/>
            <rFont val="Tahoma"/>
            <family val="2"/>
          </rPr>
          <t xml:space="preserve">
Unallowable.</t>
        </r>
      </text>
    </comment>
    <comment ref="D203" authorId="0">
      <text>
        <r>
          <rPr>
            <b/>
            <sz val="9"/>
            <color indexed="81"/>
            <rFont val="Tahoma"/>
            <family val="2"/>
          </rPr>
          <t>Heather Garland:</t>
        </r>
        <r>
          <rPr>
            <sz val="9"/>
            <color indexed="81"/>
            <rFont val="Tahoma"/>
            <family val="2"/>
          </rPr>
          <t xml:space="preserve">
Unallowable.</t>
        </r>
      </text>
    </comment>
    <comment ref="D259" authorId="0">
      <text>
        <r>
          <rPr>
            <b/>
            <sz val="9"/>
            <color indexed="81"/>
            <rFont val="Tahoma"/>
            <family val="2"/>
          </rPr>
          <t>Heather Garland:</t>
        </r>
        <r>
          <rPr>
            <sz val="9"/>
            <color indexed="81"/>
            <rFont val="Tahoma"/>
            <family val="2"/>
          </rPr>
          <t xml:space="preserve">
Unallowable.</t>
        </r>
      </text>
    </comment>
    <comment ref="D260" authorId="0">
      <text>
        <r>
          <rPr>
            <b/>
            <sz val="9"/>
            <color indexed="81"/>
            <rFont val="Tahoma"/>
            <family val="2"/>
          </rPr>
          <t>Heather Garland:</t>
        </r>
        <r>
          <rPr>
            <sz val="9"/>
            <color indexed="81"/>
            <rFont val="Tahoma"/>
            <family val="2"/>
          </rPr>
          <t xml:space="preserve">
Unallowable.</t>
        </r>
      </text>
    </comment>
    <comment ref="D272" authorId="0">
      <text>
        <r>
          <rPr>
            <b/>
            <sz val="9"/>
            <color indexed="81"/>
            <rFont val="Tahoma"/>
            <family val="2"/>
          </rPr>
          <t>Heather Garland:</t>
        </r>
        <r>
          <rPr>
            <sz val="9"/>
            <color indexed="81"/>
            <rFont val="Tahoma"/>
            <family val="2"/>
          </rPr>
          <t xml:space="preserve">
Unallowable.</t>
        </r>
      </text>
    </comment>
  </commentList>
</comments>
</file>

<file path=xl/comments10.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11.xml><?xml version="1.0" encoding="utf-8"?>
<comments xmlns="http://schemas.openxmlformats.org/spreadsheetml/2006/main">
  <authors>
    <author>Heather Garland</author>
  </authors>
  <commentList>
    <comment ref="D52" authorId="0">
      <text>
        <r>
          <rPr>
            <b/>
            <sz val="9"/>
            <color indexed="81"/>
            <rFont val="Tahoma"/>
            <family val="2"/>
          </rPr>
          <t>Heather Garland:</t>
        </r>
        <r>
          <rPr>
            <sz val="9"/>
            <color indexed="81"/>
            <rFont val="Tahoma"/>
            <family val="2"/>
          </rPr>
          <t xml:space="preserve">
18% removed for lobbying in TG-170878 (Yakima 2017).  Disagree, but stipulated in order to settle.</t>
        </r>
      </text>
    </comment>
  </commentList>
</comments>
</file>

<file path=xl/comments2.xml><?xml version="1.0" encoding="utf-8"?>
<comments xmlns="http://schemas.openxmlformats.org/spreadsheetml/2006/main">
  <authors>
    <author>Heather Garland</author>
  </authors>
  <commentList>
    <comment ref="C8" authorId="0">
      <text>
        <r>
          <rPr>
            <b/>
            <sz val="9"/>
            <color indexed="81"/>
            <rFont val="Tahoma"/>
            <family val="2"/>
          </rPr>
          <t>Heather Garland:</t>
        </r>
        <r>
          <rPr>
            <sz val="9"/>
            <color indexed="81"/>
            <rFont val="Tahoma"/>
            <family val="2"/>
          </rPr>
          <t xml:space="preserve">
Non-Regulated revenue is from "Clark Co. Price Out YE 9-30-17.xls."</t>
        </r>
      </text>
    </comment>
  </commentList>
</comments>
</file>

<file path=xl/comments3.xml><?xml version="1.0" encoding="utf-8"?>
<comments xmlns="http://schemas.openxmlformats.org/spreadsheetml/2006/main">
  <authors>
    <author>WCNX</author>
  </authors>
  <commentList>
    <comment ref="B1" authorId="0">
      <text>
        <r>
          <rPr>
            <b/>
            <sz val="8"/>
            <color indexed="81"/>
            <rFont val="Tahoma"/>
            <family val="2"/>
          </rPr>
          <t>WCNX:</t>
        </r>
        <r>
          <rPr>
            <sz val="8"/>
            <color indexed="81"/>
            <rFont val="Tahoma"/>
            <family val="2"/>
          </rPr>
          <t xml:space="preserve">
Include bill areas: Battleground, LaCenter, Rural, UGA, and Yacolt.</t>
        </r>
      </text>
    </comment>
  </commentList>
</comments>
</file>

<file path=xl/comments4.xml><?xml version="1.0" encoding="utf-8"?>
<comments xmlns="http://schemas.openxmlformats.org/spreadsheetml/2006/main">
  <authors>
    <author>Jennifer Bergheim</author>
    <author>Lindsay Waldram</author>
  </authors>
  <commentList>
    <comment ref="P7" authorId="0">
      <text>
        <r>
          <rPr>
            <b/>
            <sz val="9"/>
            <color indexed="81"/>
            <rFont val="Tahoma"/>
            <family val="2"/>
          </rPr>
          <t>Jennifer Bergheim:</t>
        </r>
        <r>
          <rPr>
            <sz val="9"/>
            <color indexed="81"/>
            <rFont val="Tahoma"/>
            <family val="2"/>
          </rPr>
          <t xml:space="preserve">
This column represents driver safety bonuses and customer service tooty bonuses. 7/15/16</t>
        </r>
      </text>
    </comment>
    <comment ref="Q288" authorId="1">
      <text>
        <r>
          <rPr>
            <sz val="9"/>
            <color indexed="81"/>
            <rFont val="Tahoma"/>
            <family val="2"/>
          </rPr>
          <t xml:space="preserve">Includes an amount from the PR Register - Pay Codes that doesn't have a pay code group.  This item is for $972 and is related to this employee.  Included with regular wages. </t>
        </r>
      </text>
    </comment>
  </commentList>
</comments>
</file>

<file path=xl/comments5.xml><?xml version="1.0" encoding="utf-8"?>
<comments xmlns="http://schemas.openxmlformats.org/spreadsheetml/2006/main">
  <authors>
    <author>Heather Garland</author>
  </authors>
  <commentList>
    <comment ref="Q54" authorId="0">
      <text>
        <r>
          <rPr>
            <b/>
            <sz val="9"/>
            <color indexed="81"/>
            <rFont val="Tahoma"/>
            <family val="2"/>
          </rPr>
          <t>Heather Garland:</t>
        </r>
        <r>
          <rPr>
            <sz val="9"/>
            <color indexed="81"/>
            <rFont val="Tahoma"/>
            <family val="2"/>
          </rPr>
          <t xml:space="preserve">
Operations yard - Rt Hors most appropriate.
</t>
        </r>
      </text>
    </comment>
    <comment ref="Q56" authorId="0">
      <text>
        <r>
          <rPr>
            <b/>
            <sz val="9"/>
            <color indexed="81"/>
            <rFont val="Tahoma"/>
            <family val="2"/>
          </rPr>
          <t>Heather Garland:</t>
        </r>
        <r>
          <rPr>
            <sz val="9"/>
            <color indexed="81"/>
            <rFont val="Tahoma"/>
            <family val="2"/>
          </rPr>
          <t xml:space="preserve">
Operations yard - Rt Hors most appropriate.
</t>
        </r>
      </text>
    </comment>
    <comment ref="Q58" authorId="0">
      <text>
        <r>
          <rPr>
            <b/>
            <sz val="9"/>
            <color indexed="81"/>
            <rFont val="Tahoma"/>
            <family val="2"/>
          </rPr>
          <t>Heather Garland:</t>
        </r>
        <r>
          <rPr>
            <sz val="9"/>
            <color indexed="81"/>
            <rFont val="Tahoma"/>
            <family val="2"/>
          </rPr>
          <t xml:space="preserve">
Operations yard - Rt Hors most appropriate.
</t>
        </r>
      </text>
    </comment>
  </commentList>
</comments>
</file>

<file path=xl/comments6.xml><?xml version="1.0" encoding="utf-8"?>
<comments xmlns="http://schemas.openxmlformats.org/spreadsheetml/2006/main">
  <authors>
    <author>Heather Garland</author>
  </authors>
  <commentList>
    <comment ref="C23" authorId="0">
      <text>
        <r>
          <rPr>
            <b/>
            <sz val="9"/>
            <color indexed="81"/>
            <rFont val="Tahoma"/>
            <family val="2"/>
          </rPr>
          <t>Heather Garland:</t>
        </r>
        <r>
          <rPr>
            <sz val="9"/>
            <color indexed="81"/>
            <rFont val="Tahoma"/>
            <family val="2"/>
          </rPr>
          <t xml:space="preserve">
From external payroll document. Support can be provided upon request.</t>
        </r>
      </text>
    </comment>
  </commentList>
</comments>
</file>

<file path=xl/comments7.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8.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9.xml><?xml version="1.0" encoding="utf-8"?>
<comments xmlns="http://schemas.openxmlformats.org/spreadsheetml/2006/main">
  <authors>
    <author>igort</author>
    <author>Interject</author>
    <author>Heather Garland</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 ref="D139" authorId="2">
      <text>
        <r>
          <rPr>
            <b/>
            <sz val="9"/>
            <color indexed="81"/>
            <rFont val="Tahoma"/>
            <family val="2"/>
          </rPr>
          <t>Heather Garland:</t>
        </r>
        <r>
          <rPr>
            <sz val="9"/>
            <color indexed="81"/>
            <rFont val="Tahoma"/>
            <family val="2"/>
          </rPr>
          <t xml:space="preserve">
Per WRRA's 2016 Dues Deductability Letter 15% of dues paid are related to lobbying (unallowable).</t>
        </r>
      </text>
    </comment>
  </commentList>
</comments>
</file>

<file path=xl/sharedStrings.xml><?xml version="1.0" encoding="utf-8"?>
<sst xmlns="http://schemas.openxmlformats.org/spreadsheetml/2006/main" count="9941" uniqueCount="3005">
  <si>
    <t>Consolidated Income Statement</t>
  </si>
  <si>
    <t>UNADJUSTED</t>
  </si>
  <si>
    <t>RESTATING</t>
  </si>
  <si>
    <t>ADJUSTED</t>
  </si>
  <si>
    <t>PRO FORMA</t>
  </si>
  <si>
    <t>FINAL</t>
  </si>
  <si>
    <t>ALLOCATED</t>
  </si>
  <si>
    <t>TOTAL</t>
  </si>
  <si>
    <t>REGULATED</t>
  </si>
  <si>
    <t>FINANCIALS</t>
  </si>
  <si>
    <t>ADJUSTMENTS</t>
  </si>
  <si>
    <t>Reference</t>
  </si>
  <si>
    <t>NON-REGULATED</t>
  </si>
  <si>
    <t>Allocator</t>
  </si>
  <si>
    <t>Revenue:</t>
  </si>
  <si>
    <t>Residential</t>
  </si>
  <si>
    <t>RS-1</t>
  </si>
  <si>
    <t>Actual</t>
  </si>
  <si>
    <t>Recycling</t>
  </si>
  <si>
    <t>Yard Waste</t>
  </si>
  <si>
    <t xml:space="preserve">Commercial </t>
  </si>
  <si>
    <t>Drop Box</t>
  </si>
  <si>
    <t>Pass Thru</t>
  </si>
  <si>
    <t>Commercial Recycling</t>
  </si>
  <si>
    <t>Recycling Material</t>
  </si>
  <si>
    <t>Service Charge</t>
  </si>
  <si>
    <t>P-Card Rebate</t>
  </si>
  <si>
    <t>Total</t>
  </si>
  <si>
    <t>Expenses:</t>
  </si>
  <si>
    <t>Building Supplies</t>
  </si>
  <si>
    <t>Rt Hrs</t>
  </si>
  <si>
    <t>Repair-Shop, Bldg</t>
  </si>
  <si>
    <t>Wages Mechanics</t>
  </si>
  <si>
    <t>Salaries</t>
  </si>
  <si>
    <t>Wages-Regular</t>
  </si>
  <si>
    <t>RS-9</t>
  </si>
  <si>
    <t>Wages-OT</t>
  </si>
  <si>
    <t>Safety Bonus</t>
  </si>
  <si>
    <t>Other Bonus</t>
  </si>
  <si>
    <t>Vacation Pay</t>
  </si>
  <si>
    <t>Sick Pay</t>
  </si>
  <si>
    <t>Wages Container Mechanics</t>
  </si>
  <si>
    <t>Wages Regular</t>
  </si>
  <si>
    <t>Wages O.T.</t>
  </si>
  <si>
    <t>Safety Bonuses</t>
  </si>
  <si>
    <t>Other Bonus/Commission - Non-Safety</t>
  </si>
  <si>
    <t>Holiday Pay</t>
  </si>
  <si>
    <t>Parts &amp; Materials</t>
  </si>
  <si>
    <t>Operating Supplies</t>
  </si>
  <si>
    <t>Equipment &amp; Maint Rep</t>
  </si>
  <si>
    <t>Total Parts &amp; Materials</t>
  </si>
  <si>
    <t>Outside Repair</t>
  </si>
  <si>
    <t>Accident Repair</t>
  </si>
  <si>
    <t>Damage Paid by District</t>
  </si>
  <si>
    <t>Tires &amp; Tubes</t>
  </si>
  <si>
    <t xml:space="preserve">Other Maint </t>
  </si>
  <si>
    <t>Contract Labor</t>
  </si>
  <si>
    <t>Uniforms</t>
  </si>
  <si>
    <t>Communications</t>
  </si>
  <si>
    <t>Equip/Vehicle Rental</t>
  </si>
  <si>
    <t>Towing</t>
  </si>
  <si>
    <t>Travel</t>
  </si>
  <si>
    <t>Capitalized Costs</t>
  </si>
  <si>
    <t>Costs Awaiting Capitalization</t>
  </si>
  <si>
    <t>Safety &amp; Training</t>
  </si>
  <si>
    <t>Equipment and Maint Repair</t>
  </si>
  <si>
    <t>Outside Repairs</t>
  </si>
  <si>
    <t>Allocated Exp In - District</t>
  </si>
  <si>
    <t>Freight</t>
  </si>
  <si>
    <t>Drive Cam Fees</t>
  </si>
  <si>
    <t>Wages-Supervisor</t>
  </si>
  <si>
    <t>Salaries-Supervisor</t>
  </si>
  <si>
    <t>RS-5</t>
  </si>
  <si>
    <t>Driver Wages</t>
  </si>
  <si>
    <t>Wages OT</t>
  </si>
  <si>
    <t>Total Driver Wages</t>
  </si>
  <si>
    <t>Fuel &amp; Oil</t>
  </si>
  <si>
    <t>Fuel Expense</t>
  </si>
  <si>
    <t>Urea Additive</t>
  </si>
  <si>
    <t>Oil and Grease</t>
  </si>
  <si>
    <t>Total Fuel and Oil</t>
  </si>
  <si>
    <t>Other Collection Exp</t>
  </si>
  <si>
    <t>Brokerage Cost-Mat Transp</t>
  </si>
  <si>
    <t>Miscellaneous</t>
  </si>
  <si>
    <t>Drug Screening</t>
  </si>
  <si>
    <t>Equipment Vehicle Rental</t>
  </si>
  <si>
    <t>Other Prof Fees</t>
  </si>
  <si>
    <t>Penalties &amp; Violations</t>
  </si>
  <si>
    <t>Dump Fee and Charges</t>
  </si>
  <si>
    <t>Disposal Landfill</t>
  </si>
  <si>
    <t>RS-2</t>
  </si>
  <si>
    <t>Sales</t>
  </si>
  <si>
    <t>WUTC Fee</t>
  </si>
  <si>
    <t>UTC Fee</t>
  </si>
  <si>
    <t>RS-6</t>
  </si>
  <si>
    <t>Revenue</t>
  </si>
  <si>
    <t>Advertising Expense</t>
  </si>
  <si>
    <t>Advertising and Promotions</t>
  </si>
  <si>
    <t>Cust Inv'd</t>
  </si>
  <si>
    <t>Advertising</t>
  </si>
  <si>
    <t>Advertising Exp</t>
  </si>
  <si>
    <t>Public Liability</t>
  </si>
  <si>
    <t>Self Insurance Premium</t>
  </si>
  <si>
    <t>Current Year Claims</t>
  </si>
  <si>
    <t>Prior Year Claims</t>
  </si>
  <si>
    <t>Workmen's Comp</t>
  </si>
  <si>
    <t>WC Current Year Claims</t>
  </si>
  <si>
    <t>WC Prior Year Claims</t>
  </si>
  <si>
    <t>RS-4</t>
  </si>
  <si>
    <t>WC Premium</t>
  </si>
  <si>
    <t>Bond Exp-WC</t>
  </si>
  <si>
    <t>Salaries - Office</t>
  </si>
  <si>
    <t>Vacation</t>
  </si>
  <si>
    <t>Sick Leave</t>
  </si>
  <si>
    <t>Salaries-Office</t>
  </si>
  <si>
    <t>Management Fee</t>
  </si>
  <si>
    <t>Corp OH Allocation</t>
  </si>
  <si>
    <t>RS-3</t>
  </si>
  <si>
    <t>Office &amp; Other Expense</t>
  </si>
  <si>
    <t>Office Supplies and Equip</t>
  </si>
  <si>
    <t>Postage</t>
  </si>
  <si>
    <t>Security Services</t>
  </si>
  <si>
    <t>Monitoring and Maint</t>
  </si>
  <si>
    <t>Bldg &amp; Property Maint</t>
  </si>
  <si>
    <t>Office Supplies</t>
  </si>
  <si>
    <t>Bank Charges</t>
  </si>
  <si>
    <t>Payroll Processing Fee</t>
  </si>
  <si>
    <t>Data Processing</t>
  </si>
  <si>
    <t>Customer Notification</t>
  </si>
  <si>
    <t>Computer Supplies</t>
  </si>
  <si>
    <t>Credit and Collection</t>
  </si>
  <si>
    <t>Office &amp; Other Exp</t>
  </si>
  <si>
    <t>Legal &amp; Accounting</t>
  </si>
  <si>
    <t>Legal</t>
  </si>
  <si>
    <t>Cust Cnt</t>
  </si>
  <si>
    <t>Utilities</t>
  </si>
  <si>
    <t>Communication</t>
  </si>
  <si>
    <t>Employee Welfare</t>
  </si>
  <si>
    <t>Group Insurance</t>
  </si>
  <si>
    <t>Pension</t>
  </si>
  <si>
    <t>Bad Debt</t>
  </si>
  <si>
    <t>Bad Debt Provision</t>
  </si>
  <si>
    <t>RS-8</t>
  </si>
  <si>
    <t>Bad Debts</t>
  </si>
  <si>
    <t>Other General Expenses</t>
  </si>
  <si>
    <t>Empl &amp; Commun Activ</t>
  </si>
  <si>
    <t>Meals &amp; Entertainment</t>
  </si>
  <si>
    <t>Employee Comm Activity</t>
  </si>
  <si>
    <t>WCN Training</t>
  </si>
  <si>
    <t>Employee Relocation</t>
  </si>
  <si>
    <t>Contributions</t>
  </si>
  <si>
    <t>Political Contribution</t>
  </si>
  <si>
    <t>Alloc Exp In Distr</t>
  </si>
  <si>
    <t>Cell Phones</t>
  </si>
  <si>
    <t>Dues &amp; Subscriptions</t>
  </si>
  <si>
    <t>Club Dues</t>
  </si>
  <si>
    <t>Entertainment</t>
  </si>
  <si>
    <t>Excursion Meetings</t>
  </si>
  <si>
    <t>Lodging</t>
  </si>
  <si>
    <t>Travel Auto</t>
  </si>
  <si>
    <t>Meals</t>
  </si>
  <si>
    <t>Meals with Customers</t>
  </si>
  <si>
    <t>Credit Card Fees</t>
  </si>
  <si>
    <t>External Recruiter Fees</t>
  </si>
  <si>
    <t>Recruitment Advertising &amp; Expenses</t>
  </si>
  <si>
    <t>Recruitment Travel Expenses</t>
  </si>
  <si>
    <t>Other Professional Fees</t>
  </si>
  <si>
    <t>Computer Software</t>
  </si>
  <si>
    <t>Coffee Bar</t>
  </si>
  <si>
    <t>Permits</t>
  </si>
  <si>
    <t>Trade Shows</t>
  </si>
  <si>
    <t>Depreciation, Amortization &amp; Sale of Assets</t>
  </si>
  <si>
    <t>Depreciation Trks</t>
  </si>
  <si>
    <t>RS-7</t>
  </si>
  <si>
    <t>Depr</t>
  </si>
  <si>
    <t>Depreciation Cont, DB</t>
  </si>
  <si>
    <t>Depreciation Service</t>
  </si>
  <si>
    <t>Depreciation Shop</t>
  </si>
  <si>
    <t>Depreciation Office</t>
  </si>
  <si>
    <t>Buildings (Structures)</t>
  </si>
  <si>
    <t>Amortization</t>
  </si>
  <si>
    <t>Operating Tax &amp; Licensing</t>
  </si>
  <si>
    <t>Rebate &amp; Rev Sharing</t>
  </si>
  <si>
    <t>Other Taxes</t>
  </si>
  <si>
    <t>Operating Tax &amp; Lic</t>
  </si>
  <si>
    <t>State Excise Tax</t>
  </si>
  <si>
    <t>Taxes &amp; Pass Thru Fees</t>
  </si>
  <si>
    <t>Vehicle Licenses</t>
  </si>
  <si>
    <t>Licenses</t>
  </si>
  <si>
    <t>Property Tax</t>
  </si>
  <si>
    <t>Payroll Taxes</t>
  </si>
  <si>
    <t>Rent-Land, Structures</t>
  </si>
  <si>
    <t>Real Estate Rental</t>
  </si>
  <si>
    <t>Long Term Contr Amort</t>
  </si>
  <si>
    <t>Total Amort</t>
  </si>
  <si>
    <t>Operating Ratio</t>
  </si>
  <si>
    <t>Net Income (Loss)</t>
  </si>
  <si>
    <t>Average Investment</t>
  </si>
  <si>
    <t>Acct</t>
  </si>
  <si>
    <t>AcctName</t>
  </si>
  <si>
    <t>Act(-11)</t>
  </si>
  <si>
    <t>Act(-10)</t>
  </si>
  <si>
    <t>Act(-9)</t>
  </si>
  <si>
    <t>Act(-8)</t>
  </si>
  <si>
    <t>Act(-7)</t>
  </si>
  <si>
    <t>Act(-6)</t>
  </si>
  <si>
    <t>Act(-5)</t>
  </si>
  <si>
    <t>Act(-4)</t>
  </si>
  <si>
    <t>Act(-3)</t>
  </si>
  <si>
    <t>Act(-2)</t>
  </si>
  <si>
    <t>Act(-1)</t>
  </si>
  <si>
    <t>Act</t>
  </si>
  <si>
    <t>Waste Connections, Inc.</t>
  </si>
  <si>
    <t>Districts/Grouping:</t>
  </si>
  <si>
    <t>2010</t>
  </si>
  <si>
    <t>Exclude IC:</t>
  </si>
  <si>
    <t>IS 210 - PL Review</t>
  </si>
  <si>
    <t/>
  </si>
  <si>
    <t>System:</t>
  </si>
  <si>
    <t>2017-09</t>
  </si>
  <si>
    <t>Category</t>
  </si>
  <si>
    <t>Days - Weekdays</t>
  </si>
  <si>
    <t>Hauling Revenue - Roll Off Permanent</t>
  </si>
  <si>
    <t>[!DetailRow]</t>
  </si>
  <si>
    <t>Hauling Revenue - Roll Off Recycling</t>
  </si>
  <si>
    <t>Corporate Roll Off Disposal Charge</t>
  </si>
  <si>
    <t>Hauling Revenue - Roll Off Intercompany</t>
  </si>
  <si>
    <t>Hauling Revenue - Roll Off Extras</t>
  </si>
  <si>
    <t>Hauling Revenue - Residential MSW</t>
  </si>
  <si>
    <t>Hauling Revenue - Residential MSW Extras</t>
  </si>
  <si>
    <t>Hauling Revenue - Residential Recycling</t>
  </si>
  <si>
    <t>Hauling Revenue - Residential Composting</t>
  </si>
  <si>
    <t>Hauling Revenue - Commercial FEL</t>
  </si>
  <si>
    <t>Hauling Revenue - Commercial FEL Extras</t>
  </si>
  <si>
    <t>Hauling Revenue - Commercial Recycling F</t>
  </si>
  <si>
    <t>Hauling Revenue - Commercial Recycling R</t>
  </si>
  <si>
    <t>Hauling Revenue</t>
  </si>
  <si>
    <t>Transfer and MRF</t>
  </si>
  <si>
    <t>Proceeds - Other Paper</t>
  </si>
  <si>
    <t>Proceeds - Aluminum</t>
  </si>
  <si>
    <t>Proceeds - Metal</t>
  </si>
  <si>
    <t>Proceeds - Intercompany Material Sales</t>
  </si>
  <si>
    <t>Recycling Proceeds</t>
  </si>
  <si>
    <t>Landfill Revenue</t>
  </si>
  <si>
    <t>Intermodal</t>
  </si>
  <si>
    <t>Other Revenue</t>
  </si>
  <si>
    <t>P-Card Rebate Revenue</t>
  </si>
  <si>
    <t>Disposal Landfill Intercompany</t>
  </si>
  <si>
    <t>Disposal Transfer Station</t>
  </si>
  <si>
    <t>Disposal Transfer Station Intercompany</t>
  </si>
  <si>
    <t>Disposal</t>
  </si>
  <si>
    <t>MRF Processing</t>
  </si>
  <si>
    <t>Brokerage Cost</t>
  </si>
  <si>
    <t>Rebates and Revenue Sharing</t>
  </si>
  <si>
    <t>Taxes and Pass Thru Fees</t>
  </si>
  <si>
    <t>WUTC Taxes</t>
  </si>
  <si>
    <t>Brok. and Taxes</t>
  </si>
  <si>
    <t>Cost of Materials - OCC</t>
  </si>
  <si>
    <t>Cost of Materials - Intercompany</t>
  </si>
  <si>
    <t>Cost of Materials</t>
  </si>
  <si>
    <t>Other Expense</t>
  </si>
  <si>
    <t>Rev Reductions</t>
  </si>
  <si>
    <t>Net Revenue</t>
  </si>
  <si>
    <t>Safety and Training</t>
  </si>
  <si>
    <t>Drug Testing</t>
  </si>
  <si>
    <t>Pension and Profit Sharing</t>
  </si>
  <si>
    <t>Union Benefit Expense</t>
  </si>
  <si>
    <t>Union Pension</t>
  </si>
  <si>
    <t>Labor</t>
  </si>
  <si>
    <t>Truck Fixed</t>
  </si>
  <si>
    <t>Parts and Materials</t>
  </si>
  <si>
    <t>Tires</t>
  </si>
  <si>
    <t>CNG Fuel</t>
  </si>
  <si>
    <t>Urea Additive Expense</t>
  </si>
  <si>
    <t>Towing Expense</t>
  </si>
  <si>
    <t>Office Supply and Equip</t>
  </si>
  <si>
    <t>Truck Variable</t>
  </si>
  <si>
    <t>Container Exp</t>
  </si>
  <si>
    <t>Meal and Entertainment</t>
  </si>
  <si>
    <t>Superv. Ex</t>
  </si>
  <si>
    <t>Bldg &amp; Property</t>
  </si>
  <si>
    <t>Real Estate Rentals</t>
  </si>
  <si>
    <t>Drive Cam &amp; Routing SW Fees</t>
  </si>
  <si>
    <t>Penalties and Violations</t>
  </si>
  <si>
    <t>Bonds Expense</t>
  </si>
  <si>
    <t>Other Operating</t>
  </si>
  <si>
    <t>Closure Exp</t>
  </si>
  <si>
    <t>A&amp;L - Current Year Claims</t>
  </si>
  <si>
    <t>A&amp;L - Prior Year Claims</t>
  </si>
  <si>
    <t>WC - Current Year Claims</t>
  </si>
  <si>
    <t>WC - Prior Year Claims</t>
  </si>
  <si>
    <t>Damages paid by District</t>
  </si>
  <si>
    <t>Workers Comp Prem</t>
  </si>
  <si>
    <t>Insurance Exp</t>
  </si>
  <si>
    <t>Gain/Loss on Sale of Asset</t>
  </si>
  <si>
    <t>G/L on Ops</t>
  </si>
  <si>
    <t>Cost of Ops</t>
  </si>
  <si>
    <t>Gross Profit</t>
  </si>
  <si>
    <t>Bonuses and Commissions</t>
  </si>
  <si>
    <t>Travel - Auto</t>
  </si>
  <si>
    <t>Sales Exp</t>
  </si>
  <si>
    <t>Political Contributions</t>
  </si>
  <si>
    <t>Cellular Telephone</t>
  </si>
  <si>
    <t>Building Operating Expenses (CAM)</t>
  </si>
  <si>
    <t>Registration Fees</t>
  </si>
  <si>
    <t>Dues and Subscriptions</t>
  </si>
  <si>
    <t>Excursions Meetings</t>
  </si>
  <si>
    <t>Gifts to Customers</t>
  </si>
  <si>
    <t>Payroll Processing Fees</t>
  </si>
  <si>
    <t>Property Taxes</t>
  </si>
  <si>
    <t>G&amp;A</t>
  </si>
  <si>
    <t>Corporate Overhead Allocation In</t>
  </si>
  <si>
    <t>Corp Overhead</t>
  </si>
  <si>
    <t>Total SG&amp;A</t>
  </si>
  <si>
    <t>EBITDA</t>
  </si>
  <si>
    <t>Watch list EBITDA</t>
  </si>
  <si>
    <t>Depreciation</t>
  </si>
  <si>
    <t>Airspace Amort</t>
  </si>
  <si>
    <t>Intangible Amort</t>
  </si>
  <si>
    <t>Total DDA</t>
  </si>
  <si>
    <t>EBIT From Ops</t>
  </si>
  <si>
    <t>IS Interest</t>
  </si>
  <si>
    <t>Entity interest expense</t>
  </si>
  <si>
    <t>Interest Exp</t>
  </si>
  <si>
    <t>IS Interest Income</t>
  </si>
  <si>
    <t>Interest Income</t>
  </si>
  <si>
    <t>IS OtherIncExp</t>
  </si>
  <si>
    <t>Other Inc/Exp</t>
  </si>
  <si>
    <t>NI b/ Taxes &amp; Extra</t>
  </si>
  <si>
    <t>Extra. Items</t>
  </si>
  <si>
    <t>NI b/ Taxes</t>
  </si>
  <si>
    <t>IS Taxes</t>
  </si>
  <si>
    <t>Taxes</t>
  </si>
  <si>
    <t>Net Income</t>
  </si>
  <si>
    <t>IS NoncontrollingExp</t>
  </si>
  <si>
    <t>Non Controlling Int</t>
  </si>
  <si>
    <t>Net Income Attrib</t>
  </si>
  <si>
    <t>[Leftovers]</t>
  </si>
  <si>
    <t>Data Not Included</t>
  </si>
  <si>
    <t>Check</t>
  </si>
  <si>
    <t>Waste Connections of Washington, G-253</t>
  </si>
  <si>
    <t>Test Period Ending 9-30-2017</t>
  </si>
  <si>
    <t>check figure</t>
  </si>
  <si>
    <t>Grand Total</t>
  </si>
  <si>
    <t>(A)  Immaterial variance</t>
  </si>
  <si>
    <t>(A)</t>
  </si>
  <si>
    <t>OH Allocation</t>
  </si>
  <si>
    <t>Unallowable</t>
  </si>
  <si>
    <t>Allocation</t>
  </si>
  <si>
    <t>Adjusted Region</t>
  </si>
  <si>
    <t>Adjust Out</t>
  </si>
  <si>
    <t>Allocation Percentage</t>
  </si>
  <si>
    <t>2016 Customer Count</t>
  </si>
  <si>
    <t>District</t>
  </si>
  <si>
    <t>2015 Customer Count</t>
  </si>
  <si>
    <t>2017</t>
  </si>
  <si>
    <t>2016</t>
  </si>
  <si>
    <t xml:space="preserve">     Total Waste Connections eliminated revenues</t>
  </si>
  <si>
    <t xml:space="preserve">     Total Corporate G&amp;A Expenses</t>
  </si>
  <si>
    <t>Board of Directors Expense Report</t>
  </si>
  <si>
    <t>Board of Directors Fees</t>
  </si>
  <si>
    <t>Directors and Officers Insurance</t>
  </si>
  <si>
    <t>Property and Liability Insurance</t>
  </si>
  <si>
    <t>Acquisition Cost Write Off</t>
  </si>
  <si>
    <t>Accounting Professional Fees</t>
  </si>
  <si>
    <t>Outside Storages</t>
  </si>
  <si>
    <t>Aircraft Lubricants &amp; Consumables</t>
  </si>
  <si>
    <t>Plane Parts &amp; Materials</t>
  </si>
  <si>
    <t>Corporate Office Relocation</t>
  </si>
  <si>
    <t>Corp PR Tax</t>
  </si>
  <si>
    <t>Termination Pay</t>
  </si>
  <si>
    <t>Corp Allocated Bonus</t>
  </si>
  <si>
    <t>Deferred Comp Earnings</t>
  </si>
  <si>
    <t>RM Fixed Costs</t>
  </si>
  <si>
    <t>Remove non-regulated operating assets and R360 assets in TG-130501 and TG-130502</t>
  </si>
  <si>
    <t>Airplane depreciation, as removed on prior rate cases, TG-170036/170037.</t>
  </si>
  <si>
    <t>Non-Allowable</t>
  </si>
  <si>
    <t>Ended</t>
  </si>
  <si>
    <t>12-Months</t>
  </si>
  <si>
    <t>YTD 12</t>
  </si>
  <si>
    <t>Adjusted</t>
  </si>
  <si>
    <t>Income Statement Detail - Eliminated</t>
  </si>
  <si>
    <t>Corp</t>
  </si>
  <si>
    <t>*</t>
  </si>
  <si>
    <t>101*</t>
  </si>
  <si>
    <t xml:space="preserve">Allocation Ratios </t>
  </si>
  <si>
    <t>Ratios below are used to allocate expenses between regulated &amp; non-regulated operations.</t>
  </si>
  <si>
    <t>Customer Count:</t>
  </si>
  <si>
    <t>Regulated</t>
  </si>
  <si>
    <t>Non-Reg</t>
  </si>
  <si>
    <t>Regulated %</t>
  </si>
  <si>
    <t>Non-Regulated %</t>
  </si>
  <si>
    <t>Reg Only - LOS</t>
  </si>
  <si>
    <t>Residential Garbage</t>
  </si>
  <si>
    <t>Commercial Container</t>
  </si>
  <si>
    <t>Roll-Off</t>
  </si>
  <si>
    <t>Commercial Recycl</t>
  </si>
  <si>
    <t>Reg-Non Reg %</t>
  </si>
  <si>
    <t>(Cust Cnt)</t>
  </si>
  <si>
    <t>Customers Billed (Cust Inv'd)</t>
  </si>
  <si>
    <t>(Cust Inv'd)</t>
  </si>
  <si>
    <t xml:space="preserve"> </t>
  </si>
  <si>
    <t>Hours are from external workbook (Time Study), available upon request.</t>
  </si>
  <si>
    <t>Route Study - Average Weekly Hours</t>
  </si>
  <si>
    <t>Rt Hr (1)</t>
  </si>
  <si>
    <t>Route Hrs</t>
  </si>
  <si>
    <t>Non-Regulated</t>
  </si>
  <si>
    <t>Residential/Comm</t>
  </si>
  <si>
    <t>Roll-off</t>
  </si>
  <si>
    <t>Total Hours</t>
  </si>
  <si>
    <t>(Rt Hrs)</t>
  </si>
  <si>
    <t>Line of Business Only:  (LOB)</t>
  </si>
  <si>
    <t>Ratios below are used to allocate regulated expenses into the correct line of business.</t>
  </si>
  <si>
    <t>Customers:</t>
  </si>
  <si>
    <t>Commercial</t>
  </si>
  <si>
    <t>Route Hours: (LOB)</t>
  </si>
  <si>
    <t>Trucks</t>
  </si>
  <si>
    <t>Restating Adjustments</t>
  </si>
  <si>
    <t>RS-1: Restate Revenue to Billing Records</t>
  </si>
  <si>
    <t>Restating Adjustment Summary</t>
  </si>
  <si>
    <t>Revenue Adjustments</t>
  </si>
  <si>
    <t>OH Adjustments</t>
  </si>
  <si>
    <t>Adjust Deprec to UTC Method</t>
  </si>
  <si>
    <t>Adjust Bad Debt</t>
  </si>
  <si>
    <t>Adjust in Other Comp/Expense</t>
  </si>
  <si>
    <t xml:space="preserve">City Contract/Non-Reg </t>
  </si>
  <si>
    <t>Total Revenue per Billing</t>
  </si>
  <si>
    <t>Per IS</t>
  </si>
  <si>
    <t>Difference</t>
  </si>
  <si>
    <t>Service Charge Allocation (LOB)</t>
  </si>
  <si>
    <t>Packer Routes</t>
  </si>
  <si>
    <t>RO Routes</t>
  </si>
  <si>
    <t>Reclass to off-set to operating expense</t>
  </si>
  <si>
    <t>Building/Grounds Repair</t>
  </si>
  <si>
    <t>Wages-Mechanics</t>
  </si>
  <si>
    <t>Wages-Container Mechanic</t>
  </si>
  <si>
    <t>Pass Through</t>
  </si>
  <si>
    <t>Disposal Incineration</t>
  </si>
  <si>
    <t>Disposal Transfer</t>
  </si>
  <si>
    <t>Processing Fees</t>
  </si>
  <si>
    <t>Corporate OH Adjust:</t>
  </si>
  <si>
    <t>Adjusted OH %</t>
  </si>
  <si>
    <t>Region OH Adjust:</t>
  </si>
  <si>
    <t>Per Calc</t>
  </si>
  <si>
    <t>Adjust</t>
  </si>
  <si>
    <t>Sale of Asset</t>
  </si>
  <si>
    <t>Franchise Fees</t>
  </si>
  <si>
    <t>Mechanics</t>
  </si>
  <si>
    <t>Regulated Revenue</t>
  </si>
  <si>
    <t>Test Period Fees</t>
  </si>
  <si>
    <t>PER IS</t>
  </si>
  <si>
    <t>Adjustment</t>
  </si>
  <si>
    <t>Per UTC</t>
  </si>
  <si>
    <t>Bad Debt:</t>
  </si>
  <si>
    <t>Write-off</t>
  </si>
  <si>
    <t>Beginning test period</t>
  </si>
  <si>
    <t>Ending test period</t>
  </si>
  <si>
    <t>Recovery</t>
  </si>
  <si>
    <t>Actual write-off expense</t>
  </si>
  <si>
    <t>Income Statement</t>
  </si>
  <si>
    <t>PRO-FORMA RAISES INTO EXPENSE BASE</t>
  </si>
  <si>
    <t>PR-1</t>
  </si>
  <si>
    <t>Restate Wage Increase:</t>
  </si>
  <si>
    <t>Supervisor</t>
  </si>
  <si>
    <t>Wage Increase Taxes:</t>
  </si>
  <si>
    <t>TOTAL PR-1</t>
  </si>
  <si>
    <t>PRO-FORMA KNOWN EXPENSE OF NOTIFYING CUSTOMERS OF RATE INCREASE</t>
  </si>
  <si>
    <t>PR-2</t>
  </si>
  <si>
    <t># of Cust</t>
  </si>
  <si>
    <t>Exp per Cust</t>
  </si>
  <si>
    <t>Expense</t>
  </si>
  <si>
    <t>Residential, Recycl, YW</t>
  </si>
  <si>
    <t>Commercial Cont</t>
  </si>
  <si>
    <t>Amortize over 24 Months</t>
  </si>
  <si>
    <t>Packer % for LOB Alloc.</t>
  </si>
  <si>
    <t>PR-3</t>
  </si>
  <si>
    <t>Account #52142</t>
  </si>
  <si>
    <t>PR-4</t>
  </si>
  <si>
    <t>Jan-Sept 2017 %</t>
  </si>
  <si>
    <t>2000</t>
  </si>
  <si>
    <t>Oct- Dec 2016 %</t>
  </si>
  <si>
    <t>Shred</t>
  </si>
  <si>
    <t>Shredding</t>
  </si>
  <si>
    <t>Shared Shop Equipment</t>
  </si>
  <si>
    <t>CNG Station</t>
  </si>
  <si>
    <t>Buildings</t>
  </si>
  <si>
    <t>Land</t>
  </si>
  <si>
    <t>MF MSW</t>
  </si>
  <si>
    <t>Service Charges</t>
  </si>
  <si>
    <t>Waste Connections of WA, Inc.</t>
  </si>
  <si>
    <t>Clark County - Regulated</t>
  </si>
  <si>
    <t>October 1, 2016 - September 30, 2017</t>
  </si>
  <si>
    <t>Service Code</t>
  </si>
  <si>
    <t>Service Code Description</t>
  </si>
  <si>
    <t>Tariff Rate</t>
  </si>
  <si>
    <t>RESIDENTIAL SERVICES</t>
  </si>
  <si>
    <t>Clark Co (Regulated)</t>
  </si>
  <si>
    <t>Customer Count</t>
  </si>
  <si>
    <t>CRMCEOW</t>
  </si>
  <si>
    <t>20GAL CAN EOW</t>
  </si>
  <si>
    <t>CRMC</t>
  </si>
  <si>
    <t>20GAL CAN WEEKLY</t>
  </si>
  <si>
    <t>CREOW</t>
  </si>
  <si>
    <t>1 32GAL CAN EOW</t>
  </si>
  <si>
    <t>CR32MO</t>
  </si>
  <si>
    <t>1 32GAL CAN ONCE A MTH</t>
  </si>
  <si>
    <t>CR32W1</t>
  </si>
  <si>
    <t>1 32GAL CAN WEEKLY</t>
  </si>
  <si>
    <t>CR32W2</t>
  </si>
  <si>
    <t>2-32GAL CANS WEEKLY</t>
  </si>
  <si>
    <t>CR32W3</t>
  </si>
  <si>
    <t>3-32GAL CANS WEEKLY</t>
  </si>
  <si>
    <t>CR32W4</t>
  </si>
  <si>
    <t>4-32GAL CANS WEEKLY</t>
  </si>
  <si>
    <t>CR32W5</t>
  </si>
  <si>
    <t>5-32GAL CANS WEEKLY</t>
  </si>
  <si>
    <t>CR32W6</t>
  </si>
  <si>
    <t>6-32GAL CANS WEEKLY</t>
  </si>
  <si>
    <t>CR32W7</t>
  </si>
  <si>
    <t>7-32GAL CANS WEEKLY</t>
  </si>
  <si>
    <t>CR32W8</t>
  </si>
  <si>
    <t>8-32GAL CANS WEEKLY</t>
  </si>
  <si>
    <t>9-32GAL CANS WEEKLY</t>
  </si>
  <si>
    <t>RREXC</t>
  </si>
  <si>
    <t>EXTRA CANS, BAGS,BOXES</t>
  </si>
  <si>
    <t>RRCALL</t>
  </si>
  <si>
    <t>ON CALL CAN</t>
  </si>
  <si>
    <t>ROFOW</t>
  </si>
  <si>
    <t>OVERWGHT-OVERFILL CAN</t>
  </si>
  <si>
    <t>COFOW</t>
  </si>
  <si>
    <t>CTYD6</t>
  </si>
  <si>
    <t>6-25 FT DIST CHARGE</t>
  </si>
  <si>
    <t>CTYD26</t>
  </si>
  <si>
    <t>26-50 FT DIST CHARGE</t>
  </si>
  <si>
    <t>CTYD51</t>
  </si>
  <si>
    <t>51-75 FT DIST CHARGE</t>
  </si>
  <si>
    <t>CTYD76</t>
  </si>
  <si>
    <t>76-100 FT DIST CHARGE</t>
  </si>
  <si>
    <t>CTYD101</t>
  </si>
  <si>
    <t>101-125 FT DIST CHARGE</t>
  </si>
  <si>
    <t>CTYD126</t>
  </si>
  <si>
    <t>126-150 FT DIST CHARGE</t>
  </si>
  <si>
    <t>CTYD151</t>
  </si>
  <si>
    <t>151-175 FT DIST CHARGE</t>
  </si>
  <si>
    <t>CRDRVIN</t>
  </si>
  <si>
    <t>DRIVE IN CHG -RESIDENTIAL</t>
  </si>
  <si>
    <t>RSNP</t>
  </si>
  <si>
    <t>NON-PAY STOP RESTART FEE</t>
  </si>
  <si>
    <t>CRTIME1</t>
  </si>
  <si>
    <t>TIME CHARGE - 1 MAN</t>
  </si>
  <si>
    <t>CRTIME2</t>
  </si>
  <si>
    <t>TIME CHARGE - 2 MAN</t>
  </si>
  <si>
    <t>WBTIME</t>
  </si>
  <si>
    <t>TIME CHG/MIN-BULKY ITEMS</t>
  </si>
  <si>
    <t>RRTRIP</t>
  </si>
  <si>
    <t>TRIP CHARGE - CART/CAN</t>
  </si>
  <si>
    <t>WBMISC</t>
  </si>
  <si>
    <t>BULKY ITEM CHARGE-MISC</t>
  </si>
  <si>
    <t>WBCHAIR</t>
  </si>
  <si>
    <t>CHAIR</t>
  </si>
  <si>
    <t>WBSTOVE</t>
  </si>
  <si>
    <t>STOVE/RANGE</t>
  </si>
  <si>
    <t>WBSOFA</t>
  </si>
  <si>
    <t>SOFA/LOVESEAT</t>
  </si>
  <si>
    <t>WBMATT</t>
  </si>
  <si>
    <t>MATTRESS/BOXSPRING</t>
  </si>
  <si>
    <t>TOTAL RESIDENTIAL SERVICES</t>
  </si>
  <si>
    <t xml:space="preserve">COMMERCIAL SERVICES </t>
  </si>
  <si>
    <t>CC1Y1W</t>
  </si>
  <si>
    <t>1YD CONT 1X WEEKLY</t>
  </si>
  <si>
    <t>CC1Y2W</t>
  </si>
  <si>
    <t>1YD CONT 2X WEEKLY</t>
  </si>
  <si>
    <t>CC1YEOW</t>
  </si>
  <si>
    <t>1YD CONTAINER EOW</t>
  </si>
  <si>
    <t>CC15Y1W</t>
  </si>
  <si>
    <t>1.5YD CONT 1X WEEKLY</t>
  </si>
  <si>
    <t>CC15Y2W</t>
  </si>
  <si>
    <t>1.5YD CONT 2X WEEKLY</t>
  </si>
  <si>
    <t>CC15YEOW</t>
  </si>
  <si>
    <t>1.5YD CONTAINER EOW</t>
  </si>
  <si>
    <t>CC2Y1W</t>
  </si>
  <si>
    <t>2YD CONT 1X WEEKLY</t>
  </si>
  <si>
    <t>CC2Y2W</t>
  </si>
  <si>
    <t>2YD CONT 2X WEEKLY</t>
  </si>
  <si>
    <t>CC2Y3W</t>
  </si>
  <si>
    <t>2YD CONT 3X WEEKLY</t>
  </si>
  <si>
    <t>CC2Y4W</t>
  </si>
  <si>
    <t>2YD CONT 4X WEEKLY</t>
  </si>
  <si>
    <t>CC2Y5W</t>
  </si>
  <si>
    <t>2YD CONT 5X WEEKLY</t>
  </si>
  <si>
    <t>CC2YEOW</t>
  </si>
  <si>
    <t>2YD CONTAINER EOW</t>
  </si>
  <si>
    <t>CC3Y1W</t>
  </si>
  <si>
    <t>3YD CONT 1X WEEKLY</t>
  </si>
  <si>
    <t>CC3Y2W</t>
  </si>
  <si>
    <t>3YD CONT 2X WEEKLY</t>
  </si>
  <si>
    <t>CC3Y3W</t>
  </si>
  <si>
    <t>3YD CONT 3X WEEKLY</t>
  </si>
  <si>
    <t>CC3Y4W</t>
  </si>
  <si>
    <t>3YD CONT 4X WEEKLY</t>
  </si>
  <si>
    <t>CC3Y5W</t>
  </si>
  <si>
    <t>3YD CONT 5X WEEKLY</t>
  </si>
  <si>
    <t>CC3YEOW</t>
  </si>
  <si>
    <t>3YD CONTAINER EOW</t>
  </si>
  <si>
    <t>CC4Y1W</t>
  </si>
  <si>
    <t>4YD CONT 1X WEEKLY</t>
  </si>
  <si>
    <t>CC4Y2W</t>
  </si>
  <si>
    <t>4YD CONT 2X WEEKLY</t>
  </si>
  <si>
    <t>CC4Y3W</t>
  </si>
  <si>
    <t>4YD CONT 3X WEEKLY</t>
  </si>
  <si>
    <t>CC4Y4W</t>
  </si>
  <si>
    <t>4YD CONT 4X WEEKLY</t>
  </si>
  <si>
    <t>CC4Y5W</t>
  </si>
  <si>
    <t>4YD CONT 5X WEEKLY</t>
  </si>
  <si>
    <t>CC4Y6W</t>
  </si>
  <si>
    <t>4YD CONT 6X WEEKLY</t>
  </si>
  <si>
    <t>CC4YEOW</t>
  </si>
  <si>
    <t>4YD CONTAINER EOW</t>
  </si>
  <si>
    <t>CC5Y1W</t>
  </si>
  <si>
    <t>5YD CONT 1X WEEKLY</t>
  </si>
  <si>
    <t>CC5YEOW</t>
  </si>
  <si>
    <t>5YD CONTAINER EOW</t>
  </si>
  <si>
    <t>CC6Y1W</t>
  </si>
  <si>
    <t>6YD CONT 1X WEEKLY</t>
  </si>
  <si>
    <t>CC6Y2W</t>
  </si>
  <si>
    <t>6YD CONT 2X WEEKLY</t>
  </si>
  <si>
    <t>CC6Y3W</t>
  </si>
  <si>
    <t>6YD CONT 3X WEEKLY</t>
  </si>
  <si>
    <t>CC6Y5W</t>
  </si>
  <si>
    <t>6YD CONT 5X WEEKLY</t>
  </si>
  <si>
    <t>CC6YEOW</t>
  </si>
  <si>
    <t>6YD CONTAINER EOW</t>
  </si>
  <si>
    <t>CC8Y1W</t>
  </si>
  <si>
    <t>8YD CONT 1X WEEKLY</t>
  </si>
  <si>
    <t>CC8Y2W</t>
  </si>
  <si>
    <t>8YD CONT 2X WEEKLY</t>
  </si>
  <si>
    <t>CC8Y3W</t>
  </si>
  <si>
    <t>8YD CONT 3X WEEKLY</t>
  </si>
  <si>
    <t>CC8Y4W</t>
  </si>
  <si>
    <t>8YD CONT 4X WEEKLY</t>
  </si>
  <si>
    <t>CC8YEOW</t>
  </si>
  <si>
    <t>8YD CONTAINER EOW</t>
  </si>
  <si>
    <t>CCCMP2Y</t>
  </si>
  <si>
    <t>2YD COMP CONT 1X WKLY</t>
  </si>
  <si>
    <t>CCCMP3Y</t>
  </si>
  <si>
    <t>3YD COMP CONT 1X WKLY</t>
  </si>
  <si>
    <t>CCCMP4Y</t>
  </si>
  <si>
    <t>4YD COMP CONT 1X WKLY</t>
  </si>
  <si>
    <t>CCSP1Y</t>
  </si>
  <si>
    <t>SPECIAL PICKUP 1YD CONT</t>
  </si>
  <si>
    <t>CCSP15Y</t>
  </si>
  <si>
    <t>SPECIAL PICKUP 1.5YD CONT</t>
  </si>
  <si>
    <t>CCSP2Y</t>
  </si>
  <si>
    <t>SPECIAL PICKUP 2YD CONT</t>
  </si>
  <si>
    <t>CCSP3Y</t>
  </si>
  <si>
    <t>SPECIAL PICKUP 3YD CONT</t>
  </si>
  <si>
    <t>VCSP2YC</t>
  </si>
  <si>
    <t>SPECIAL PICKUP 2YD COMP</t>
  </si>
  <si>
    <t>VCSP4YC</t>
  </si>
  <si>
    <t>SPECIAL PICKUP 4YD COMP</t>
  </si>
  <si>
    <t>CCSP4Y</t>
  </si>
  <si>
    <t>SPECIAL PICKUP 4YD CONT</t>
  </si>
  <si>
    <t>CCSP5Y</t>
  </si>
  <si>
    <t>SPECIAL PICKUP 5YD CONT</t>
  </si>
  <si>
    <t>CCSP6Y</t>
  </si>
  <si>
    <t>SPECIAL PICKUP 6YD CONT</t>
  </si>
  <si>
    <t>CCSP8Y</t>
  </si>
  <si>
    <t>SPECIAL PICKUP 8YD CONT</t>
  </si>
  <si>
    <t>CCTP1Y</t>
  </si>
  <si>
    <t>TEMP PICKUP 1YD CONT</t>
  </si>
  <si>
    <t>CCTP15Y</t>
  </si>
  <si>
    <t>TEMP PICKUP 1.5YD CONT</t>
  </si>
  <si>
    <t>CCTP2Y</t>
  </si>
  <si>
    <t>TEMP PICKUP 2YD CONT</t>
  </si>
  <si>
    <t>CCTP3Y</t>
  </si>
  <si>
    <t>TEMP PICKUP 3YD CONT</t>
  </si>
  <si>
    <t>CCTP4Y</t>
  </si>
  <si>
    <t>TEMP PICKUP 4YD CONT</t>
  </si>
  <si>
    <t>CCTP8Y</t>
  </si>
  <si>
    <t>TEMP PICKUP 8YD CONT</t>
  </si>
  <si>
    <t>CC32W1</t>
  </si>
  <si>
    <t>32GAL CAN WEEKLY-COM</t>
  </si>
  <si>
    <t>CC32W2</t>
  </si>
  <si>
    <t>CC32W3</t>
  </si>
  <si>
    <t>CC32W4</t>
  </si>
  <si>
    <t>CC32W5</t>
  </si>
  <si>
    <t>CC32W6</t>
  </si>
  <si>
    <t>CC32W8</t>
  </si>
  <si>
    <t>CC32W9</t>
  </si>
  <si>
    <t>CCEXCAN</t>
  </si>
  <si>
    <t>EXTRA = CANS - COM</t>
  </si>
  <si>
    <t>CCEXYD</t>
  </si>
  <si>
    <t>EXTRA = YARDS</t>
  </si>
  <si>
    <t>RCOF</t>
  </si>
  <si>
    <t>OVERFILLED CONTAINER</t>
  </si>
  <si>
    <t>CCDISC</t>
  </si>
  <si>
    <t>COMPACTOR CONT DISCONNECT</t>
  </si>
  <si>
    <t>CCPLACE</t>
  </si>
  <si>
    <t>CONTAINER DELIVERY FEE</t>
  </si>
  <si>
    <t>XPLACE</t>
  </si>
  <si>
    <t>PT 1-8YD CONT DELIVERY</t>
  </si>
  <si>
    <t>CC1YPR</t>
  </si>
  <si>
    <t>PERM CONT RENT 1YD</t>
  </si>
  <si>
    <t>CC15YPR</t>
  </si>
  <si>
    <t>PERM CONT RENT 1.5YD</t>
  </si>
  <si>
    <t>CC2YPR</t>
  </si>
  <si>
    <t>PERM CONT RENT 2YD</t>
  </si>
  <si>
    <t>CC3YPR</t>
  </si>
  <si>
    <t>PERM CONT RENT 3YD</t>
  </si>
  <si>
    <t>CC4YPR</t>
  </si>
  <si>
    <t>PERM CONT RENT 4YD</t>
  </si>
  <si>
    <t>CC5YPR</t>
  </si>
  <si>
    <t>PERM CONT RENT 5YD</t>
  </si>
  <si>
    <t>CC6YPR</t>
  </si>
  <si>
    <t>PERM CONT RENT 6YD</t>
  </si>
  <si>
    <t>CC8YPR</t>
  </si>
  <si>
    <t>PERM CONT RENT 8YD</t>
  </si>
  <si>
    <t>CC1YOC</t>
  </si>
  <si>
    <t>1YD CONT ON CALL RENTAL</t>
  </si>
  <si>
    <t>CC2YOC</t>
  </si>
  <si>
    <t>2YD CONT ON CALL RENT</t>
  </si>
  <si>
    <t>CC3YOC</t>
  </si>
  <si>
    <t>3YD CONT ON CALL RENTAL</t>
  </si>
  <si>
    <t>CC1YTR</t>
  </si>
  <si>
    <t>TEMP CONT RENT 1YD</t>
  </si>
  <si>
    <t>CC15YTR</t>
  </si>
  <si>
    <t>TEMP CONT RENT 1.5YD</t>
  </si>
  <si>
    <t>CC2YTR</t>
  </si>
  <si>
    <t>TEMP CONT RENT 2YD</t>
  </si>
  <si>
    <t>CC3YTR</t>
  </si>
  <si>
    <t>TEMP CONT RENT 3YD</t>
  </si>
  <si>
    <t>CC6YTR</t>
  </si>
  <si>
    <t>TEMP CONT RENT 6YD</t>
  </si>
  <si>
    <t>CC8YTR</t>
  </si>
  <si>
    <t>TEMP CONT RENT 8YD</t>
  </si>
  <si>
    <t>CTIME1M</t>
  </si>
  <si>
    <t>CTIME2M</t>
  </si>
  <si>
    <t>CCTRIP</t>
  </si>
  <si>
    <t>TRIP CHARGE - CONTAINER</t>
  </si>
  <si>
    <t>CRTRIP</t>
  </si>
  <si>
    <t>CACCESS</t>
  </si>
  <si>
    <t>ACCESS CHARGE - PER MTH</t>
  </si>
  <si>
    <t>CACCESSEOW</t>
  </si>
  <si>
    <t>EOW MONTHLY ACCESS CHARGE</t>
  </si>
  <si>
    <t>CWSAN 1-5</t>
  </si>
  <si>
    <t>WASH &amp; SANITIZE CONT 1-5</t>
  </si>
  <si>
    <t>VLOCK</t>
  </si>
  <si>
    <t>LOCK CHARGE - PER MTH</t>
  </si>
  <si>
    <t>CCDRVIN</t>
  </si>
  <si>
    <t>DRIVE IN CHARGE - PER MTH</t>
  </si>
  <si>
    <t>CROLLOUTEOW</t>
  </si>
  <si>
    <t>EOW CONT ROLLOUT CHARGE</t>
  </si>
  <si>
    <t>CROLLOUT</t>
  </si>
  <si>
    <t>ROLLOUT CHARGE - PER MTH</t>
  </si>
  <si>
    <t>DAMAGE</t>
  </si>
  <si>
    <t>PROPERTY DAMAGE</t>
  </si>
  <si>
    <t>ADJ</t>
  </si>
  <si>
    <t>ADJUST BALANCE</t>
  </si>
  <si>
    <t>GWC</t>
  </si>
  <si>
    <t>GOODWILL CREDIT</t>
  </si>
  <si>
    <t>TOTAL COMMERCIAL SERVICES</t>
  </si>
  <si>
    <t>DROP BOX SERVICES</t>
  </si>
  <si>
    <t>CER15YD</t>
  </si>
  <si>
    <t>EMPTY &amp; RETURN 15YD</t>
  </si>
  <si>
    <t>CER20YD</t>
  </si>
  <si>
    <t>EMPTY &amp; RETURN 20YD</t>
  </si>
  <si>
    <t>CER30YD</t>
  </si>
  <si>
    <t>EMPTY &amp; RETURN 30YD</t>
  </si>
  <si>
    <t>CER40YD</t>
  </si>
  <si>
    <t>EMPTY &amp; RETURN 40YD</t>
  </si>
  <si>
    <t>VHAUL20</t>
  </si>
  <si>
    <t>HAUL FEE 20YD DROPBOX</t>
  </si>
  <si>
    <t>VHAUL30</t>
  </si>
  <si>
    <t>HAUL FEE 30YD DROPBOX</t>
  </si>
  <si>
    <t>VHAUL40</t>
  </si>
  <si>
    <t>HAUL FEE 40YD DROPBOX</t>
  </si>
  <si>
    <t>CRV20YD</t>
  </si>
  <si>
    <t>REMOVE 20YD</t>
  </si>
  <si>
    <t>CRV30YD</t>
  </si>
  <si>
    <t>REMOVE 30YD</t>
  </si>
  <si>
    <t>CRV40YD</t>
  </si>
  <si>
    <t>REMOVE 40YD</t>
  </si>
  <si>
    <t>CTER15YD</t>
  </si>
  <si>
    <t>EMPTY &amp; RETURN TEMP 15YD</t>
  </si>
  <si>
    <t>CTER20YD</t>
  </si>
  <si>
    <t>EMPTY &amp; RETURN TEMP 20YD</t>
  </si>
  <si>
    <t>CTER30YD</t>
  </si>
  <si>
    <t>EMPTY &amp; RETURN TEMP 30YD</t>
  </si>
  <si>
    <t>CTER40YD</t>
  </si>
  <si>
    <t>EMPTY &amp; RETURN TEMP 40YD</t>
  </si>
  <si>
    <t>CTRV15YD</t>
  </si>
  <si>
    <t>REMOVE TEMP 15YD</t>
  </si>
  <si>
    <t>CTRV20YD</t>
  </si>
  <si>
    <t>REMOVE TEMP 20YD</t>
  </si>
  <si>
    <t>CTRV30YD</t>
  </si>
  <si>
    <t>REMOVE TEMP 30YD</t>
  </si>
  <si>
    <t>CTRV40YD</t>
  </si>
  <si>
    <t>REMOVE TEMP 40YD</t>
  </si>
  <si>
    <t>CCOMP15</t>
  </si>
  <si>
    <t>EMPTY 15YD COMPACTOR</t>
  </si>
  <si>
    <t>CCOMP20</t>
  </si>
  <si>
    <t>EMPTY 20YD COMPACTOR</t>
  </si>
  <si>
    <t>CCOMP25</t>
  </si>
  <si>
    <t>EMPTY 25YD COMPACTOR</t>
  </si>
  <si>
    <t>CCOMP30</t>
  </si>
  <si>
    <t>EMPTY 30YD COMPACTOR</t>
  </si>
  <si>
    <t>CCOMP40</t>
  </si>
  <si>
    <t>EMPTY 40YD COMPACTOR</t>
  </si>
  <si>
    <t>CDEM15</t>
  </si>
  <si>
    <t>15YD DROPBOX RENTAL</t>
  </si>
  <si>
    <t>CDEM20</t>
  </si>
  <si>
    <t>20YD DROPBOX RENTAL</t>
  </si>
  <si>
    <t>CDEM30</t>
  </si>
  <si>
    <t>30YD DROPBOX RENTAL</t>
  </si>
  <si>
    <t>CDEM40</t>
  </si>
  <si>
    <t>40YD DROPBOX RENTAL</t>
  </si>
  <si>
    <t>CTDEM15</t>
  </si>
  <si>
    <t>15YD TEMP DROPBOX RENT</t>
  </si>
  <si>
    <t>CTDEM20</t>
  </si>
  <si>
    <t>20YD TEMP DROPBOX RENT</t>
  </si>
  <si>
    <t>VDEM20</t>
  </si>
  <si>
    <t>VDEM30</t>
  </si>
  <si>
    <t>CTDEM30</t>
  </si>
  <si>
    <t>30YD TEMP DROPBOX RENT</t>
  </si>
  <si>
    <t>CTDEM40</t>
  </si>
  <si>
    <t>40YD TEMP DROPBOX RENT</t>
  </si>
  <si>
    <t>VDEM40</t>
  </si>
  <si>
    <t>SPDISCO</t>
  </si>
  <si>
    <t>COMPACTOR DISCONNECT FEE</t>
  </si>
  <si>
    <t>CPLACE</t>
  </si>
  <si>
    <t>DROPBOX DELIVERY FEE</t>
  </si>
  <si>
    <t>RPLACE</t>
  </si>
  <si>
    <t>CLIDCHG</t>
  </si>
  <si>
    <t>LID CHARGE - DROPBOX</t>
  </si>
  <si>
    <t>CTLIDCHG</t>
  </si>
  <si>
    <t>TEMP DROPBOX-LID CHARGE</t>
  </si>
  <si>
    <t>MILE</t>
  </si>
  <si>
    <t>MILEAGE CHARGE-BEYOND 10</t>
  </si>
  <si>
    <t>TARP</t>
  </si>
  <si>
    <t>TARP FEE</t>
  </si>
  <si>
    <t>VDTIME</t>
  </si>
  <si>
    <t>TIME CHARGE - DROPBOX</t>
  </si>
  <si>
    <t>VPLACE</t>
  </si>
  <si>
    <t>DBTRIP</t>
  </si>
  <si>
    <t>TRIP CHARGE - ROLLOFF</t>
  </si>
  <si>
    <t>VLIDCHG</t>
  </si>
  <si>
    <t>TOTAL DROP BOX SERVICES</t>
  </si>
  <si>
    <t>PASSTHROUGH DISPOSAL</t>
  </si>
  <si>
    <t>DISP</t>
  </si>
  <si>
    <t>DISPOSAL CHARGE</t>
  </si>
  <si>
    <t>FEE</t>
  </si>
  <si>
    <t>TRANSACTION FEE</t>
  </si>
  <si>
    <t>WBDRYER</t>
  </si>
  <si>
    <t>CLOTHES DRYER</t>
  </si>
  <si>
    <t>WBREFRIGE</t>
  </si>
  <si>
    <t>REFRIGERATOR, FREEZER</t>
  </si>
  <si>
    <t>WTTIRE</t>
  </si>
  <si>
    <t>TIRE(S) - LARGE</t>
  </si>
  <si>
    <t>WCTIRE/RIM</t>
  </si>
  <si>
    <t>TIRE(S) &amp; RIM(S)-SMALL</t>
  </si>
  <si>
    <t>WCTIRE</t>
  </si>
  <si>
    <t>TIRE(S) -SMALL</t>
  </si>
  <si>
    <t>WBWASHER</t>
  </si>
  <si>
    <t>WASHING MACHINE</t>
  </si>
  <si>
    <t>WBWTRHTR</t>
  </si>
  <si>
    <t>WATER HEATER</t>
  </si>
  <si>
    <t>TOTAL PASSTHROUGH DISPOSAL</t>
  </si>
  <si>
    <t>FINCHG</t>
  </si>
  <si>
    <t>FINANCE CHARGE</t>
  </si>
  <si>
    <t>RETCKC</t>
  </si>
  <si>
    <t>RETURNED CHECK</t>
  </si>
  <si>
    <t>TOTAL SERVICE CHARGES</t>
  </si>
  <si>
    <t>TOTAL REVENUE</t>
  </si>
  <si>
    <t>Roll-Off Recycling</t>
  </si>
  <si>
    <t>MF Recycling</t>
  </si>
  <si>
    <t>Clark County Regulated</t>
  </si>
  <si>
    <t>Drop Box Recycling</t>
  </si>
  <si>
    <t>Increases per LG:</t>
  </si>
  <si>
    <t>Garbage</t>
  </si>
  <si>
    <t>Current</t>
  </si>
  <si>
    <t>Proposed</t>
  </si>
  <si>
    <t>Tariff</t>
  </si>
  <si>
    <t>Rate</t>
  </si>
  <si>
    <t>Rates</t>
  </si>
  <si>
    <t>Increase</t>
  </si>
  <si>
    <t>Returned check charge:</t>
  </si>
  <si>
    <t xml:space="preserve">  Restart fees</t>
  </si>
  <si>
    <t xml:space="preserve"> Oversized can</t>
  </si>
  <si>
    <t>Overtime charge per hr:</t>
  </si>
  <si>
    <t>Minimum</t>
  </si>
  <si>
    <t>Return Trip:</t>
  </si>
  <si>
    <t>Cans</t>
  </si>
  <si>
    <t>Toter</t>
  </si>
  <si>
    <t>Carry-Out:</t>
  </si>
  <si>
    <t>Residential:</t>
  </si>
  <si>
    <t>5-25 feet</t>
  </si>
  <si>
    <t>25- plus add</t>
  </si>
  <si>
    <t>Commercial:</t>
  </si>
  <si>
    <t>Drive-in:</t>
  </si>
  <si>
    <t>125-250 feet</t>
  </si>
  <si>
    <t>Stairs - each step</t>
  </si>
  <si>
    <t>Overhead Obstruction</t>
  </si>
  <si>
    <t>Sunken</t>
  </si>
  <si>
    <t xml:space="preserve"> Mini</t>
  </si>
  <si>
    <t xml:space="preserve"> 1 can</t>
  </si>
  <si>
    <t xml:space="preserve"> 2 can</t>
  </si>
  <si>
    <t xml:space="preserve"> 3 can</t>
  </si>
  <si>
    <t xml:space="preserve"> 4 can</t>
  </si>
  <si>
    <t xml:space="preserve"> 5 can</t>
  </si>
  <si>
    <t xml:space="preserve"> 6 can</t>
  </si>
  <si>
    <t>1 can per month</t>
  </si>
  <si>
    <t>Roll Out</t>
  </si>
  <si>
    <t>Bag</t>
  </si>
  <si>
    <t>On Call</t>
  </si>
  <si>
    <t xml:space="preserve"> 32-gal</t>
  </si>
  <si>
    <t>Minimum Charge:</t>
  </si>
  <si>
    <t>Item 150, pg 28</t>
  </si>
  <si>
    <t>Loose and Bulky</t>
  </si>
  <si>
    <t>Additional</t>
  </si>
  <si>
    <t>Carry Chrg</t>
  </si>
  <si>
    <t>Item 160, pg 29</t>
  </si>
  <si>
    <t>Single Rear Drive Axle:</t>
  </si>
  <si>
    <t>Truck and Driver:</t>
  </si>
  <si>
    <t>Non-packer</t>
  </si>
  <si>
    <t>Packer</t>
  </si>
  <si>
    <t>RO</t>
  </si>
  <si>
    <t>Each Extra Person:</t>
  </si>
  <si>
    <t>Tandem Rear Drive Axle:</t>
  </si>
  <si>
    <t>Item 205, pg 31</t>
  </si>
  <si>
    <t>Roll-Out:</t>
  </si>
  <si>
    <t>Container</t>
  </si>
  <si>
    <t>Item 207, pg 32</t>
  </si>
  <si>
    <t>Excess Weight:</t>
  </si>
  <si>
    <t xml:space="preserve"> 1.5 yard</t>
  </si>
  <si>
    <t xml:space="preserve"> 3 yard </t>
  </si>
  <si>
    <t xml:space="preserve"> 4 yard </t>
  </si>
  <si>
    <t xml:space="preserve"> 6 yard </t>
  </si>
  <si>
    <t xml:space="preserve"> 8 yard </t>
  </si>
  <si>
    <t>Item 210, pg 33</t>
  </si>
  <si>
    <t>Washing:</t>
  </si>
  <si>
    <t>Per yard</t>
  </si>
  <si>
    <t>Item 230, pg 34</t>
  </si>
  <si>
    <t>Disposal Fees:</t>
  </si>
  <si>
    <t>Item 240, pg 35</t>
  </si>
  <si>
    <t>Permanent Container Rent:</t>
  </si>
  <si>
    <t>Pickups:</t>
  </si>
  <si>
    <t xml:space="preserve">Special Pickups: </t>
  </si>
  <si>
    <t>Temporary:</t>
  </si>
  <si>
    <t>Container Delivery:</t>
  </si>
  <si>
    <t>Rent per Day:</t>
  </si>
  <si>
    <t>Unlocking/Unlatching:</t>
  </si>
  <si>
    <t>Per pickup</t>
  </si>
  <si>
    <t>Special Pickups</t>
  </si>
  <si>
    <t>Minimum charge;</t>
  </si>
  <si>
    <t>Each additional unit</t>
  </si>
  <si>
    <t>Latching, Unlocking</t>
  </si>
  <si>
    <t>Each Pickup</t>
  </si>
  <si>
    <t>Special Pickup:</t>
  </si>
  <si>
    <t>Permanent Rent;</t>
  </si>
  <si>
    <t>20 yard</t>
  </si>
  <si>
    <t>30 yard</t>
  </si>
  <si>
    <t>40 yard</t>
  </si>
  <si>
    <t>Hauls:</t>
  </si>
  <si>
    <t>First, Additional, Special</t>
  </si>
  <si>
    <t>Temporary Delivery Fee:</t>
  </si>
  <si>
    <t>Perm/Temp Drop Box</t>
  </si>
  <si>
    <t>Mileage</t>
  </si>
  <si>
    <t>Unlatch, Unlock</t>
  </si>
  <si>
    <t>Customer owned comp</t>
  </si>
  <si>
    <t>25 yard</t>
  </si>
  <si>
    <t>35 yard</t>
  </si>
  <si>
    <t>Item 50, pg 14</t>
  </si>
  <si>
    <t>Item 51, pg 15</t>
  </si>
  <si>
    <t>Item 52, pg 15</t>
  </si>
  <si>
    <t>Item 55, pg 16</t>
  </si>
  <si>
    <t>Item 60, pg 16</t>
  </si>
  <si>
    <t>Item 70, pg 17</t>
  </si>
  <si>
    <t>Item 80, pg 19</t>
  </si>
  <si>
    <t>Item 90, pg 20</t>
  </si>
  <si>
    <t>Item 100, pg 21</t>
  </si>
  <si>
    <t>1 can every other week</t>
  </si>
  <si>
    <t xml:space="preserve"> Mini every other week</t>
  </si>
  <si>
    <t>7 can</t>
  </si>
  <si>
    <t xml:space="preserve">8 can </t>
  </si>
  <si>
    <t>9 can</t>
  </si>
  <si>
    <t>Mini-can</t>
  </si>
  <si>
    <t>60-gal toter</t>
  </si>
  <si>
    <t>90-gal toter</t>
  </si>
  <si>
    <t>Item 100, pg 22</t>
  </si>
  <si>
    <t>1 yard</t>
  </si>
  <si>
    <t>5 yard</t>
  </si>
  <si>
    <t>15 yard</t>
  </si>
  <si>
    <t>Refuse (per ton)</t>
  </si>
  <si>
    <t>All Other (per ton)</t>
  </si>
  <si>
    <t>All other (per load)</t>
  </si>
  <si>
    <t>Washer/Dryer</t>
  </si>
  <si>
    <t>Refrigerator/Freezer</t>
  </si>
  <si>
    <t>Water Heater</t>
  </si>
  <si>
    <t>Car Tire</t>
  </si>
  <si>
    <t>Car Tire with rim</t>
  </si>
  <si>
    <t>Truck Tire</t>
  </si>
  <si>
    <t>Truck Tire with rim</t>
  </si>
  <si>
    <t>All tires greater</t>
  </si>
  <si>
    <t>2 yard</t>
  </si>
  <si>
    <t>Rent per Month:</t>
  </si>
  <si>
    <t>Disconnect/Reconnect Compactor</t>
  </si>
  <si>
    <t>Lid charge (per day)</t>
  </si>
  <si>
    <t>Lid charge (per month)</t>
  </si>
  <si>
    <t>Monthly Rent</t>
  </si>
  <si>
    <t>3 yard</t>
  </si>
  <si>
    <t>4 yard</t>
  </si>
  <si>
    <t>6 yard</t>
  </si>
  <si>
    <t>Pickup</t>
  </si>
  <si>
    <t>Special Pickup</t>
  </si>
  <si>
    <t>Temporary Service</t>
  </si>
  <si>
    <t>Temporary Delivery</t>
  </si>
  <si>
    <t>Temporary Pickup</t>
  </si>
  <si>
    <t>Temporary Rent (per day)</t>
  </si>
  <si>
    <t>Temporary Rent (per month)</t>
  </si>
  <si>
    <t xml:space="preserve"> 4 yard comp</t>
  </si>
  <si>
    <t xml:space="preserve"> 4 yard comp </t>
  </si>
  <si>
    <t>Temporary DB (rent per day)</t>
  </si>
  <si>
    <t>Temporary DB (rent per month)</t>
  </si>
  <si>
    <t>Disconnect/reconnect compactor</t>
  </si>
  <si>
    <t>15 Yard</t>
  </si>
  <si>
    <t>NEW IMPROVED LURITO - GALLAGHER FORMULA</t>
  </si>
  <si>
    <t>!??!</t>
  </si>
  <si>
    <t>OP/RATIO</t>
  </si>
  <si>
    <t xml:space="preserve">      curve</t>
  </si>
  <si>
    <t>FORMULAS</t>
  </si>
  <si>
    <t>1st Revenue</t>
  </si>
  <si>
    <t>1st Turnover</t>
  </si>
  <si>
    <t>M</t>
  </si>
  <si>
    <t>ROR</t>
  </si>
  <si>
    <t>ROE</t>
  </si>
  <si>
    <t>Adj ROE</t>
  </si>
  <si>
    <t>Pre Tax ROE</t>
  </si>
  <si>
    <t>Adj M</t>
  </si>
  <si>
    <t>Revenues</t>
  </si>
  <si>
    <t>Decision</t>
  </si>
  <si>
    <t xml:space="preserve">     lookup table</t>
  </si>
  <si>
    <t>!!!</t>
  </si>
  <si>
    <t>Revenue Requirement</t>
  </si>
  <si>
    <t>!!!&lt;--</t>
  </si>
  <si>
    <t xml:space="preserve"> 1. less than 50</t>
  </si>
  <si>
    <t>@EXP(5.72260-(.68367*@LN(T)))</t>
  </si>
  <si>
    <t>Revenue Deficiency</t>
  </si>
  <si>
    <t xml:space="preserve"> 2. Between 50 and 125</t>
  </si>
  <si>
    <t>@EXP(5.70827-(.68367*@LN(T)))</t>
  </si>
  <si>
    <t>* p/f before rates</t>
  </si>
  <si>
    <t xml:space="preserve"> 3. Between 125 and 140</t>
  </si>
  <si>
    <t>@EXP(5.69850-(.68367*@LN(T)))</t>
  </si>
  <si>
    <t>Expenses</t>
  </si>
  <si>
    <t xml:space="preserve"> 4. greater than 400</t>
  </si>
  <si>
    <t>@EXP(5.69220-(.68367*@LN(T)))</t>
  </si>
  <si>
    <t>Avg. Investment  -</t>
  </si>
  <si>
    <t>curve turnover</t>
  </si>
  <si>
    <t>(calculated)</t>
  </si>
  <si>
    <t>2nd Turnover</t>
  </si>
  <si>
    <t xml:space="preserve">     lookup tables</t>
  </si>
  <si>
    <t>final turnover</t>
  </si>
  <si>
    <t>curve No. used</t>
  </si>
  <si>
    <t xml:space="preserve">Company actual </t>
  </si>
  <si>
    <t>capital structure:</t>
  </si>
  <si>
    <t>OPERATING RATIO -&gt;</t>
  </si>
  <si>
    <t>-</t>
  </si>
  <si>
    <t>=</t>
  </si>
  <si>
    <t>3rd Turnover</t>
  </si>
  <si>
    <t xml:space="preserve">Actual Debt Ratio </t>
  </si>
  <si>
    <t xml:space="preserve"> Conversion factor data:</t>
  </si>
  <si>
    <t>Actual Equity Ratio</t>
  </si>
  <si>
    <t xml:space="preserve"> B &amp; O Tax</t>
  </si>
  <si>
    <t>Actual Cost of Debt</t>
  </si>
  <si>
    <t xml:space="preserve"> WUTC Fee</t>
  </si>
  <si>
    <t>Basis Points</t>
  </si>
  <si>
    <t xml:space="preserve"> City Tax</t>
  </si>
  <si>
    <t>Tax Rate</t>
  </si>
  <si>
    <t xml:space="preserve"> Bad Debts</t>
  </si>
  <si>
    <t>4th Turnover</t>
  </si>
  <si>
    <t>Revenue Sensitive</t>
  </si>
  <si>
    <t>Conversion Factor</t>
  </si>
  <si>
    <t>yes</t>
  </si>
  <si>
    <t>5th Turnover</t>
  </si>
  <si>
    <t>6th Turnover</t>
  </si>
  <si>
    <t>7th turnover</t>
  </si>
  <si>
    <t>8th turnover</t>
  </si>
  <si>
    <t>9th turnover</t>
  </si>
  <si>
    <t>District:</t>
  </si>
  <si>
    <t>Subsystem:</t>
  </si>
  <si>
    <t>Company:</t>
  </si>
  <si>
    <t>Types:</t>
  </si>
  <si>
    <t>Period 1</t>
  </si>
  <si>
    <t>Period 2</t>
  </si>
  <si>
    <t>Closed Year Balance Sheet Period:</t>
  </si>
  <si>
    <t>Current Year Balance Sheet Period:</t>
  </si>
  <si>
    <t>Note:  Report below is from WCI's financial reporting system and cannot be linked.</t>
  </si>
  <si>
    <t>12 Months</t>
  </si>
  <si>
    <t>12/31/2016</t>
  </si>
  <si>
    <t>IS SECELIM Revenue</t>
  </si>
  <si>
    <t>Operating expenses:</t>
  </si>
  <si>
    <t>IS SECELIM CostOps</t>
  </si>
  <si>
    <t xml:space="preserve">     Cost of operations</t>
  </si>
  <si>
    <t>IS SECELIM SG&amp;A</t>
  </si>
  <si>
    <t xml:space="preserve">     Selling, general and administrative</t>
  </si>
  <si>
    <t>IS SECELIM Depreciation</t>
  </si>
  <si>
    <t xml:space="preserve">     Depreciation </t>
  </si>
  <si>
    <t>IS amort</t>
  </si>
  <si>
    <t xml:space="preserve">     Amortization</t>
  </si>
  <si>
    <t>IS OpDisposal,!91005</t>
  </si>
  <si>
    <t xml:space="preserve">     Loss on sale of operations/assets</t>
  </si>
  <si>
    <t xml:space="preserve">     Loss on prior office leases</t>
  </si>
  <si>
    <t>Income from operations</t>
  </si>
  <si>
    <t>Interest expense</t>
  </si>
  <si>
    <t>Interest income</t>
  </si>
  <si>
    <t>Other income (expense), net</t>
  </si>
  <si>
    <t>IS FX Gain Loss</t>
  </si>
  <si>
    <t>Foreign Transaction Exchange (Gain) and Loss</t>
  </si>
  <si>
    <t>Income before tax provision</t>
  </si>
  <si>
    <t>Income tax provision</t>
  </si>
  <si>
    <t>Net income</t>
  </si>
  <si>
    <t xml:space="preserve">Less: net income attributable to </t>
  </si>
  <si>
    <t xml:space="preserve">   noncontrolling interests</t>
  </si>
  <si>
    <t>Net income attributable to WCN</t>
  </si>
  <si>
    <t>In Districts:</t>
  </si>
  <si>
    <t xml:space="preserve">Balance Sheet </t>
  </si>
  <si>
    <t>December</t>
  </si>
  <si>
    <t>Assets</t>
  </si>
  <si>
    <t>Current assets:</t>
  </si>
  <si>
    <t>BS Cash</t>
  </si>
  <si>
    <t>Cash and equivalents</t>
  </si>
  <si>
    <t>BS AR</t>
  </si>
  <si>
    <t>Accounts receivable</t>
  </si>
  <si>
    <t>BS Current Def Asset</t>
  </si>
  <si>
    <t>Current deferred tax assets</t>
  </si>
  <si>
    <t>BS Inventory</t>
  </si>
  <si>
    <t>Inventory</t>
  </si>
  <si>
    <t>BS Prepaid</t>
  </si>
  <si>
    <t>Prepaid expenses</t>
  </si>
  <si>
    <t>Total current assets</t>
  </si>
  <si>
    <t>BS Fixed Asset</t>
  </si>
  <si>
    <t>Property and equipment</t>
  </si>
  <si>
    <t>BS Goodwill</t>
  </si>
  <si>
    <t>Goodwill</t>
  </si>
  <si>
    <t>BS Intangible</t>
  </si>
  <si>
    <t>Intangible assets</t>
  </si>
  <si>
    <t>BS Restricted</t>
  </si>
  <si>
    <t>Restricted assets</t>
  </si>
  <si>
    <t>BS Notes,BS Other Assets,BS Deposits,BS LOC Loan Fees</t>
  </si>
  <si>
    <t>Other assets</t>
  </si>
  <si>
    <t>BS Intercompany</t>
  </si>
  <si>
    <t>Intercompany</t>
  </si>
  <si>
    <t>Liabilities and Equity</t>
  </si>
  <si>
    <t>Current liabilities:</t>
  </si>
  <si>
    <t>BS AP</t>
  </si>
  <si>
    <t>Accounts payable</t>
  </si>
  <si>
    <t>BS Overdraft</t>
  </si>
  <si>
    <t>Book overdraft</t>
  </si>
  <si>
    <t>BS Accrued Liabilities</t>
  </si>
  <si>
    <t>Accrued liabilities</t>
  </si>
  <si>
    <t>BS ST Contingent Considerations</t>
  </si>
  <si>
    <t>ST Contingent Considerations</t>
  </si>
  <si>
    <t>BS Unearned Revenue</t>
  </si>
  <si>
    <t>Deferred revenue</t>
  </si>
  <si>
    <t>BS Current LTD</t>
  </si>
  <si>
    <t>Current portion of long-term debt</t>
  </si>
  <si>
    <t>Total current liabilities</t>
  </si>
  <si>
    <t>BS LTD,BS Loan Fees</t>
  </si>
  <si>
    <t>Long-term debt</t>
  </si>
  <si>
    <t>BS LT Contingent Considerations</t>
  </si>
  <si>
    <t>LT Contingent Considerations</t>
  </si>
  <si>
    <t>BS Deferred Taxes</t>
  </si>
  <si>
    <t>Deferred income taxes</t>
  </si>
  <si>
    <t>BS Other LTD</t>
  </si>
  <si>
    <t>Other long-term liabilities</t>
  </si>
  <si>
    <t>Total liabilities</t>
  </si>
  <si>
    <t>Equity:</t>
  </si>
  <si>
    <t>BS Common Stock</t>
  </si>
  <si>
    <t>Common stock</t>
  </si>
  <si>
    <t>BS APIC</t>
  </si>
  <si>
    <t>Additional paid-in capital</t>
  </si>
  <si>
    <t>BS Other Equity</t>
  </si>
  <si>
    <t>Entity equity</t>
  </si>
  <si>
    <t>BS Deferred Comp</t>
  </si>
  <si>
    <t>Deferred stock compensation</t>
  </si>
  <si>
    <t>BS Treasury</t>
  </si>
  <si>
    <t>Treasury stock</t>
  </si>
  <si>
    <t>BS CTA</t>
  </si>
  <si>
    <t>Cumulative Translation Adjustment</t>
  </si>
  <si>
    <t>BS RE</t>
  </si>
  <si>
    <t>Retained earnings</t>
  </si>
  <si>
    <t>BS Unrealized Swap Value</t>
  </si>
  <si>
    <t>Accumulated other comprehensive income</t>
  </si>
  <si>
    <t>Total Waste Connections' equity</t>
  </si>
  <si>
    <t>BS Noncontrolling</t>
  </si>
  <si>
    <t>Noncontrolling interests</t>
  </si>
  <si>
    <t>Total equity</t>
  </si>
  <si>
    <t>Debt to Equity Ratio</t>
  </si>
  <si>
    <t>Allowable In LG</t>
  </si>
  <si>
    <t>Debt</t>
  </si>
  <si>
    <t>Equity</t>
  </si>
  <si>
    <t>Total Debt &amp; Equity</t>
  </si>
  <si>
    <t>Interest as a % of Debt</t>
  </si>
  <si>
    <t>Interest Expense</t>
  </si>
  <si>
    <t>Depreciation &amp; Average Investment Summary</t>
  </si>
  <si>
    <t>Beginning</t>
  </si>
  <si>
    <t>Ending</t>
  </si>
  <si>
    <t>Average</t>
  </si>
  <si>
    <t>Equipment</t>
  </si>
  <si>
    <t>Cost</t>
  </si>
  <si>
    <t>Salvage</t>
  </si>
  <si>
    <t>Test Year</t>
  </si>
  <si>
    <t>Accum Depr</t>
  </si>
  <si>
    <t>Investment</t>
  </si>
  <si>
    <t>Garbage - Regulated Only</t>
  </si>
  <si>
    <t>Garbage Non-Regulated Only</t>
  </si>
  <si>
    <t>Garbage - Shared</t>
  </si>
  <si>
    <t>Recycle Trucks</t>
  </si>
  <si>
    <t>Yard Debris Trucks</t>
  </si>
  <si>
    <t>Total Trucks</t>
  </si>
  <si>
    <t>Containers:</t>
  </si>
  <si>
    <t>Garbage Carts (non-reg)</t>
  </si>
  <si>
    <t>Recycle Carts (non-reg)</t>
  </si>
  <si>
    <t>Yard Debris Carts (non-reg)</t>
  </si>
  <si>
    <t>Recycle Container (non-reg)</t>
  </si>
  <si>
    <t>Garbage Container (shared)</t>
  </si>
  <si>
    <t>Drop Boxes (shared)</t>
  </si>
  <si>
    <t>Shred (non-reg)</t>
  </si>
  <si>
    <t>Total Cont, Carts,Totes</t>
  </si>
  <si>
    <t>Shared Service Equipment</t>
  </si>
  <si>
    <t>Non-Regulated Service Equip</t>
  </si>
  <si>
    <t>Office Equipment</t>
  </si>
  <si>
    <t>Shared Leasehold/Property Imprv</t>
  </si>
  <si>
    <t>Total Equipment</t>
  </si>
  <si>
    <t>Depreciation Expense</t>
  </si>
  <si>
    <t>Depreciation &amp; Average Investment - Regulated/Non-Regulated Allocation</t>
  </si>
  <si>
    <t>Waste Connections of WA - Total</t>
  </si>
  <si>
    <t>Cust Count</t>
  </si>
  <si>
    <t>Rt Hours</t>
  </si>
  <si>
    <t>Depreciation &amp; Average Investment - Regulated by LOB</t>
  </si>
  <si>
    <t>Rt Hours (LOB)</t>
  </si>
  <si>
    <t>Cust Count (LOB)</t>
  </si>
  <si>
    <t>Delivery</t>
  </si>
  <si>
    <t>Test Period Ending September 30, 2017</t>
  </si>
  <si>
    <t>Extra yard</t>
  </si>
  <si>
    <t>Overfilled</t>
  </si>
  <si>
    <t>Note:  Revenue figures below are from detailed revenue reports from WCI's billing system.  Links have been broken to maintain data integrity.  Detail can be provided, upon request.</t>
  </si>
  <si>
    <t>Commercial Garbage</t>
  </si>
  <si>
    <t>Drop Box Intercompany</t>
  </si>
  <si>
    <t>DF Alloc</t>
  </si>
  <si>
    <t>40139</t>
  </si>
  <si>
    <t>Metro - food waste</t>
  </si>
  <si>
    <t>40131</t>
  </si>
  <si>
    <t>IC Triangle/Wasco (Wood, SW, C&amp;D, ASB)</t>
  </si>
  <si>
    <t>40109</t>
  </si>
  <si>
    <t>Wood, C&amp;D, YD, Other</t>
  </si>
  <si>
    <t>40101</t>
  </si>
  <si>
    <t>Variance to GL</t>
  </si>
  <si>
    <t>Tons</t>
  </si>
  <si>
    <t>Dollars</t>
  </si>
  <si>
    <t>RO - Food Waste</t>
  </si>
  <si>
    <t>Waste Works RO - Garbage Only</t>
  </si>
  <si>
    <t>RO - Other</t>
  </si>
  <si>
    <t>Waste Works MSW/Comm Garbage Only</t>
  </si>
  <si>
    <t>Waste Works Other (FW, YD, etc)</t>
  </si>
  <si>
    <t>RO Rpt Total</t>
  </si>
  <si>
    <t>Variance to Breakout</t>
  </si>
  <si>
    <t>MSW/Comm</t>
  </si>
  <si>
    <t>MSW Food Waste</t>
  </si>
  <si>
    <t>MSW - Other</t>
  </si>
  <si>
    <t>MSW/Comm Rpt Total</t>
  </si>
  <si>
    <t>Pass-Through in Acct. 40139</t>
  </si>
  <si>
    <t>Pass-Through In Other Accts.</t>
  </si>
  <si>
    <t>Pass-Through per Billing</t>
  </si>
  <si>
    <t>RO Pass-Through - Garbage</t>
  </si>
  <si>
    <t>Reconciliation of Pass-Through Expense</t>
  </si>
  <si>
    <t>Per GL</t>
  </si>
  <si>
    <t>Disposal Reconciliation</t>
  </si>
  <si>
    <t>Account</t>
  </si>
  <si>
    <t>Resi Garbage</t>
  </si>
  <si>
    <t>Comm Rt Hrs</t>
  </si>
  <si>
    <t>Mech Labor</t>
  </si>
  <si>
    <t>RTA Tires</t>
  </si>
  <si>
    <t>Waste Connections of Washington, Inc.</t>
  </si>
  <si>
    <t>Customer Count Summary</t>
  </si>
  <si>
    <t>Clark County Non-Reg</t>
  </si>
  <si>
    <t>Camas</t>
  </si>
  <si>
    <t>Ridgefield</t>
  </si>
  <si>
    <t>Vancouver</t>
  </si>
  <si>
    <t>Washougal</t>
  </si>
  <si>
    <t>West Vancouver</t>
  </si>
  <si>
    <t>Total Non-Reg</t>
  </si>
  <si>
    <t>GRAND TOTAL</t>
  </si>
  <si>
    <t>Resi MSW</t>
  </si>
  <si>
    <t>Resi Recycle</t>
  </si>
  <si>
    <t>YW</t>
  </si>
  <si>
    <t>Comm MSW</t>
  </si>
  <si>
    <t>MF Recyling</t>
  </si>
  <si>
    <t>Roll Off</t>
  </si>
  <si>
    <t>Roll Off Recycling</t>
  </si>
  <si>
    <t>Pass-Through</t>
  </si>
  <si>
    <t>Sum of Account Count</t>
  </si>
  <si>
    <t>Bill Area</t>
  </si>
  <si>
    <t>LOB</t>
  </si>
  <si>
    <t>BATTLE</t>
  </si>
  <si>
    <t>LACNT</t>
  </si>
  <si>
    <t>RURAL</t>
  </si>
  <si>
    <t>UGA</t>
  </si>
  <si>
    <t>YACOLT</t>
  </si>
  <si>
    <t>ROLL OFF</t>
  </si>
  <si>
    <t>15YD RECYCLING DB RENTAL</t>
  </si>
  <si>
    <t>20YD RECYCLING DB RENTAL</t>
  </si>
  <si>
    <t>30YD RECYCLING DB RENTAL</t>
  </si>
  <si>
    <t>40YD RECYCLING DB RENTAL</t>
  </si>
  <si>
    <t>ROLL OFF Total</t>
  </si>
  <si>
    <t>CAMAS</t>
  </si>
  <si>
    <t>RIDGE</t>
  </si>
  <si>
    <t>VANC</t>
  </si>
  <si>
    <t>WASH</t>
  </si>
  <si>
    <t>DROPBOX RENT 20YD-WSGL</t>
  </si>
  <si>
    <t>DROPBOX RENT 30YD-WSGL</t>
  </si>
  <si>
    <t>DROPBOX RENT 40YD-WSGL</t>
  </si>
  <si>
    <t>MULTI-FAMILY</t>
  </si>
  <si>
    <t>MULTI-FAM RECYCLING-WSGL</t>
  </si>
  <si>
    <t>MULTI-FAMILY RECY ACCESS</t>
  </si>
  <si>
    <t>MULTI-FAMILY RECY-CAMAS</t>
  </si>
  <si>
    <t>MULTI-FAMILY RECYCLE</t>
  </si>
  <si>
    <t>VANC MULTI FAMILY 32 CART</t>
  </si>
  <si>
    <t>MULTI-FAMILY Total</t>
  </si>
  <si>
    <r>
      <rPr>
        <b/>
        <u/>
        <sz val="11"/>
        <color theme="1"/>
        <rFont val="Calibri"/>
        <family val="2"/>
        <scheme val="minor"/>
      </rPr>
      <t>MF Recycling Customer Counts:</t>
    </r>
    <r>
      <rPr>
        <sz val="11"/>
        <color theme="1"/>
        <rFont val="Calibri"/>
        <family val="2"/>
        <scheme val="minor"/>
      </rPr>
      <t xml:space="preserve">  The Price Out isn't used because that counts the number dwelling units, not active customers (MF Recycling is billed per dwelling unit).  Dwelling units are not representative of a customer count as compared to other lines of service.  To get a more accurate customer count, a system report was used that counts the number of accounts that had active MF recycling service codes.</t>
    </r>
  </si>
  <si>
    <r>
      <rPr>
        <b/>
        <u/>
        <sz val="11"/>
        <color theme="1"/>
        <rFont val="Calibri"/>
        <family val="2"/>
        <scheme val="minor"/>
      </rPr>
      <t>Roll Off Customer Counts:</t>
    </r>
    <r>
      <rPr>
        <sz val="11"/>
        <color theme="1"/>
        <rFont val="Calibri"/>
        <family val="2"/>
        <scheme val="minor"/>
      </rPr>
      <t xml:space="preserve">  The Price Out isn't used because that counts the number of hauls, not active customers (RO is billed per-haul).  To get a more accurate customer count, a system report was used that counts the number of accounts that have active service codes.  In this case, active RO Rent service codes were counted as this most accurately approximates the number of active RO customers.</t>
    </r>
  </si>
  <si>
    <t>250 feet - 1/10 mile</t>
  </si>
  <si>
    <t>Additional 1/10 mile</t>
  </si>
  <si>
    <t>Over 9 can (per can)</t>
  </si>
  <si>
    <t>Occasional Extra</t>
  </si>
  <si>
    <t>Over 25 feet</t>
  </si>
  <si>
    <t>Extras</t>
  </si>
  <si>
    <t>Packer &amp; Roll-Off Increase</t>
  </si>
  <si>
    <t>Annual Increase</t>
  </si>
  <si>
    <t>Tarriff Rate</t>
  </si>
  <si>
    <t>Proposed Annual Revenue</t>
  </si>
  <si>
    <t>Total Revenue</t>
  </si>
  <si>
    <t>Delivery Trucks</t>
  </si>
  <si>
    <t>Dump Fee Calculation References</t>
  </si>
  <si>
    <t>Monthly Factor</t>
  </si>
  <si>
    <t>1 unit</t>
  </si>
  <si>
    <t>2 units</t>
  </si>
  <si>
    <t>3 units</t>
  </si>
  <si>
    <t>4 units</t>
  </si>
  <si>
    <t>5 units</t>
  </si>
  <si>
    <t>6 units</t>
  </si>
  <si>
    <t>7 unit</t>
  </si>
  <si>
    <t>5 Times per Week</t>
  </si>
  <si>
    <t>4 Times per Week</t>
  </si>
  <si>
    <t>3 Times per Week</t>
  </si>
  <si>
    <t>2 Times per Week</t>
  </si>
  <si>
    <t>Weekly Pickup (WG)</t>
  </si>
  <si>
    <t>Every Other Week (EOWG)</t>
  </si>
  <si>
    <t>Monthly (MG)</t>
  </si>
  <si>
    <t>Extra Units</t>
  </si>
  <si>
    <t>Meeks Weights</t>
  </si>
  <si>
    <t>Res'l</t>
  </si>
  <si>
    <t>Pounds per Pickup</t>
  </si>
  <si>
    <t>20 gal minican</t>
  </si>
  <si>
    <t>1 can</t>
  </si>
  <si>
    <t>2 cans</t>
  </si>
  <si>
    <t>3 cans</t>
  </si>
  <si>
    <t>Lbs. per ton</t>
  </si>
  <si>
    <t>4 cans</t>
  </si>
  <si>
    <t>Yds. Per ton</t>
  </si>
  <si>
    <t>N/A</t>
  </si>
  <si>
    <t>5 cans</t>
  </si>
  <si>
    <t>6 cans</t>
  </si>
  <si>
    <t>Annual</t>
  </si>
  <si>
    <t>8 cans</t>
  </si>
  <si>
    <t>40 gallon Can</t>
  </si>
  <si>
    <t>Supercan 60</t>
  </si>
  <si>
    <t>Supercan 64</t>
  </si>
  <si>
    <t>Supercan 90</t>
  </si>
  <si>
    <t>Supercan 96</t>
  </si>
  <si>
    <t>Once a month</t>
  </si>
  <si>
    <t>Com'l</t>
  </si>
  <si>
    <t>Yards</t>
  </si>
  <si>
    <t>1 yd container</t>
  </si>
  <si>
    <t>1.5 yd container</t>
  </si>
  <si>
    <t>2 yd container</t>
  </si>
  <si>
    <t>3 yd container</t>
  </si>
  <si>
    <t>4 yd container</t>
  </si>
  <si>
    <t>5 yd container</t>
  </si>
  <si>
    <t>6 yd container</t>
  </si>
  <si>
    <t>8 yd container</t>
  </si>
  <si>
    <t>Compaction Ratio:   2:25</t>
  </si>
  <si>
    <t>2 yd packer/compactor</t>
  </si>
  <si>
    <t>4 yd packer/compactor</t>
  </si>
  <si>
    <t>6 yd packer/compactor</t>
  </si>
  <si>
    <t>Compaction Ratio:   3:1</t>
  </si>
  <si>
    <t>3 yd packer/compactor</t>
  </si>
  <si>
    <t>Compaction Ratio:   4:1</t>
  </si>
  <si>
    <t>1.5 yd packer/compactor</t>
  </si>
  <si>
    <t>Compaction Ratio:   5:1</t>
  </si>
  <si>
    <t>* not on meeks - calculated weight times compaction ratio</t>
  </si>
  <si>
    <t>DM Disposal</t>
  </si>
  <si>
    <t>Clark Co. Resi/Comm DF Increase</t>
  </si>
  <si>
    <t>PRO FORMA IN 1-1-2018 DUMP FEE INCREASE</t>
  </si>
  <si>
    <t>RS-2: Restate Payroll Expense for Test Period</t>
  </si>
  <si>
    <t>Drivers - 50XXX</t>
  </si>
  <si>
    <t xml:space="preserve">   Regulated Resi Garbage</t>
  </si>
  <si>
    <t xml:space="preserve">   Regulated Helpers on REL Routes</t>
  </si>
  <si>
    <t xml:space="preserve">   Shared Commercial Garbage</t>
  </si>
  <si>
    <t xml:space="preserve">   Shared RO </t>
  </si>
  <si>
    <t>Direct Allocations</t>
  </si>
  <si>
    <t>Wage Increases</t>
  </si>
  <si>
    <t>Mechanics - 52XXX</t>
  </si>
  <si>
    <t>Container - 55XXX</t>
  </si>
  <si>
    <t>Supervisors - 56XXX</t>
  </si>
  <si>
    <t>G&amp;A - 70XXX</t>
  </si>
  <si>
    <t xml:space="preserve">  Adjust Out Work for Others</t>
  </si>
  <si>
    <t>TG-170878</t>
  </si>
  <si>
    <t xml:space="preserve">Adjustments per </t>
  </si>
  <si>
    <t>RS-3: Region &amp; Corp OH Adjustments - Adjust out Unallowable OH Expenses</t>
  </si>
  <si>
    <t>Heavy Vehicle Use Tax</t>
  </si>
  <si>
    <t>Other Prof Fees (Routing Software)</t>
  </si>
  <si>
    <t>Per TG-171114</t>
  </si>
  <si>
    <t>Disposal filing filed separately in TG-171114.  Forward looking adjustment made to set expense and revenue base to what it will be as of 1/1/2018.</t>
  </si>
  <si>
    <t>Yard Workers</t>
  </si>
  <si>
    <t>Tarp fee</t>
  </si>
  <si>
    <t>RS-4: Adjust WUTC Fees to actual</t>
  </si>
  <si>
    <t>RS-5: Adjust depreciation to UTC methodology</t>
  </si>
  <si>
    <t xml:space="preserve">Sale of Asset </t>
  </si>
  <si>
    <t>RO Rt Hrs</t>
  </si>
  <si>
    <t>Del Rt. Hrs</t>
  </si>
  <si>
    <t>Comm Cust Count</t>
  </si>
  <si>
    <t>RO Cust Count</t>
  </si>
  <si>
    <t>Parts</t>
  </si>
  <si>
    <t>Labor Hours</t>
  </si>
  <si>
    <t>Row Labels</t>
  </si>
  <si>
    <t>Sum of PARTS</t>
  </si>
  <si>
    <t>Sum of TIRES</t>
  </si>
  <si>
    <t>Sum of LABOR</t>
  </si>
  <si>
    <t>Sum of Labor Hours</t>
  </si>
  <si>
    <t>Other Districts</t>
  </si>
  <si>
    <t>Commercial Garbage - Shared</t>
  </si>
  <si>
    <t>Container Deliver - Shared</t>
  </si>
  <si>
    <t>Lemay Shred</t>
  </si>
  <si>
    <t>Non-Reg Packer</t>
  </si>
  <si>
    <t>Other work &amp; labor for others</t>
  </si>
  <si>
    <t>Recycle</t>
  </si>
  <si>
    <t>Service Equip - Non-Reg</t>
  </si>
  <si>
    <t>Service Equip - Shared</t>
  </si>
  <si>
    <t>Triangle Resources</t>
  </si>
  <si>
    <t>UTC Packer</t>
  </si>
  <si>
    <t>Waste Connections of WA</t>
  </si>
  <si>
    <t>Shop Expenses per RTA</t>
  </si>
  <si>
    <t>Data below is from our shop expense tracking system (RTA).  Detail available upon request.</t>
  </si>
  <si>
    <t>Oct 2016 - Sept 2017</t>
  </si>
  <si>
    <t>MONTHLY OUTSIDE REPAIRS LOG</t>
  </si>
  <si>
    <t>FAB Labor</t>
  </si>
  <si>
    <t>Total Labor</t>
  </si>
  <si>
    <t>Hourly Rate</t>
  </si>
  <si>
    <t>labor explanation</t>
  </si>
  <si>
    <t xml:space="preserve">FAB LABOR </t>
  </si>
  <si>
    <t xml:space="preserve">LABOR </t>
  </si>
  <si>
    <t>October 2016 Outside Repairs</t>
  </si>
  <si>
    <t>November 2016 Outside Repairs</t>
  </si>
  <si>
    <t>December 2016 Outside Repairs</t>
  </si>
  <si>
    <t>January 2017 Outside Repairs</t>
  </si>
  <si>
    <t>February 2017 Outside Repairs</t>
  </si>
  <si>
    <t>March 2017 Outside Repairs</t>
  </si>
  <si>
    <t>April 2017 Outside Repairs</t>
  </si>
  <si>
    <t>May 2017 Outside Repairs</t>
  </si>
  <si>
    <t>June  2017 Outside Repairs</t>
  </si>
  <si>
    <t xml:space="preserve">  </t>
  </si>
  <si>
    <t>July  2017 Outside Repairs</t>
  </si>
  <si>
    <t>August  2017 Outside Repairs</t>
  </si>
  <si>
    <t>September 2017 Outside Repairs</t>
  </si>
  <si>
    <t>Remove Expense related to work performed for other companies.</t>
  </si>
  <si>
    <t>Payroll Summary</t>
  </si>
  <si>
    <t>PAYROLL SUMMARY</t>
  </si>
  <si>
    <t>DRIVERS</t>
  </si>
  <si>
    <t>Hrs</t>
  </si>
  <si>
    <t>NW Hrs</t>
  </si>
  <si>
    <t>Hrs Worked</t>
  </si>
  <si>
    <t>UTC Residential Garbage</t>
  </si>
  <si>
    <t>Residential Recycling</t>
  </si>
  <si>
    <t>Non-Regulated Residential Garbage</t>
  </si>
  <si>
    <t>Swing Driver</t>
  </si>
  <si>
    <t>Extra Board</t>
  </si>
  <si>
    <t>Food Waste</t>
  </si>
  <si>
    <t>Yard Laborer</t>
  </si>
  <si>
    <t>Wages per PR Register</t>
  </si>
  <si>
    <t>GL Adjustments</t>
  </si>
  <si>
    <t>Wages per GL</t>
  </si>
  <si>
    <t>Restatement of 2017 Raises</t>
  </si>
  <si>
    <t>Pro forma of 2018 Raises</t>
  </si>
  <si>
    <t>Total Adjustment</t>
  </si>
  <si>
    <t>Other Wages</t>
  </si>
  <si>
    <t>imm</t>
  </si>
  <si>
    <t xml:space="preserve">  Raises</t>
  </si>
  <si>
    <t>Recycling Coordinators</t>
  </si>
  <si>
    <t xml:space="preserve">   Shared Delivery</t>
  </si>
  <si>
    <t xml:space="preserve">   Shared Yard</t>
  </si>
  <si>
    <t>Yard Rt Hrs</t>
  </si>
  <si>
    <t>Del Rt Hrs</t>
  </si>
  <si>
    <t>RTA Parts %</t>
  </si>
  <si>
    <t>Office, Less Recycling Coordinators</t>
  </si>
  <si>
    <t>FullAcct</t>
  </si>
  <si>
    <t>date_applied</t>
  </si>
  <si>
    <t>balance_usd</t>
  </si>
  <si>
    <t>balance_cad</t>
  </si>
  <si>
    <t>currencycode</t>
  </si>
  <si>
    <t>Journal</t>
  </si>
  <si>
    <t>pstd</t>
  </si>
  <si>
    <t>journal_description</t>
  </si>
  <si>
    <t>User</t>
  </si>
  <si>
    <t>TypeCode</t>
  </si>
  <si>
    <t>vendor_code</t>
  </si>
  <si>
    <t>OneTime</t>
  </si>
  <si>
    <t>Description</t>
  </si>
  <si>
    <t>date_doc</t>
  </si>
  <si>
    <t>doc_desc</t>
  </si>
  <si>
    <t>doc_ctrl_num</t>
  </si>
  <si>
    <t>po_ctrl_num</t>
  </si>
  <si>
    <t>vend_order_num</t>
  </si>
  <si>
    <t>ticket_num</t>
  </si>
  <si>
    <t>document_2</t>
  </si>
  <si>
    <t>document_1</t>
  </si>
  <si>
    <t>class_code</t>
  </si>
  <si>
    <t>date_entered</t>
  </si>
  <si>
    <t>date_posted</t>
  </si>
  <si>
    <t>amt_net</t>
  </si>
  <si>
    <t>date_due</t>
  </si>
  <si>
    <t>DBase</t>
  </si>
  <si>
    <t>reversing_flag</t>
  </si>
  <si>
    <t>hold_flag</t>
  </si>
  <si>
    <t>recurring_flag</t>
  </si>
  <si>
    <t>repeating_flag</t>
  </si>
  <si>
    <t>type_flag</t>
  </si>
  <si>
    <t>posted_flag</t>
  </si>
  <si>
    <t>seg1_code</t>
  </si>
  <si>
    <t>seg2_code</t>
  </si>
  <si>
    <t>seg3_code</t>
  </si>
  <si>
    <t>seg4_code</t>
  </si>
  <si>
    <t>staged_refCode</t>
  </si>
  <si>
    <t>Staged_DocRef</t>
  </si>
  <si>
    <t>Staged_YearMonth</t>
  </si>
  <si>
    <t>Staged_District</t>
  </si>
  <si>
    <t>Formulas</t>
  </si>
  <si>
    <t>Entries Shown Limit Setup:</t>
  </si>
  <si>
    <t>Other</t>
  </si>
  <si>
    <t>FromMonth:</t>
  </si>
  <si>
    <t>ToMonth:</t>
  </si>
  <si>
    <t>Current Month:</t>
  </si>
  <si>
    <t>Journal Entry Query Tool</t>
  </si>
  <si>
    <t>NOTE: Ctrl+Shift+J to pull data</t>
  </si>
  <si>
    <t>v.4.6</t>
  </si>
  <si>
    <t>Date Range:</t>
  </si>
  <si>
    <t>Other Criteria</t>
  </si>
  <si>
    <t>From:</t>
  </si>
  <si>
    <t>2016-10</t>
  </si>
  <si>
    <t>Districts:</t>
  </si>
  <si>
    <t>Vendor Code:</t>
  </si>
  <si>
    <t>To:</t>
  </si>
  <si>
    <t>Accts:</t>
  </si>
  <si>
    <t>43001</t>
  </si>
  <si>
    <t>Amount From:</t>
  </si>
  <si>
    <t>Amount To:</t>
  </si>
  <si>
    <t>Posting:</t>
  </si>
  <si>
    <t>All</t>
  </si>
  <si>
    <t>Total of Entries:</t>
  </si>
  <si>
    <t>*pstd: P = Posted, U = Unposted, S = Staged, C:0 = I/C Unposted, -1 = Hanging out there.</t>
  </si>
  <si>
    <t>Num of Entries Shown:</t>
  </si>
  <si>
    <t>*records limit:</t>
  </si>
  <si>
    <t>Not included in print range</t>
  </si>
  <si>
    <t>Full Account</t>
  </si>
  <si>
    <t>Date</t>
  </si>
  <si>
    <t>Amount USD</t>
  </si>
  <si>
    <t>Amount CAD</t>
  </si>
  <si>
    <t>Nat Currency</t>
  </si>
  <si>
    <t>Journal Control Num</t>
  </si>
  <si>
    <t>Psted*</t>
  </si>
  <si>
    <t>Journal Description</t>
  </si>
  <si>
    <t>R/Type</t>
  </si>
  <si>
    <t>Vendor Code</t>
  </si>
  <si>
    <t>One Time Vendor</t>
  </si>
  <si>
    <t>Further Description</t>
  </si>
  <si>
    <t>Date Doc</t>
  </si>
  <si>
    <t>Doc Desc</t>
  </si>
  <si>
    <t>Doc Ctrl Num</t>
  </si>
  <si>
    <t>Po Ctrl Num</t>
  </si>
  <si>
    <t>Vendor Order Num</t>
  </si>
  <si>
    <t>Ticket Num</t>
  </si>
  <si>
    <t>Document 2</t>
  </si>
  <si>
    <t>Document 1</t>
  </si>
  <si>
    <t>Class Code</t>
  </si>
  <si>
    <t>Date Entered</t>
  </si>
  <si>
    <t>Date Posted</t>
  </si>
  <si>
    <t>Amt Net</t>
  </si>
  <si>
    <t>Date Due</t>
  </si>
  <si>
    <t>Database</t>
  </si>
  <si>
    <t>Reversing Flag</t>
  </si>
  <si>
    <t>Hold Flag</t>
  </si>
  <si>
    <t>Recurring Flag</t>
  </si>
  <si>
    <t>Repeating Flag</t>
  </si>
  <si>
    <t>Type Flag</t>
  </si>
  <si>
    <t>Posted Flag</t>
  </si>
  <si>
    <t>Seg1</t>
  </si>
  <si>
    <t>Seg2</t>
  </si>
  <si>
    <t>Seg3</t>
  </si>
  <si>
    <t>Seg4</t>
  </si>
  <si>
    <t>Staged_RefCode</t>
  </si>
  <si>
    <t>Staged Year Month</t>
  </si>
  <si>
    <t>Staged District</t>
  </si>
  <si>
    <t>VO Number</t>
  </si>
  <si>
    <t>43001-2010-000-00</t>
  </si>
  <si>
    <t>USD</t>
  </si>
  <si>
    <t>JRNLWA00344036</t>
  </si>
  <si>
    <t>P</t>
  </si>
  <si>
    <t>From Voucher Posting.</t>
  </si>
  <si>
    <t>RosemaryS</t>
  </si>
  <si>
    <t>0/JE IC</t>
  </si>
  <si>
    <t>10DEPTREV</t>
  </si>
  <si>
    <t>WASHINGTON DEPARTMENT OF REVENUE</t>
  </si>
  <si>
    <t>DEPARTMENT OF REVENUE</t>
  </si>
  <si>
    <t>Excise Tax for September 2016</t>
  </si>
  <si>
    <t>PO-2010-16-03491</t>
  </si>
  <si>
    <t>VO04088041</t>
  </si>
  <si>
    <t>JRNL00817767</t>
  </si>
  <si>
    <t>wci_wa</t>
  </si>
  <si>
    <t>JRNLWA00345138</t>
  </si>
  <si>
    <t>TAX3-Accr Utility Taxes</t>
  </si>
  <si>
    <t>AmandaH</t>
  </si>
  <si>
    <t>0/JE STD</t>
  </si>
  <si>
    <t>Accrue true-up for Camas</t>
  </si>
  <si>
    <t>JRNLWA00345139</t>
  </si>
  <si>
    <t>TAX5-Accr. B&amp;O Tax</t>
  </si>
  <si>
    <t>B&amp;O tax</t>
  </si>
  <si>
    <t>JRNLWA00345144</t>
  </si>
  <si>
    <t>MISC5: Adj refuse tax accrual</t>
  </si>
  <si>
    <t>Adj Refuse tax accrual</t>
  </si>
  <si>
    <t>JRNLWA00345526</t>
  </si>
  <si>
    <t>Excise Tax for October 2016</t>
  </si>
  <si>
    <t>PO-2010-16-03849</t>
  </si>
  <si>
    <t>VO04116987</t>
  </si>
  <si>
    <t>JRNL00821454</t>
  </si>
  <si>
    <t>JRNLWA00346589</t>
  </si>
  <si>
    <t>Accrue true-up for Battleground</t>
  </si>
  <si>
    <t>JRNLWA00346590</t>
  </si>
  <si>
    <t>JRNLWA00346952</t>
  </si>
  <si>
    <t>Excise Tax for November 2016</t>
  </si>
  <si>
    <t>PO-2010-16-04160</t>
  </si>
  <si>
    <t>VO04143566</t>
  </si>
  <si>
    <t>JRNL00824992</t>
  </si>
  <si>
    <t>JRNLWA00348031</t>
  </si>
  <si>
    <t>B&amp;O Tax Adjustment</t>
  </si>
  <si>
    <t>JRNLWA00348220</t>
  </si>
  <si>
    <t>MISC14: True Up Taxes</t>
  </si>
  <si>
    <t>True Up Taxes</t>
  </si>
  <si>
    <t>JRNLWA00348466</t>
  </si>
  <si>
    <t>MISC16: True Up Deferred Taxes</t>
  </si>
  <si>
    <t>Adj Tax accrual</t>
  </si>
  <si>
    <t>JRNLWA00348618</t>
  </si>
  <si>
    <t>Excise Tax for December 2016</t>
  </si>
  <si>
    <t>PO-2010-17-00279</t>
  </si>
  <si>
    <t>VO04180659</t>
  </si>
  <si>
    <t>JRNL00829034</t>
  </si>
  <si>
    <t>JRNLWA00349443</t>
  </si>
  <si>
    <t>JRNLWA00350159</t>
  </si>
  <si>
    <t>Excise Tax for January 2017</t>
  </si>
  <si>
    <t>PO-2010-17-00674</t>
  </si>
  <si>
    <t>VO04210229</t>
  </si>
  <si>
    <t>JRNL00833050</t>
  </si>
  <si>
    <t>JRNLWA00350814</t>
  </si>
  <si>
    <t>OPEX14-Rrcd Prepaids Amort</t>
  </si>
  <si>
    <t>DarcieB</t>
  </si>
  <si>
    <t>Q1 CNG Prepayment</t>
  </si>
  <si>
    <t>JRNLWA00350819</t>
  </si>
  <si>
    <t>JRNLWA00351625</t>
  </si>
  <si>
    <t>Excise Tax for February 2017</t>
  </si>
  <si>
    <t>PO-2010-17-00944</t>
  </si>
  <si>
    <t>VO04236912</t>
  </si>
  <si>
    <t>JRNL00836699</t>
  </si>
  <si>
    <t>JRNLWA00352388</t>
  </si>
  <si>
    <t>JRNLWA00352392</t>
  </si>
  <si>
    <t>True-up Refuse Tax</t>
  </si>
  <si>
    <t>Adjust Sales Tax</t>
  </si>
  <si>
    <t>JRNLWA00352393</t>
  </si>
  <si>
    <t>Sales Tax Adjustment</t>
  </si>
  <si>
    <t>JRNLWA00353200</t>
  </si>
  <si>
    <t>Excise Tax for March 2017</t>
  </si>
  <si>
    <t>PO-2010-17-01328</t>
  </si>
  <si>
    <t>VO04268843</t>
  </si>
  <si>
    <t>JRNL00840738</t>
  </si>
  <si>
    <t>JRNLWA00354050</t>
  </si>
  <si>
    <t>Q2 CNG Prepayment</t>
  </si>
  <si>
    <t>Correct Q4-16 CNG Rebate Accrual</t>
  </si>
  <si>
    <t>JRNLWA00354055</t>
  </si>
  <si>
    <t>JRNLWA00354737</t>
  </si>
  <si>
    <t>Excise Tax for April 2017</t>
  </si>
  <si>
    <t>PO-2010-17-01671</t>
  </si>
  <si>
    <t>VO04296722</t>
  </si>
  <si>
    <t>JRNL00844539</t>
  </si>
  <si>
    <t>JRNLWA00355545</t>
  </si>
  <si>
    <t>JRNLWA00355549</t>
  </si>
  <si>
    <t>JRNLWA00355551</t>
  </si>
  <si>
    <t>JRNLWA00356281</t>
  </si>
  <si>
    <t>Excise Tax for May 2017</t>
  </si>
  <si>
    <t>PO-2010-17-02106</t>
  </si>
  <si>
    <t>VO04326155</t>
  </si>
  <si>
    <t>JRNL00848321</t>
  </si>
  <si>
    <t>JRNLWA00357331</t>
  </si>
  <si>
    <t>JRNLWA00357333</t>
  </si>
  <si>
    <t>JRNLWA00357335</t>
  </si>
  <si>
    <t>JRNLWA00357814</t>
  </si>
  <si>
    <t>JeffS</t>
  </si>
  <si>
    <t>VUS000000893</t>
  </si>
  <si>
    <t>INTERNAL REVENUE SERVICE</t>
  </si>
  <si>
    <t>Q2 CNG Tax due</t>
  </si>
  <si>
    <t>PO-2010-17-02444</t>
  </si>
  <si>
    <t>VO04353552</t>
  </si>
  <si>
    <t>JRNL00852153</t>
  </si>
  <si>
    <t>JRNLWA00357816</t>
  </si>
  <si>
    <t>Excise Tax for June 2017</t>
  </si>
  <si>
    <t>PO-2010-17-02476</t>
  </si>
  <si>
    <t>VO04353858</t>
  </si>
  <si>
    <t>JRNL00852155</t>
  </si>
  <si>
    <t>JRNLWA00358206</t>
  </si>
  <si>
    <t>JRNLWA00358567</t>
  </si>
  <si>
    <t>JRNLWA00358570</t>
  </si>
  <si>
    <t>JRNLWA00359449</t>
  </si>
  <si>
    <t>Excise Tax for July 2017</t>
  </si>
  <si>
    <t>PO-2010-17-02921</t>
  </si>
  <si>
    <t>VO04388839</t>
  </si>
  <si>
    <t>JRNL00856037</t>
  </si>
  <si>
    <t>JRNLWA00360112</t>
  </si>
  <si>
    <t>JRNLWA00360301</t>
  </si>
  <si>
    <t>JRNLWA00360305</t>
  </si>
  <si>
    <t>JRNLWA00360930</t>
  </si>
  <si>
    <t>Excise Tax for August 2017</t>
  </si>
  <si>
    <t>PO-2010-17-03323</t>
  </si>
  <si>
    <t>VO04416888</t>
  </si>
  <si>
    <t>JRNL00859597</t>
  </si>
  <si>
    <t>JRNLWA00361249</t>
  </si>
  <si>
    <t>JRNLWA00361756</t>
  </si>
  <si>
    <t>JRNLWA00361757</t>
  </si>
  <si>
    <t>End of List</t>
  </si>
  <si>
    <t>Sum of Amount USD</t>
  </si>
  <si>
    <t>X</t>
  </si>
  <si>
    <t>RS-6: Adjust Bad Debt to Actual</t>
  </si>
  <si>
    <t>Act_Unposted</t>
  </si>
  <si>
    <t>Staged</t>
  </si>
  <si>
    <t>Posted</t>
  </si>
  <si>
    <t>Unposted</t>
  </si>
  <si>
    <t>BS Close Report</t>
  </si>
  <si>
    <t>(drill)</t>
  </si>
  <si>
    <t>From Epicor - Current Mth Actual BS</t>
  </si>
  <si>
    <t>Three Month BS Trend (from Epicor)</t>
  </si>
  <si>
    <t>Current Mth</t>
  </si>
  <si>
    <t>Change from</t>
  </si>
  <si>
    <t>Prior Period</t>
  </si>
  <si>
    <t>Local Depository Account</t>
  </si>
  <si>
    <t>Local Petty Cash Account</t>
  </si>
  <si>
    <t>Proceeds from Sale of Assets</t>
  </si>
  <si>
    <t>Contra Proceeds from Sale of Assets</t>
  </si>
  <si>
    <t>Pay</t>
  </si>
  <si>
    <t>Pay IC - KUBRA Payments</t>
  </si>
  <si>
    <t>Pay ICT Inter District Receipts</t>
  </si>
  <si>
    <t>Refunds - Customer</t>
  </si>
  <si>
    <t>EFT Pymt Clearing</t>
  </si>
  <si>
    <t>Credit Card Pymt Clearing</t>
  </si>
  <si>
    <t>Check &amp; Cash Pymt Clearing</t>
  </si>
  <si>
    <t>Cash</t>
  </si>
  <si>
    <t>Trade A/R Desert Micro</t>
  </si>
  <si>
    <t>Unbilled Trade A/R</t>
  </si>
  <si>
    <t>Other Trade A/R</t>
  </si>
  <si>
    <t>Other A/R</t>
  </si>
  <si>
    <t>Allow For Doubtful Accounts</t>
  </si>
  <si>
    <t>Provision for Bad Debts</t>
  </si>
  <si>
    <t>Bad Debt Write Offs</t>
  </si>
  <si>
    <t>Bad Debt Collected</t>
  </si>
  <si>
    <t>A/R</t>
  </si>
  <si>
    <t>Inventory Parts</t>
  </si>
  <si>
    <t>Inventory Diesel</t>
  </si>
  <si>
    <t>Inventory Oil and Lube</t>
  </si>
  <si>
    <t>Inventory Container</t>
  </si>
  <si>
    <t>Inventory Tires</t>
  </si>
  <si>
    <t>Prepaid Licenses and Permits</t>
  </si>
  <si>
    <t>Prepaid Insurance</t>
  </si>
  <si>
    <t>Prepaid Vehicle Use Tax</t>
  </si>
  <si>
    <t>Prepaid Property Tax</t>
  </si>
  <si>
    <t>Prepaid Rent</t>
  </si>
  <si>
    <t>Prepaid Advertising</t>
  </si>
  <si>
    <t>Prepaid Other</t>
  </si>
  <si>
    <t>Prepaids</t>
  </si>
  <si>
    <t>Curr Deferred</t>
  </si>
  <si>
    <t>Current Assets</t>
  </si>
  <si>
    <t>Cap Ex Land</t>
  </si>
  <si>
    <t>Transfer/Reclass Land</t>
  </si>
  <si>
    <t>Cap Ex Land Improvement</t>
  </si>
  <si>
    <t>Depre Expense Land Improv</t>
  </si>
  <si>
    <t>Transfer/Reclass Heavy Equipment</t>
  </si>
  <si>
    <t>Depre Exp Heavy Equipment</t>
  </si>
  <si>
    <t>Truck</t>
  </si>
  <si>
    <t>Cap Ex Trucks</t>
  </si>
  <si>
    <t>Acquisitions Trucks</t>
  </si>
  <si>
    <t>Transfer/Reclass Trucks</t>
  </si>
  <si>
    <t>Sale/Disposition Trucks</t>
  </si>
  <si>
    <t>A/D Truck</t>
  </si>
  <si>
    <t>Depre Exp Trucks</t>
  </si>
  <si>
    <t>Cap Ex Container</t>
  </si>
  <si>
    <t>Acquisition Container</t>
  </si>
  <si>
    <t>Transfer/Reclass Container</t>
  </si>
  <si>
    <t>Sale/Disposition Container</t>
  </si>
  <si>
    <t>A/D Container</t>
  </si>
  <si>
    <t>Depre Exp Container</t>
  </si>
  <si>
    <t>Transfer/Reclass AD Container</t>
  </si>
  <si>
    <t>Sale/Disposition AD Container</t>
  </si>
  <si>
    <t>Cap Ex Compactor</t>
  </si>
  <si>
    <t>Depre Exp Compactor</t>
  </si>
  <si>
    <t>Shop Equipment</t>
  </si>
  <si>
    <t>Cap Ex Shop Equipment</t>
  </si>
  <si>
    <t>Transfer/Reclass Shop Equipment</t>
  </si>
  <si>
    <t>Sale/Disposition Shop Equipment</t>
  </si>
  <si>
    <t>A/D Shop Equipment</t>
  </si>
  <si>
    <t>Depre Exp Shop Equipment</t>
  </si>
  <si>
    <t>Transfer/Reclass AD Shop Equipment</t>
  </si>
  <si>
    <t>Sale/Disposition AD Shop Equipment</t>
  </si>
  <si>
    <t>Cap Ex Building</t>
  </si>
  <si>
    <t>Depre Exp Building</t>
  </si>
  <si>
    <t>Leasehold Improvements</t>
  </si>
  <si>
    <t>Cap Ex Leasehold Improvement</t>
  </si>
  <si>
    <t>Transfer/Reclass Leasehold Improvement</t>
  </si>
  <si>
    <t>A/D Leasehold Improvements</t>
  </si>
  <si>
    <t>Depre Exp Leasehold Improvement</t>
  </si>
  <si>
    <t>Transfer/Reclass AD Leasehold Improv</t>
  </si>
  <si>
    <t>Cap Ex Office Equipment</t>
  </si>
  <si>
    <t>Transfer/Reclass Office Equipment</t>
  </si>
  <si>
    <t>Sale/Disposition Office Equipment</t>
  </si>
  <si>
    <t>A/D Office Equipment</t>
  </si>
  <si>
    <t>Depre Exp Office Equipment</t>
  </si>
  <si>
    <t>Transfer/Reclass AD Office Equipment</t>
  </si>
  <si>
    <t>Sale/Disposition AD Office Equipment</t>
  </si>
  <si>
    <t>Computer Equipment and Software</t>
  </si>
  <si>
    <t>Cap Ex Computer Equipment</t>
  </si>
  <si>
    <t>Transfer/Reclass Computer Equipment</t>
  </si>
  <si>
    <t>Sale/Disposition Computer Equipment</t>
  </si>
  <si>
    <t>A/D Computer Equipment and Software</t>
  </si>
  <si>
    <t>Depre Exp Computer Equipment</t>
  </si>
  <si>
    <t>Transfer/Reclass AD Computer Equipment</t>
  </si>
  <si>
    <t>Sale/Disposition AD Computer Equipment</t>
  </si>
  <si>
    <t>Cap Ex Accruals</t>
  </si>
  <si>
    <t>Cap Ex Construction in Process</t>
  </si>
  <si>
    <t>Transfer/Reclass Construction in Process</t>
  </si>
  <si>
    <t>Fixed Assets</t>
  </si>
  <si>
    <t>BS Notes</t>
  </si>
  <si>
    <t>Notes Rec.</t>
  </si>
  <si>
    <t>Acquisition Goodwill</t>
  </si>
  <si>
    <t>Goodwill Amortization</t>
  </si>
  <si>
    <t>Other Intangibles - Non Compete</t>
  </si>
  <si>
    <t>Acquisition - Non Compete</t>
  </si>
  <si>
    <t>Amort - Non Compete</t>
  </si>
  <si>
    <t>Amort Exp Non Compete</t>
  </si>
  <si>
    <t>Other Intangibles</t>
  </si>
  <si>
    <t>Acquisition Other</t>
  </si>
  <si>
    <t>Transfer/Reclass Other</t>
  </si>
  <si>
    <t>Amort Other Intangible</t>
  </si>
  <si>
    <t>Amort Exp Other</t>
  </si>
  <si>
    <t>Acquisition Long Term Contracts</t>
  </si>
  <si>
    <t>Transfer/Reclass Long Term Contracts</t>
  </si>
  <si>
    <t>Amort Expense Long Term Contracts</t>
  </si>
  <si>
    <t>Transfer/Reclass Amort Long Term Contrac</t>
  </si>
  <si>
    <t>Intangibles</t>
  </si>
  <si>
    <t>BS Deposits</t>
  </si>
  <si>
    <t>Deposits</t>
  </si>
  <si>
    <t>Restricted Funds</t>
  </si>
  <si>
    <t>BS Other Assets</t>
  </si>
  <si>
    <t>Other Assets</t>
  </si>
  <si>
    <t>BS LOC Loan Fees</t>
  </si>
  <si>
    <t>LOC Loan Fees</t>
  </si>
  <si>
    <t>Intercompany Corporate</t>
  </si>
  <si>
    <t>Investment Corporate</t>
  </si>
  <si>
    <t>Total Assets</t>
  </si>
  <si>
    <t>BS ST Contengent Considerations</t>
  </si>
  <si>
    <t>ST Contingent</t>
  </si>
  <si>
    <t>Curr Portion LTD</t>
  </si>
  <si>
    <t>AP - Accrued</t>
  </si>
  <si>
    <t>AP - Accrued CAPEX</t>
  </si>
  <si>
    <t>AP - Accrued Procurement Card</t>
  </si>
  <si>
    <t>AP - Sales Tax</t>
  </si>
  <si>
    <t>AP - Union Dues</t>
  </si>
  <si>
    <t>AP - Other</t>
  </si>
  <si>
    <t>Pass Thru Taxes</t>
  </si>
  <si>
    <t>AP - Franchise Tax Payable</t>
  </si>
  <si>
    <t>WUTC Tax Payable</t>
  </si>
  <si>
    <t>AP - Other Taxes</t>
  </si>
  <si>
    <t>A/P</t>
  </si>
  <si>
    <t>Unearned Revenue</t>
  </si>
  <si>
    <t>Unearned Rev</t>
  </si>
  <si>
    <t>Accrued Liabilities Wages Commissions</t>
  </si>
  <si>
    <t>Vacation Accrual</t>
  </si>
  <si>
    <t>Accrued Liabilities Other</t>
  </si>
  <si>
    <t>Accrued Liabilities Safety Bonus</t>
  </si>
  <si>
    <t>Accrued Liabilities Ins. - Workers Comp</t>
  </si>
  <si>
    <t>Accrued Liabilities - Property Tax</t>
  </si>
  <si>
    <t>Accrued Liabilities - UP Tracker</t>
  </si>
  <si>
    <t>Incurrred interest entity notes payable</t>
  </si>
  <si>
    <t>Accrued Liab</t>
  </si>
  <si>
    <t>Current Liab</t>
  </si>
  <si>
    <t>BS LTD</t>
  </si>
  <si>
    <t>Borrowing entity notes payable</t>
  </si>
  <si>
    <t>LTD</t>
  </si>
  <si>
    <t>Overdraft</t>
  </si>
  <si>
    <t>Long Term Deferred Rent Additions</t>
  </si>
  <si>
    <t>Other LTD</t>
  </si>
  <si>
    <t>BS LT Contengent Considerations</t>
  </si>
  <si>
    <t>LT Contingent</t>
  </si>
  <si>
    <t>Deferred Taxes</t>
  </si>
  <si>
    <t>BS NonControlling</t>
  </si>
  <si>
    <t>Minority Int</t>
  </si>
  <si>
    <t>BS Loan Fees</t>
  </si>
  <si>
    <t>Loan Fees</t>
  </si>
  <si>
    <t>Total Liabilities</t>
  </si>
  <si>
    <t>Common Stock</t>
  </si>
  <si>
    <t>Other Equity</t>
  </si>
  <si>
    <t>Deferred Comp</t>
  </si>
  <si>
    <t>Unrealized Swap Val</t>
  </si>
  <si>
    <t>APIC</t>
  </si>
  <si>
    <t>Treasury</t>
  </si>
  <si>
    <t>Cumulative translation adjustment</t>
  </si>
  <si>
    <t>Retained Earnings</t>
  </si>
  <si>
    <t>Total Liab &amp; Equity</t>
  </si>
  <si>
    <t>BS Balance</t>
  </si>
  <si>
    <t>2016-09</t>
  </si>
  <si>
    <t>Trade A/R Desert Micro Receipts</t>
  </si>
  <si>
    <t>Employee A/R</t>
  </si>
  <si>
    <t>Union</t>
  </si>
  <si>
    <t>Teamsters Local 58</t>
  </si>
  <si>
    <t>Time Off</t>
  </si>
  <si>
    <t>(Multiple Items)</t>
  </si>
  <si>
    <t>Request or Correction</t>
  </si>
  <si>
    <t>Time Off Type for Time Off Entry</t>
  </si>
  <si>
    <t>Unpaid</t>
  </si>
  <si>
    <t>Sum of Paid Amount</t>
  </si>
  <si>
    <t>Count of Employee ID</t>
  </si>
  <si>
    <t>January</t>
  </si>
  <si>
    <t>February</t>
  </si>
  <si>
    <t>March</t>
  </si>
  <si>
    <t>April</t>
  </si>
  <si>
    <t>May</t>
  </si>
  <si>
    <t>June</t>
  </si>
  <si>
    <t>July</t>
  </si>
  <si>
    <t>August</t>
  </si>
  <si>
    <t>September</t>
  </si>
  <si>
    <t>October</t>
  </si>
  <si>
    <t>November</t>
  </si>
  <si>
    <t>Sum of Hours</t>
  </si>
  <si>
    <r>
      <rPr>
        <b/>
        <sz val="9"/>
        <color indexed="8"/>
        <rFont val="Calibri"/>
        <family val="2"/>
        <scheme val="minor"/>
      </rPr>
      <t xml:space="preserve">Note: </t>
    </r>
    <r>
      <rPr>
        <sz val="9"/>
        <color indexed="8"/>
        <rFont val="Calibri"/>
        <family val="2"/>
        <scheme val="minor"/>
      </rPr>
      <t xml:space="preserve"> Washington State passed a new sick leave law effective 1/1/18 that requires employers accure sick time for all employees at 1 hour per 40 hours worked.  Union employees currently do not have sick time per their Collective Bargaining Agreement.  Beginning 1/1/18 they will accrue time based on the new law.  The information above comes from a payroll report that shows the number of days and the monetary value for Union employees who called in sick in 2017 and were not paid.  We are adjusting this expense into the rate base as we know this will be the MINIMUM amount of sick time we will have to pay out in 2018.  The value is expected to be more, as employees will be more likely to call in if they know they will be paid.  We have also budgeted 4 additional headcount in 2018 to cover the increased call-ins, but we have </t>
    </r>
    <r>
      <rPr>
        <u/>
        <sz val="9"/>
        <color indexed="8"/>
        <rFont val="Calibri"/>
        <family val="2"/>
        <scheme val="minor"/>
      </rPr>
      <t>not</t>
    </r>
    <r>
      <rPr>
        <sz val="9"/>
        <color indexed="8"/>
        <rFont val="Calibri"/>
        <family val="2"/>
        <scheme val="minor"/>
      </rPr>
      <t xml:space="preserve"> included this expense in this filing. We feel we have taken the most conservative approach to this adjustment and have based in on known historical data.</t>
    </r>
  </si>
  <si>
    <t>PRO FORMA IN IMPACT OF CHANGE IN SICK TIME LAW</t>
  </si>
  <si>
    <t>PR-5</t>
  </si>
  <si>
    <t>Fuel Schedule</t>
  </si>
  <si>
    <t xml:space="preserve">Per </t>
  </si>
  <si>
    <t>Month</t>
  </si>
  <si>
    <t>Gallons</t>
  </si>
  <si>
    <t xml:space="preserve"> Gallon</t>
  </si>
  <si>
    <t xml:space="preserve">Pro forma October increase in fuel expense to normalize rate prospectively. </t>
  </si>
  <si>
    <t>2017 Data</t>
  </si>
  <si>
    <t xml:space="preserve">Fuel </t>
  </si>
  <si>
    <t>Avg Price/</t>
  </si>
  <si>
    <t>Period</t>
  </si>
  <si>
    <t>Used</t>
  </si>
  <si>
    <t>Gallon</t>
  </si>
  <si>
    <t>2017 Pro forma Adjustment</t>
  </si>
  <si>
    <t>PRO FORMA IN FUEL EXPENSE</t>
  </si>
  <si>
    <t>Management Compensation Allocation</t>
  </si>
  <si>
    <r>
      <rPr>
        <b/>
        <sz val="11"/>
        <rFont val="Calibri"/>
        <family val="2"/>
        <scheme val="minor"/>
      </rPr>
      <t>Note:</t>
    </r>
    <r>
      <rPr>
        <sz val="11"/>
        <rFont val="Calibri"/>
        <family val="2"/>
        <scheme val="minor"/>
      </rPr>
      <t xml:space="preserve"> The Division Vice President and Division Controller's home district for payroll purposes is 2010.  During the year their regular compensation is coded to district 2010 and then allocated out to each of their districts based on the percentages of revenue shown below via a Journal Entry.  Their other compensation is not allocated out to each of the districts during the year therefore that must be done manually for this rate filing.</t>
    </r>
  </si>
  <si>
    <t>DVP/DivCon</t>
  </si>
  <si>
    <t>2010 - Vancouver Hauling</t>
  </si>
  <si>
    <t>2051 - CRC</t>
  </si>
  <si>
    <t>2053 - Triangle</t>
  </si>
  <si>
    <t>2120 - Empire Disposal</t>
  </si>
  <si>
    <t>2125 - Spokane Transfer</t>
  </si>
  <si>
    <t>2011 - OPF</t>
  </si>
  <si>
    <t>2025 - CRD</t>
  </si>
  <si>
    <t>2046 - EWSI</t>
  </si>
  <si>
    <t>2042 - Wasco</t>
  </si>
  <si>
    <t>2050 - Finley</t>
  </si>
  <si>
    <t>2044 - The Dalles</t>
  </si>
  <si>
    <t>2045 - Hood River</t>
  </si>
  <si>
    <t>2195 - Yakima Waste</t>
  </si>
  <si>
    <t>Other Compensation</t>
  </si>
  <si>
    <t>Allocate OUT of Vancouver</t>
  </si>
  <si>
    <t>70225</t>
  </si>
  <si>
    <t>70225-2010-000-00</t>
  </si>
  <si>
    <t>JRNLWA00343351</t>
  </si>
  <si>
    <t>20COLUMB01</t>
  </si>
  <si>
    <t>THE COLUMBIAN</t>
  </si>
  <si>
    <t>2015 Holiday Schedule per NK</t>
  </si>
  <si>
    <t>PO-2010-16-00229</t>
  </si>
  <si>
    <t>VO04073311</t>
  </si>
  <si>
    <t>JRNL00816232</t>
  </si>
  <si>
    <t>JRNLWA00343555</t>
  </si>
  <si>
    <t>Exp2: PO Log Accrual</t>
  </si>
  <si>
    <t>AdamJo</t>
  </si>
  <si>
    <t>JRNL00816429</t>
  </si>
  <si>
    <t>JRNL00816449</t>
  </si>
  <si>
    <t>JRNLWA00345570</t>
  </si>
  <si>
    <t>VUS000010999</t>
  </si>
  <si>
    <t>LADY FALCONS BOOSTER CLUB</t>
  </si>
  <si>
    <t>1/2 page ad for 2016-17 Media Guide &amp; Ga</t>
  </si>
  <si>
    <t>2016-17 AD</t>
  </si>
  <si>
    <t>PO-2010-16-03900</t>
  </si>
  <si>
    <t>VO04120044</t>
  </si>
  <si>
    <t>JRNL00821628</t>
  </si>
  <si>
    <t>JRNLWA00346633</t>
  </si>
  <si>
    <t>2016 Holiday Schedule per NK</t>
  </si>
  <si>
    <t>JRNL00824069</t>
  </si>
  <si>
    <t>JRNLWA00346835</t>
  </si>
  <si>
    <t>VO04132005</t>
  </si>
  <si>
    <t>JRNL00824414</t>
  </si>
  <si>
    <t>JRNLWA00346681</t>
  </si>
  <si>
    <t>HeatherWe</t>
  </si>
  <si>
    <t>JRNL00824118</t>
  </si>
  <si>
    <t>JRNLWA00347450</t>
  </si>
  <si>
    <t>PCard Activity December - West</t>
  </si>
  <si>
    <t>WWW.CALLFIRE.COM~BRIDGET SIMARD</t>
  </si>
  <si>
    <t>JRNL00826292</t>
  </si>
  <si>
    <t>JRNLWA00348055</t>
  </si>
  <si>
    <t>MaribelV</t>
  </si>
  <si>
    <t>PO 00229 : THE COLUMBIAN : CHECK</t>
  </si>
  <si>
    <t>JRNL00827565</t>
  </si>
  <si>
    <t>JRNLWA00348548</t>
  </si>
  <si>
    <t>VUS000012257</t>
  </si>
  <si>
    <t>2016 Holiday Schedule per Bridget Simard</t>
  </si>
  <si>
    <t>PO-2010-17-00144</t>
  </si>
  <si>
    <t>VO04173651</t>
  </si>
  <si>
    <t>JRNL00828709</t>
  </si>
  <si>
    <t>JRNLWA00348113</t>
  </si>
  <si>
    <t>JRNL00827593</t>
  </si>
  <si>
    <t>JRNLWA00349054</t>
  </si>
  <si>
    <t>PCard Activity January- Wester</t>
  </si>
  <si>
    <t>JRNL00830275</t>
  </si>
  <si>
    <t>JRNLWA00350488</t>
  </si>
  <si>
    <t>PCard Activity February - West</t>
  </si>
  <si>
    <t>JRNL00833894</t>
  </si>
  <si>
    <t>JRNLWA00353099</t>
  </si>
  <si>
    <t>VUS000011127</t>
  </si>
  <si>
    <t>NORTH STAR FORMS</t>
  </si>
  <si>
    <t>COV Roll Cart brochures ordered by Bridg</t>
  </si>
  <si>
    <t>PO-2010-17-01047</t>
  </si>
  <si>
    <t>VO04258846</t>
  </si>
  <si>
    <t>JRNL00840343</t>
  </si>
  <si>
    <t>JRNLWA00355229</t>
  </si>
  <si>
    <t>Pcard Activity May - Western</t>
  </si>
  <si>
    <t>JRNL00845802</t>
  </si>
  <si>
    <t>JRNLWA00355650</t>
  </si>
  <si>
    <t>2017 Holiday Schedule per Bridget Simard</t>
  </si>
  <si>
    <t>JRNL00846908</t>
  </si>
  <si>
    <t>JRNLWA00355758</t>
  </si>
  <si>
    <t>EXP3: P-Card Accrual</t>
  </si>
  <si>
    <t>JRNL00846909</t>
  </si>
  <si>
    <t>JRNLWA00356115</t>
  </si>
  <si>
    <t>PO-2010-17-00285</t>
  </si>
  <si>
    <t>VO04312036</t>
  </si>
  <si>
    <t>JRNL00847534</t>
  </si>
  <si>
    <t>JRNLWA00356205</t>
  </si>
  <si>
    <t>VUS000015431</t>
  </si>
  <si>
    <t>TUALATIN HIGH SCHOOL BOYS SOCCER</t>
  </si>
  <si>
    <t>Stadium banner sponsor- Approved by Mike</t>
  </si>
  <si>
    <t>Banner-2017</t>
  </si>
  <si>
    <t>PO-2010-17-02009</t>
  </si>
  <si>
    <t>VO04319444</t>
  </si>
  <si>
    <t>JRNL00847913</t>
  </si>
  <si>
    <t>JRNLWA00356287</t>
  </si>
  <si>
    <t>City of Vancouver Annex letters Inv 1898</t>
  </si>
  <si>
    <t>PO-2010-17-02080</t>
  </si>
  <si>
    <t>VO04326449</t>
  </si>
  <si>
    <t>JRNL00848340</t>
  </si>
  <si>
    <t>JRNLWA00355845</t>
  </si>
  <si>
    <t>JRNL00846938</t>
  </si>
  <si>
    <t>JRNLWA00355894</t>
  </si>
  <si>
    <t>JRNL00847130</t>
  </si>
  <si>
    <t>JRNLWA00356482</t>
  </si>
  <si>
    <t>MISC3: Book Clean Cart Campaig</t>
  </si>
  <si>
    <t>Book reimb for call blasts</t>
  </si>
  <si>
    <t>JRNLWA00356562</t>
  </si>
  <si>
    <t>PCard Activity June - Western</t>
  </si>
  <si>
    <t>JRNL00849664</t>
  </si>
  <si>
    <t>SAGACITY MEDIA 2~MARK GINGRICH</t>
  </si>
  <si>
    <t>JRNLWA00357339</t>
  </si>
  <si>
    <t>MISC5: Reclass Annex Letters</t>
  </si>
  <si>
    <t>PO 2010-17-02080</t>
  </si>
  <si>
    <t>JRNLWA00357359</t>
  </si>
  <si>
    <t>JRNL00851428</t>
  </si>
  <si>
    <t>JRNLWA00356558</t>
  </si>
  <si>
    <t>VO04339798</t>
  </si>
  <si>
    <t>JRNL00849674</t>
  </si>
  <si>
    <t>JRNLWA00357493</t>
  </si>
  <si>
    <t>JRNL00851462</t>
  </si>
  <si>
    <t>JRNLWA00358110</t>
  </si>
  <si>
    <t>PCard Activity July - Western</t>
  </si>
  <si>
    <t>JRNL00853023</t>
  </si>
  <si>
    <t>JRNLWA00359794</t>
  </si>
  <si>
    <t>PCard Activity - Aug - Western</t>
  </si>
  <si>
    <t>JRNL00857227</t>
  </si>
  <si>
    <t>JRNLWA00360296</t>
  </si>
  <si>
    <t>EXP2: PO Log Accrual</t>
  </si>
  <si>
    <t>JRNL00858320</t>
  </si>
  <si>
    <t>JRNLWA00360158</t>
  </si>
  <si>
    <t>VO04402184</t>
  </si>
  <si>
    <t>JRNL00857963</t>
  </si>
  <si>
    <t>JRNLWA00360332</t>
  </si>
  <si>
    <t>JRNL00858336</t>
  </si>
  <si>
    <t>JRNLWA00361268</t>
  </si>
  <si>
    <t>PCard Activity - Sep - Western</t>
  </si>
  <si>
    <t>JRNL00860630</t>
  </si>
  <si>
    <t>Call Blast Service</t>
  </si>
  <si>
    <t>X - City of Vancuover Letters</t>
  </si>
  <si>
    <t>Holiday Schedule Flyer in Newspaper</t>
  </si>
  <si>
    <t xml:space="preserve">Unallowable = </t>
  </si>
  <si>
    <t>Payroll</t>
  </si>
  <si>
    <t>Reclass Recycling Coordinators</t>
  </si>
  <si>
    <t>Adjust WUTC Fees to Act.</t>
  </si>
  <si>
    <t>Unallowable Exp.</t>
  </si>
  <si>
    <t>70195</t>
  </si>
  <si>
    <t>70195-2010-000-00</t>
  </si>
  <si>
    <t>JRNLWA00343209</t>
  </si>
  <si>
    <t>25WRRA</t>
  </si>
  <si>
    <t>WASHINGTON REFUSE &amp; RECYCLING ASSOC</t>
  </si>
  <si>
    <t>WRRA- Regular Dues</t>
  </si>
  <si>
    <t>PO-2000-16-01082</t>
  </si>
  <si>
    <t>VO04072005</t>
  </si>
  <si>
    <t>JRNL00815781</t>
  </si>
  <si>
    <t>70195-2010-100-00</t>
  </si>
  <si>
    <t>JRNLWA00343210</t>
  </si>
  <si>
    <t>20DWOMBLE</t>
  </si>
  <si>
    <t>DANIELLE WOMBLE</t>
  </si>
  <si>
    <t>9/1-9/30/2016</t>
  </si>
  <si>
    <t>VO04072144</t>
  </si>
  <si>
    <t>JRNL00815782</t>
  </si>
  <si>
    <t>JRNLWA00343350</t>
  </si>
  <si>
    <t>3 month subscription NOV16-JAN17 acct 15</t>
  </si>
  <si>
    <t>NOV-JAN17 153288</t>
  </si>
  <si>
    <t>PO-2010-16-03246</t>
  </si>
  <si>
    <t>VO04073185</t>
  </si>
  <si>
    <t>JRNL00816231</t>
  </si>
  <si>
    <t>JRNLWA00344006</t>
  </si>
  <si>
    <t>25CAMASROT</t>
  </si>
  <si>
    <t>CAMAS-WASHOUGAL ROTARY FOUNDATION</t>
  </si>
  <si>
    <t>Dues Qtrly 10/01/16-12/31/16 Inv#2368 OK</t>
  </si>
  <si>
    <t>PO-2010-16-03517</t>
  </si>
  <si>
    <t>VO04087272</t>
  </si>
  <si>
    <t>JRNL00817579</t>
  </si>
  <si>
    <t>JRNLWA00343554</t>
  </si>
  <si>
    <t>EXP1: Expense Report Accrual</t>
  </si>
  <si>
    <t>East Vancouver Business Assoc. Meeting e</t>
  </si>
  <si>
    <t>JRNL00816428</t>
  </si>
  <si>
    <t>JRNL00816448</t>
  </si>
  <si>
    <t>PO 03230 : GREATER VANCOUVER CHAMBER OF</t>
  </si>
  <si>
    <t>JRNLWA00345141</t>
  </si>
  <si>
    <t>Amortize WA State Recycling Dues</t>
  </si>
  <si>
    <t>JRNLWA00345213</t>
  </si>
  <si>
    <t>JRNL00820236</t>
  </si>
  <si>
    <t>PO 03653 : SW WA CONTRACTORS : PCard</t>
  </si>
  <si>
    <t>JRNLWA00345324</t>
  </si>
  <si>
    <t>MISC8: Reclass Red Cross</t>
  </si>
  <si>
    <t>Red Cross Dues for Josy</t>
  </si>
  <si>
    <t>JRNLWA00345399</t>
  </si>
  <si>
    <t>PO-2000-16-01433</t>
  </si>
  <si>
    <t>VO04105459</t>
  </si>
  <si>
    <t>JRNL00820783</t>
  </si>
  <si>
    <t>JRNLWA00345401</t>
  </si>
  <si>
    <t>VUS000009783</t>
  </si>
  <si>
    <t>CC OF VANCOUVER</t>
  </si>
  <si>
    <t>Q4 Membership dues</t>
  </si>
  <si>
    <t>4QTR Dues</t>
  </si>
  <si>
    <t>PO-2010-16-03766</t>
  </si>
  <si>
    <t>VO04105844</t>
  </si>
  <si>
    <t>JRNL00820785</t>
  </si>
  <si>
    <t>JRNLWA00345272</t>
  </si>
  <si>
    <t>JRNL00820414</t>
  </si>
  <si>
    <t>JRNLWA00345917</t>
  </si>
  <si>
    <t>Pcard Activity November - West</t>
  </si>
  <si>
    <t>GREATER VANCOUVER CHAM~SHARON SWANSON</t>
  </si>
  <si>
    <t>JRNL00822449</t>
  </si>
  <si>
    <t>SOUTHWEST WASHINGTON CONT~SCOTT CAMPBELL</t>
  </si>
  <si>
    <t>JRNLWA00346638</t>
  </si>
  <si>
    <t>JRNL00824074</t>
  </si>
  <si>
    <t>JRNLWA00346881</t>
  </si>
  <si>
    <t>WRRA- Regular Dues December</t>
  </si>
  <si>
    <t>PO-2000-16-01761</t>
  </si>
  <si>
    <t>VO04136728</t>
  </si>
  <si>
    <t>JRNL00824648</t>
  </si>
  <si>
    <t>JRNLWA00347005</t>
  </si>
  <si>
    <t>212AWB</t>
  </si>
  <si>
    <t>ASSOCIATION OF WASHINGTON BUSINESS</t>
  </si>
  <si>
    <t>Association of WA Business- Chamber of t</t>
  </si>
  <si>
    <t>PO-2000-16-01889</t>
  </si>
  <si>
    <t>VO04147787</t>
  </si>
  <si>
    <t>JRNL00825158</t>
  </si>
  <si>
    <t>JRNLWA00347036</t>
  </si>
  <si>
    <t>20MTIEFENTH</t>
  </si>
  <si>
    <t>MELISSA TIEFENTHALER</t>
  </si>
  <si>
    <t>11/1-11/30/2016</t>
  </si>
  <si>
    <t>VO04149320</t>
  </si>
  <si>
    <t>JRNL00825307</t>
  </si>
  <si>
    <t>JRNLWA00348015</t>
  </si>
  <si>
    <t>JRNLWA00348169</t>
  </si>
  <si>
    <t>WRRA Regular Dues- January</t>
  </si>
  <si>
    <t>PO-2000-17-00092</t>
  </si>
  <si>
    <t>VO04166261</t>
  </si>
  <si>
    <t>JRNL00827837</t>
  </si>
  <si>
    <t>JRNLWA00348509</t>
  </si>
  <si>
    <t>3 month subscription FEB17-APR17 account</t>
  </si>
  <si>
    <t>FEB-APR17 153288</t>
  </si>
  <si>
    <t>PO-2010-17-00145</t>
  </si>
  <si>
    <t>VO04170010</t>
  </si>
  <si>
    <t>JRNL00828422</t>
  </si>
  <si>
    <t>JRNLWA00348560</t>
  </si>
  <si>
    <t>20VANROTARY</t>
  </si>
  <si>
    <t>VANCOUVER ROTARY CLUB</t>
  </si>
  <si>
    <t>2017 Meeting Assessment and dues for Jas</t>
  </si>
  <si>
    <t>PO-2010-17-00177</t>
  </si>
  <si>
    <t>VO04175206</t>
  </si>
  <si>
    <t>JRNL00828754</t>
  </si>
  <si>
    <t>Q1 Membership Dues</t>
  </si>
  <si>
    <t>1QTR DUES</t>
  </si>
  <si>
    <t>PO-2010-17-00178</t>
  </si>
  <si>
    <t>VO04175208</t>
  </si>
  <si>
    <t>JRNLWA00348561</t>
  </si>
  <si>
    <t>VUS000012311</t>
  </si>
  <si>
    <t>CAMAS WASHOUGAL ROTARY</t>
  </si>
  <si>
    <t>Qtrly dues 1-17-3/17 Inv 2409</t>
  </si>
  <si>
    <t>PO-2010-17-00209</t>
  </si>
  <si>
    <t>VO04175544</t>
  </si>
  <si>
    <t>JRNL00828756</t>
  </si>
  <si>
    <t>JRNLWA00348652</t>
  </si>
  <si>
    <t>212AWC</t>
  </si>
  <si>
    <t>ASSOCIATES OF WASHINGTON CITIES</t>
  </si>
  <si>
    <t>AWC Association of Washington CIties Mem</t>
  </si>
  <si>
    <t>PO-2000-17-00268</t>
  </si>
  <si>
    <t>VO04183768</t>
  </si>
  <si>
    <t>JRNL00829137</t>
  </si>
  <si>
    <t>BIA OF CLARK COUNTY~SHARON SWANSON</t>
  </si>
  <si>
    <t>CAMAS WASHOUGAL CHAMBER~SHARON SWANSON</t>
  </si>
  <si>
    <t>NATIONAL ASSOCIATION FOR~JEFF HARWOOD</t>
  </si>
  <si>
    <t>JRNLWA00349426</t>
  </si>
  <si>
    <t>JRNLWA00349480</t>
  </si>
  <si>
    <t>Meeting Dues</t>
  </si>
  <si>
    <t>JRNL00831500</t>
  </si>
  <si>
    <t>JRNLWA00348931</t>
  </si>
  <si>
    <t>WRRA Regular Dues- February</t>
  </si>
  <si>
    <t>PO-2000-17-00437</t>
  </si>
  <si>
    <t>VO04192647</t>
  </si>
  <si>
    <t>JRNL00830163</t>
  </si>
  <si>
    <t>JRNLWA00350052</t>
  </si>
  <si>
    <t>1/1-1/31/2017</t>
  </si>
  <si>
    <t>VO04201373</t>
  </si>
  <si>
    <t>JRNL00832583</t>
  </si>
  <si>
    <t>JRNLWA00349567</t>
  </si>
  <si>
    <t>JRNL00831621</t>
  </si>
  <si>
    <t>JRNLWA00350516</t>
  </si>
  <si>
    <t>AWB Association of WA Business- 2017 Due</t>
  </si>
  <si>
    <t>PO-2000-17-00267</t>
  </si>
  <si>
    <t>VO04220208</t>
  </si>
  <si>
    <t>JRNL00833985</t>
  </si>
  <si>
    <t>JRNLWA00351046</t>
  </si>
  <si>
    <t>2/1-2/28/2017</t>
  </si>
  <si>
    <t>VO04221294</t>
  </si>
  <si>
    <t>JRNL00835527</t>
  </si>
  <si>
    <t>JRNLWA00351492</t>
  </si>
  <si>
    <t>WRRA- Regular Dues March 2017</t>
  </si>
  <si>
    <t>PO-2000-17-00833</t>
  </si>
  <si>
    <t>VO04226137</t>
  </si>
  <si>
    <t>JRNL00836115</t>
  </si>
  <si>
    <t>JRNLWA00352725</t>
  </si>
  <si>
    <t>JRNL00839465</t>
  </si>
  <si>
    <t>JRNLWA00352619</t>
  </si>
  <si>
    <t>3 month subscription MAY17-JUL17 acct 15</t>
  </si>
  <si>
    <t>MAY-JUL17 153288</t>
  </si>
  <si>
    <t>PO-2010-17-01138</t>
  </si>
  <si>
    <t>VO04252712</t>
  </si>
  <si>
    <t>JRNL00839507</t>
  </si>
  <si>
    <t>JRNLWA00353071</t>
  </si>
  <si>
    <t>APRIL WRRA INVOICE</t>
  </si>
  <si>
    <t>PO-2000-17-01475</t>
  </si>
  <si>
    <t>VO04255529</t>
  </si>
  <si>
    <t>JRNL00840219</t>
  </si>
  <si>
    <t>JRNLWA00353092</t>
  </si>
  <si>
    <t>3/1-3/31/2017</t>
  </si>
  <si>
    <t>VO04258000</t>
  </si>
  <si>
    <t>JRNL00840267</t>
  </si>
  <si>
    <t>Qtrly dues 4-17-6/17 Inv 2458</t>
  </si>
  <si>
    <t>PO-2010-17-01217</t>
  </si>
  <si>
    <t>VO04258986</t>
  </si>
  <si>
    <t>JRNLWA00352858</t>
  </si>
  <si>
    <t>JRNL00839619</t>
  </si>
  <si>
    <t>JRNLWA00354603</t>
  </si>
  <si>
    <t>4/1-4/30/2017</t>
  </si>
  <si>
    <t>VO04287566</t>
  </si>
  <si>
    <t>JRNL00843982</t>
  </si>
  <si>
    <t>JRNLWA00354681</t>
  </si>
  <si>
    <t>Regular Dues</t>
  </si>
  <si>
    <t>PO-2000-17-01877</t>
  </si>
  <si>
    <t>VO04292441</t>
  </si>
  <si>
    <t>JRNL00844227</t>
  </si>
  <si>
    <t>JRNLWA00354865</t>
  </si>
  <si>
    <t>Annual meeting member registration</t>
  </si>
  <si>
    <t>PO-2000-17-02147</t>
  </si>
  <si>
    <t>VO04305736</t>
  </si>
  <si>
    <t>JRNL00845060</t>
  </si>
  <si>
    <t>2017 QTR DUES OK PER SCOTT CAMPBELL</t>
  </si>
  <si>
    <t>JRNLWA00356114</t>
  </si>
  <si>
    <t>2017 2QTR DUES</t>
  </si>
  <si>
    <t>PO-2010-17-01912</t>
  </si>
  <si>
    <t>VO04311888</t>
  </si>
  <si>
    <t>JRNL00847533</t>
  </si>
  <si>
    <t>THE CHRONICLE 2 GATEWA~SHARON SWANSON</t>
  </si>
  <si>
    <t>SMK SURVEYMONKEY.COM~TINA KROHLING</t>
  </si>
  <si>
    <t>JRNLWA00357384</t>
  </si>
  <si>
    <t>PO Log and Expense Report Accr</t>
  </si>
  <si>
    <t>25WRRA : WRRA Allocation, regular dues</t>
  </si>
  <si>
    <t>JRNL00851453</t>
  </si>
  <si>
    <t>3 month subscription AUG17-OCT17 acct 15</t>
  </si>
  <si>
    <t>AUG-OCT17 153288</t>
  </si>
  <si>
    <t>PO-2010-17-02227</t>
  </si>
  <si>
    <t>VO04339799</t>
  </si>
  <si>
    <t>JRNLWA00356733</t>
  </si>
  <si>
    <t>WRRA Allocation, regular dues</t>
  </si>
  <si>
    <t>PO-2000-17-02242</t>
  </si>
  <si>
    <t>VO04340580</t>
  </si>
  <si>
    <t>JRNL00850187</t>
  </si>
  <si>
    <t>JRNLWA00357737</t>
  </si>
  <si>
    <t>3RD QTR DUES</t>
  </si>
  <si>
    <t>VO04345734</t>
  </si>
  <si>
    <t>JRNL00851817</t>
  </si>
  <si>
    <t>JRNLWA00357806</t>
  </si>
  <si>
    <t>VUS000014724</t>
  </si>
  <si>
    <t>Fiscal 2017 Dues $320.00 less overpymt o</t>
  </si>
  <si>
    <t>PO-2010-17-02457</t>
  </si>
  <si>
    <t>VO04352643</t>
  </si>
  <si>
    <t>JRNL00852124</t>
  </si>
  <si>
    <t>JRNLWA00357503</t>
  </si>
  <si>
    <t>JRNL00851472</t>
  </si>
  <si>
    <t>BATTLE GROUND CHAMBER~SHARON SWANSON</t>
  </si>
  <si>
    <t>JRNLWA00358893</t>
  </si>
  <si>
    <t>25WRRA : Landfill Dues</t>
  </si>
  <si>
    <t>JRNL00854889</t>
  </si>
  <si>
    <t>JRNLWA00359308</t>
  </si>
  <si>
    <t>WRRA Regular Dues</t>
  </si>
  <si>
    <t>PO-2000-17-02997</t>
  </si>
  <si>
    <t>VO04377418</t>
  </si>
  <si>
    <t>JRNL00855531</t>
  </si>
  <si>
    <t>JRNLWA00359015</t>
  </si>
  <si>
    <t>JRNL00854943</t>
  </si>
  <si>
    <t>PO 02969 : EVBA : PCard</t>
  </si>
  <si>
    <t>JRNLWA00360840</t>
  </si>
  <si>
    <t>PO-2000-17-03413</t>
  </si>
  <si>
    <t>VO04409164</t>
  </si>
  <si>
    <t>JRNL00859253</t>
  </si>
  <si>
    <t>GRT VANCOUVER CHAMBER~SHARON SWANSON</t>
  </si>
  <si>
    <t>WRRA Unallowable</t>
  </si>
  <si>
    <t>Adjustment Check</t>
  </si>
  <si>
    <t>Drivers</t>
  </si>
  <si>
    <t>Reg Portion</t>
  </si>
  <si>
    <t>Packer %</t>
  </si>
  <si>
    <t>RO %</t>
  </si>
  <si>
    <t>60225</t>
  </si>
  <si>
    <t>60225-2010-000-00</t>
  </si>
  <si>
    <t>JRNLWA00343987</t>
  </si>
  <si>
    <t>VUS000010485</t>
  </si>
  <si>
    <t>TECHNOLOGIES INTELLICLOUD</t>
  </si>
  <si>
    <t>LMS Website set up</t>
  </si>
  <si>
    <t>F-000761</t>
  </si>
  <si>
    <t>PO-2183-16-03485</t>
  </si>
  <si>
    <t>VO04084595</t>
  </si>
  <si>
    <t>JRNL00817463</t>
  </si>
  <si>
    <t>JRNLWA00343552</t>
  </si>
  <si>
    <t>Opex 12 - PO Log and Exp Repor</t>
  </si>
  <si>
    <t>TBD : PO 03485 : Vendor To Be Determined</t>
  </si>
  <si>
    <t>JRNL00816416</t>
  </si>
  <si>
    <t>JRNL00816445</t>
  </si>
  <si>
    <t>PO 00259 : THE REFLECTOR\THE CHRONICLE 2</t>
  </si>
  <si>
    <t>PO 02723 : BENNETT PAPER &amp; SUPPLY CO INC</t>
  </si>
  <si>
    <t>PO 03141 : BENNETT PAPER &amp; SUPPLY CO INC</t>
  </si>
  <si>
    <t>JRNLWA00344344</t>
  </si>
  <si>
    <t>Your journal description</t>
  </si>
  <si>
    <t>JRNL00818594</t>
  </si>
  <si>
    <t>PRO-AD CO INC~JOSY WRIGHT</t>
  </si>
  <si>
    <t>JRNLWA00344947</t>
  </si>
  <si>
    <t>1/JE STD</t>
  </si>
  <si>
    <t>BENNETT PAPER AND SUPPLY~JOSY WRIGHT</t>
  </si>
  <si>
    <t>PO-2010-16-02723</t>
  </si>
  <si>
    <t>NOR CAL EMBROIDERY AND NO~JOSY WRIGHT</t>
  </si>
  <si>
    <t>PO-2010-16-03129</t>
  </si>
  <si>
    <t>ADCO PRINTING AND GRAPHIC~SHARON SWANSON</t>
  </si>
  <si>
    <t>PO-2010-16-03140</t>
  </si>
  <si>
    <t>PO-2010-16-03141</t>
  </si>
  <si>
    <t>Reclass Postage for October Newsletters</t>
  </si>
  <si>
    <t>20CLARK01</t>
  </si>
  <si>
    <t>CLARK PUBLIC UTILITIES</t>
  </si>
  <si>
    <t>Deposit for HGIF Booth April 28,29&amp;30 20</t>
  </si>
  <si>
    <t>2017 BOOTH DEP</t>
  </si>
  <si>
    <t>PO-2010-16-03716</t>
  </si>
  <si>
    <t>VO04105473</t>
  </si>
  <si>
    <t>JRNLWA00344964</t>
  </si>
  <si>
    <t>0/REVERSE</t>
  </si>
  <si>
    <t>POSTERGARDEN.COM~JOSY WRIGHT</t>
  </si>
  <si>
    <t>PO 03694 : WA POISON CENTER : PCard</t>
  </si>
  <si>
    <t>JRNLWA00346903</t>
  </si>
  <si>
    <t>VUS000011199</t>
  </si>
  <si>
    <t>PARTNERS ON DEMAND INC</t>
  </si>
  <si>
    <t>2016 EOW Calendar postage OK per Bridget</t>
  </si>
  <si>
    <t>2016 EOW POSTAGE</t>
  </si>
  <si>
    <t>PO-2010-16-04123</t>
  </si>
  <si>
    <t>VO04139461</t>
  </si>
  <si>
    <t>JRNL00824734</t>
  </si>
  <si>
    <t>WASHINGTON POISON CENTE~JOSY WRIGHT</t>
  </si>
  <si>
    <t>OSU CONTINUING EDUCATION~JOSY WRIGHT</t>
  </si>
  <si>
    <t>JRNLWA00348017</t>
  </si>
  <si>
    <t>EXP3: PCard Accrual</t>
  </si>
  <si>
    <t>PO-2010-16-04252</t>
  </si>
  <si>
    <t>PO 04267 : POD4PRINT : PCard</t>
  </si>
  <si>
    <t>VUS000012158</t>
  </si>
  <si>
    <t>CITY OF VANCOUVER</t>
  </si>
  <si>
    <t>Senior Messenger Advertisement Inv 43826</t>
  </si>
  <si>
    <t>PO-2010-17-00124</t>
  </si>
  <si>
    <t>VO04169899</t>
  </si>
  <si>
    <t>JRNLWA00348099</t>
  </si>
  <si>
    <t>POD 4 PRINT~SHARON SWANSON</t>
  </si>
  <si>
    <t>JRNLWA00349423</t>
  </si>
  <si>
    <t>BIG 5 SPORTING GOODS 428~JOSY WRIGHT</t>
  </si>
  <si>
    <t>PO-2010-17-00456</t>
  </si>
  <si>
    <t>JRNLWA00349477</t>
  </si>
  <si>
    <t>PO 04184 : KORE GROUP : PCard</t>
  </si>
  <si>
    <t>JRNL00831497</t>
  </si>
  <si>
    <t>PO 00267 : THE REFLECTOR\THE CHRONICLE 2</t>
  </si>
  <si>
    <t>60225-2010-100-00</t>
  </si>
  <si>
    <t>LEED Class</t>
  </si>
  <si>
    <t>LEED Exam</t>
  </si>
  <si>
    <t>JRNLWA00350162</t>
  </si>
  <si>
    <t>01/01-01/31/2017</t>
  </si>
  <si>
    <t>VO04210704</t>
  </si>
  <si>
    <t>JRNL00833053</t>
  </si>
  <si>
    <t>JRNLWA00349565</t>
  </si>
  <si>
    <t>JRNL00831619</t>
  </si>
  <si>
    <t>JRNLWA00349602</t>
  </si>
  <si>
    <t>KORE GROUP~JOSY WRIGHT</t>
  </si>
  <si>
    <t>GEORGE PATTON ASSOCIAT~JOSY WRIGHT</t>
  </si>
  <si>
    <t>MARCO IDEAS UNLIMITED~JOSY WRIGHT</t>
  </si>
  <si>
    <t>SIMPLY THYME CATERING~JOSY WRIGHT</t>
  </si>
  <si>
    <t>SIGNS &amp; MORE~JOSY WRIGHT</t>
  </si>
  <si>
    <t>yellow Pages Ad</t>
  </si>
  <si>
    <t>JRNLWA00350955</t>
  </si>
  <si>
    <t>JRNL00835347</t>
  </si>
  <si>
    <t>PO 00688 : MARCO IDEAS UNLIMITED : PCard</t>
  </si>
  <si>
    <t>JRNLWA00350956</t>
  </si>
  <si>
    <t>JRNL00835348</t>
  </si>
  <si>
    <t>JRNLWA00351717</t>
  </si>
  <si>
    <t>VUS000011426</t>
  </si>
  <si>
    <t>CLARK COUNTY AUDITOR</t>
  </si>
  <si>
    <t>GIS map ordered by Erik Hegg Approved by</t>
  </si>
  <si>
    <t>PO-2010-17-01030</t>
  </si>
  <si>
    <t>VO04245431</t>
  </si>
  <si>
    <t>JRNL00837122</t>
  </si>
  <si>
    <t>JRNLWA00351135</t>
  </si>
  <si>
    <t>JRNL00835370</t>
  </si>
  <si>
    <t>JRNLWA00351136</t>
  </si>
  <si>
    <t>JRNL00835371</t>
  </si>
  <si>
    <t>JRNLWA00351880</t>
  </si>
  <si>
    <t>PCard Activity March - Western</t>
  </si>
  <si>
    <t>JRNL00837651</t>
  </si>
  <si>
    <t>IDEASTAGE PROMOTION~JOSY WRIGHT</t>
  </si>
  <si>
    <t>JRNLWA00352724</t>
  </si>
  <si>
    <t>JRNL00839464</t>
  </si>
  <si>
    <t>TRADE SHOW SUPPLY HO~JOSY WRIGHT</t>
  </si>
  <si>
    <t>JRNLWA00352726</t>
  </si>
  <si>
    <t>JRNL00839466</t>
  </si>
  <si>
    <t>PO 00594 : MINUTEMAN PRESS : PCard</t>
  </si>
  <si>
    <t>PO 01142 : TRADE SHOW SUPPLY HOUSE : PCa</t>
  </si>
  <si>
    <t>VUS000011273</t>
  </si>
  <si>
    <t>HGIF Booth April 28, 29, 30 2017 per Jos</t>
  </si>
  <si>
    <t>2017 HGIF BOOTH</t>
  </si>
  <si>
    <t>PO-2010-17-01132</t>
  </si>
  <si>
    <t>VO04252687</t>
  </si>
  <si>
    <t>JRNLWA00352857</t>
  </si>
  <si>
    <t>JRNL00839618</t>
  </si>
  <si>
    <t>JRNLWA00352859</t>
  </si>
  <si>
    <t>JRNL00839620</t>
  </si>
  <si>
    <t>JRNLWA00353598</t>
  </si>
  <si>
    <t>PCard Activity April - Western</t>
  </si>
  <si>
    <t>JRNL00841892</t>
  </si>
  <si>
    <t>MINUTEMAN PRESS~JOSY WRIGHT</t>
  </si>
  <si>
    <t>BIA OF CLARK COUNTY~JOSY WRIGHT</t>
  </si>
  <si>
    <t>JRNLWA00354196</t>
  </si>
  <si>
    <t>JRNL00843206</t>
  </si>
  <si>
    <t>PO 00555 : CITY OF VANCOUVER : CHECK</t>
  </si>
  <si>
    <t>JRNLWA00354166</t>
  </si>
  <si>
    <t>Senior Messenger Advertisement OK per Jo</t>
  </si>
  <si>
    <t>PO-2010-17-01526</t>
  </si>
  <si>
    <t>VO04280307</t>
  </si>
  <si>
    <t>JRNL00843284</t>
  </si>
  <si>
    <t>JRNLWA00354301</t>
  </si>
  <si>
    <t>JRNL00843325</t>
  </si>
  <si>
    <t>WEISENBACH RECYCLED PRO~JOSY WRIGHT</t>
  </si>
  <si>
    <t>E AND M CONSULTING INC~JOSY WRIGHT</t>
  </si>
  <si>
    <t>PO 01497 : WRIGHT BUSINESS GRAPHICS : PC</t>
  </si>
  <si>
    <t>PO 01498 : WSRA : PCard</t>
  </si>
  <si>
    <t>PO 01499 : WEISENBACH RECYCLED PRODUCTS</t>
  </si>
  <si>
    <t>PO 01595 : MINUTEMAN PRESS : PCard</t>
  </si>
  <si>
    <t>PO 01803 : MINUTEMAN PRESS : PCard</t>
  </si>
  <si>
    <t>JRNLWA00356276</t>
  </si>
  <si>
    <t>1/2 annual cost of the Recollect garb/re</t>
  </si>
  <si>
    <t>PO-2010-17-00555</t>
  </si>
  <si>
    <t>VO04325288</t>
  </si>
  <si>
    <t>JRNL00848316</t>
  </si>
  <si>
    <t>TOTAL WINE AND MORE 1404~JOSY WRIGHT</t>
  </si>
  <si>
    <t>JRNLWA00357358</t>
  </si>
  <si>
    <t>WASHINGTON STATE RECYCLIN~JOSY WRIGHT</t>
  </si>
  <si>
    <t>JRNL00851427</t>
  </si>
  <si>
    <t>PO 01948 : BENNETT PAPER &amp; SUPPLY CO INC</t>
  </si>
  <si>
    <t>PO 02180 : WSRA : PCard</t>
  </si>
  <si>
    <t>PO 02181 : WSRA : PCard</t>
  </si>
  <si>
    <t>JRNLWA00357492</t>
  </si>
  <si>
    <t>JRNL00851461</t>
  </si>
  <si>
    <t>WRIGHT BUSINESS GRAPHI~JOSY WRIGHT</t>
  </si>
  <si>
    <t>JRNLWA00358777</t>
  </si>
  <si>
    <t>IN  WEBFOR, LLC~JOSY WRIGHT</t>
  </si>
  <si>
    <t>JRNL00854580</t>
  </si>
  <si>
    <t>POD 4 PRINT~BRIDGET SIMARD</t>
  </si>
  <si>
    <t>FRED-MEYER #0236~JOSY WRIGHT</t>
  </si>
  <si>
    <t>JRNLWA00358779</t>
  </si>
  <si>
    <t>JRNL00854582</t>
  </si>
  <si>
    <t>PO 02427 : BENNETT PAPER : PCard</t>
  </si>
  <si>
    <t>JRNLWA00359294</t>
  </si>
  <si>
    <t>Senior Messenger Advertisement OK per JW</t>
  </si>
  <si>
    <t>PO-2010-17-02771</t>
  </si>
  <si>
    <t>VO04376039</t>
  </si>
  <si>
    <t>JRNL00855402</t>
  </si>
  <si>
    <t>JRNLWA00358840</t>
  </si>
  <si>
    <t>JRNL00854694</t>
  </si>
  <si>
    <t>JRNLWA00358842</t>
  </si>
  <si>
    <t>JRNL00854696</t>
  </si>
  <si>
    <t>IN  MARKON~JOSY WRIGHT</t>
  </si>
  <si>
    <t>PO 02764 : Minuteman Press : PCard</t>
  </si>
  <si>
    <t>PO 02767 : Markon : PCard</t>
  </si>
  <si>
    <t>PO 02790 : Bennett Paper and Supply : PC</t>
  </si>
  <si>
    <t>PO 02970 : Minuteman : PCard</t>
  </si>
  <si>
    <t>BENNETT PAPER AND SUPP~JOSY WRIGHT</t>
  </si>
  <si>
    <t>VP CARWASH II~JOSY WRIGHT</t>
  </si>
  <si>
    <t>JRNLWA00361771</t>
  </si>
  <si>
    <t>JRNL00861774</t>
  </si>
  <si>
    <t>PO 03150 : Adco : PCard</t>
  </si>
  <si>
    <t>JRNLWA00361772</t>
  </si>
  <si>
    <t>PAYPAL  EASTVANCOUV~JOSY WRIGHT</t>
  </si>
  <si>
    <t>JRNL00861775</t>
  </si>
  <si>
    <t>JRNLWA00361776</t>
  </si>
  <si>
    <t>JRNL00861791</t>
  </si>
  <si>
    <t>JRNLWA00361777</t>
  </si>
  <si>
    <t>EXP2Revised: PO Log Accrual</t>
  </si>
  <si>
    <t>JRNL00861792</t>
  </si>
  <si>
    <t>Please give a general explanation of the expenses below.  If you know it's 100% related to recycling/YW or another open market activity you can just mark it as "non-reg."</t>
  </si>
  <si>
    <t>Newsletter- Recycle Focus</t>
  </si>
  <si>
    <t xml:space="preserve">Event bags </t>
  </si>
  <si>
    <t xml:space="preserve">Vendor Table sustainability showcase </t>
  </si>
  <si>
    <t xml:space="preserve">"NON REG" </t>
  </si>
  <si>
    <t>Recollect- All Lines of business</t>
  </si>
  <si>
    <t>GIS Map For Multi Family Accounts</t>
  </si>
  <si>
    <t>HGIF</t>
  </si>
  <si>
    <t xml:space="preserve">BBQ Supplies for a raffle </t>
  </si>
  <si>
    <t>I Pad floor Stands</t>
  </si>
  <si>
    <t>Chip bag clips- giveaways</t>
  </si>
  <si>
    <t>3034.01 Annual Report $460 "NO REG"</t>
  </si>
  <si>
    <t>Deposit on Website</t>
  </si>
  <si>
    <t>Canopy for tabling events</t>
  </si>
  <si>
    <t>Bags/Spray bottles for giveaways at events- $570 coffee mugs for offices</t>
  </si>
  <si>
    <t>Non Reg</t>
  </si>
  <si>
    <t>Giveaways</t>
  </si>
  <si>
    <t>Management Class</t>
  </si>
  <si>
    <t>EOW calanders- All lines of business</t>
  </si>
  <si>
    <t>Decals for waste relay game</t>
  </si>
  <si>
    <t>COV annex letters- All lines of business</t>
  </si>
  <si>
    <t>cart tags for annexation &amp; UTC booklets</t>
  </si>
  <si>
    <t>Folding tables/display stands</t>
  </si>
  <si>
    <t>Postage for newsletter</t>
  </si>
  <si>
    <t>HGIFsupplies- carpet/table skirt</t>
  </si>
  <si>
    <t>Prius car wash</t>
  </si>
  <si>
    <t>Mr Yuk Stickers</t>
  </si>
  <si>
    <t>MF- door hangers</t>
  </si>
  <si>
    <t>yellow page phone listing</t>
  </si>
  <si>
    <t>Gross-Up for PT Revenue</t>
  </si>
  <si>
    <t>Base Revenue</t>
  </si>
  <si>
    <t>Less PT</t>
  </si>
  <si>
    <t>Revenue for Increase</t>
  </si>
  <si>
    <t>Increase W/O Gross-Up</t>
  </si>
  <si>
    <t>Shortage</t>
  </si>
  <si>
    <t>Grossed Up %</t>
  </si>
  <si>
    <t>Increase Check</t>
  </si>
  <si>
    <t>Item 245, pg 37</t>
  </si>
  <si>
    <t>Item 250, pg 38</t>
  </si>
  <si>
    <t>Item 255, pg 39</t>
  </si>
  <si>
    <t>Item 260, pg 40</t>
  </si>
  <si>
    <t>Item 275, pg 43</t>
  </si>
  <si>
    <t>Item 240-1, pg 36 - NEW</t>
  </si>
  <si>
    <t>1.5 - 8 Yard</t>
  </si>
  <si>
    <t>Daily Rent</t>
  </si>
  <si>
    <t>Empty &amp; Return</t>
  </si>
  <si>
    <t>Final Pull</t>
  </si>
  <si>
    <t>Clark County</t>
  </si>
  <si>
    <t>Vancouver 2010</t>
  </si>
  <si>
    <t>Payroll Schedule</t>
  </si>
  <si>
    <t>Restatement/Pro forma Wage Adjustments</t>
  </si>
  <si>
    <t>Note:  Data below is from payroll registers.  Links have been broken to the source file to maintain data integrity.   Source documents are available upon request.</t>
  </si>
  <si>
    <t>Test Year Start Date:</t>
  </si>
  <si>
    <t>REGULAR</t>
  </si>
  <si>
    <t>OVERTIME</t>
  </si>
  <si>
    <t>VACATION/PTO</t>
  </si>
  <si>
    <t>HOLIDAY</t>
  </si>
  <si>
    <t>OTHER</t>
  </si>
  <si>
    <t>BONUS</t>
  </si>
  <si>
    <t>District #</t>
  </si>
  <si>
    <t>EE #</t>
  </si>
  <si>
    <t>Name</t>
  </si>
  <si>
    <t>Job</t>
  </si>
  <si>
    <t>Hours</t>
  </si>
  <si>
    <t>Total Pay per Payroll Register</t>
  </si>
  <si>
    <t>Total Non-Wrk Hrs</t>
  </si>
  <si>
    <t>Total Route Hrs</t>
  </si>
  <si>
    <t>Wage Base</t>
  </si>
  <si>
    <t>Raise Date</t>
  </si>
  <si>
    <t>Raise %</t>
  </si>
  <si>
    <t>Restatement</t>
  </si>
  <si>
    <t>Proforma</t>
  </si>
  <si>
    <t>Raise Dtae</t>
  </si>
  <si>
    <t># of Restatement Days</t>
  </si>
  <si>
    <t>Drivers (50020)</t>
  </si>
  <si>
    <t xml:space="preserve">Adrian Weber </t>
  </si>
  <si>
    <t xml:space="preserve">Benjamin Dynes </t>
  </si>
  <si>
    <t xml:space="preserve">Brian Croft </t>
  </si>
  <si>
    <t xml:space="preserve">Bryan Parks </t>
  </si>
  <si>
    <t xml:space="preserve">Chris Davis </t>
  </si>
  <si>
    <t xml:space="preserve">Chris Duncan </t>
  </si>
  <si>
    <t xml:space="preserve">Christopher Casciato </t>
  </si>
  <si>
    <t xml:space="preserve">Don Ballhorn </t>
  </si>
  <si>
    <t xml:space="preserve">Edward Winter </t>
  </si>
  <si>
    <t xml:space="preserve">Ford Skube </t>
  </si>
  <si>
    <t xml:space="preserve">Giovanni Henderson </t>
  </si>
  <si>
    <t xml:space="preserve">Jacob Couture </t>
  </si>
  <si>
    <t xml:space="preserve">Jason Valerio </t>
  </si>
  <si>
    <t xml:space="preserve">Jerrett Holguin </t>
  </si>
  <si>
    <t xml:space="preserve">Jon Embry </t>
  </si>
  <si>
    <t xml:space="preserve">Jose Hernandez </t>
  </si>
  <si>
    <t xml:space="preserve">Joshua Collins </t>
  </si>
  <si>
    <t xml:space="preserve">Kelly Fowles </t>
  </si>
  <si>
    <t xml:space="preserve">Larry Klopp </t>
  </si>
  <si>
    <t xml:space="preserve">Mark Berkley </t>
  </si>
  <si>
    <t xml:space="preserve">Matt Kielman </t>
  </si>
  <si>
    <t xml:space="preserve">Micah Passmore </t>
  </si>
  <si>
    <t xml:space="preserve">Ngoc Griffiths </t>
  </si>
  <si>
    <t xml:space="preserve">Pierre Wentworth </t>
  </si>
  <si>
    <t xml:space="preserve">Richard Dean </t>
  </si>
  <si>
    <t xml:space="preserve">Shane Brock </t>
  </si>
  <si>
    <t xml:space="preserve">Shane Kopkie </t>
  </si>
  <si>
    <t xml:space="preserve">Timothy Gage </t>
  </si>
  <si>
    <t xml:space="preserve">Timothy Grimes </t>
  </si>
  <si>
    <t xml:space="preserve">Tony Chipman </t>
  </si>
  <si>
    <t xml:space="preserve">Richard Klotzer </t>
  </si>
  <si>
    <t>TOTAL UTC RESIDENTIAL GARBAGE</t>
  </si>
  <si>
    <t>Roll Off Driver</t>
  </si>
  <si>
    <t xml:space="preserve">Brian Womacks </t>
  </si>
  <si>
    <t xml:space="preserve">Daniel Dison </t>
  </si>
  <si>
    <t xml:space="preserve">David Dickerson </t>
  </si>
  <si>
    <t xml:space="preserve">Jason Earl </t>
  </si>
  <si>
    <t xml:space="preserve">Jeremy Smith </t>
  </si>
  <si>
    <t xml:space="preserve">Jerry Heflin </t>
  </si>
  <si>
    <t xml:space="preserve">Jimmy Burnell </t>
  </si>
  <si>
    <t xml:space="preserve">Justin Scoggins </t>
  </si>
  <si>
    <t xml:space="preserve">Kent Quackenbush </t>
  </si>
  <si>
    <t xml:space="preserve">Kevin Martinson </t>
  </si>
  <si>
    <t xml:space="preserve">Michael Wrenn </t>
  </si>
  <si>
    <t xml:space="preserve">Paul Petersen </t>
  </si>
  <si>
    <t xml:space="preserve">Richard Paradis </t>
  </si>
  <si>
    <t xml:space="preserve">Sam Weber </t>
  </si>
  <si>
    <t>TOTAL ROLLOFF</t>
  </si>
  <si>
    <t>Residential Recycling Driver</t>
  </si>
  <si>
    <t xml:space="preserve">Adalberto Ventura-Gallegos </t>
  </si>
  <si>
    <t xml:space="preserve">Barry Bryant </t>
  </si>
  <si>
    <t xml:space="preserve">Blair Von Letkemann </t>
  </si>
  <si>
    <t xml:space="preserve">Brandon Simonds </t>
  </si>
  <si>
    <t xml:space="preserve">Charles Rush </t>
  </si>
  <si>
    <t xml:space="preserve">Christopher Miller </t>
  </si>
  <si>
    <t xml:space="preserve">Cody Rimer </t>
  </si>
  <si>
    <t xml:space="preserve">Dakota Froening </t>
  </si>
  <si>
    <t xml:space="preserve">David Gonzalez </t>
  </si>
  <si>
    <t xml:space="preserve">David Jacob </t>
  </si>
  <si>
    <t xml:space="preserve">Dillon Crowe </t>
  </si>
  <si>
    <t xml:space="preserve">Dustin Sapolis </t>
  </si>
  <si>
    <t xml:space="preserve">Freddy Hernandez </t>
  </si>
  <si>
    <t xml:space="preserve">Jacob Allan </t>
  </si>
  <si>
    <t xml:space="preserve">Jake Marks </t>
  </si>
  <si>
    <t xml:space="preserve">Jamie Stalnaker </t>
  </si>
  <si>
    <t xml:space="preserve">Jarett Hill </t>
  </si>
  <si>
    <t xml:space="preserve">Jeffrey Mcclurg </t>
  </si>
  <si>
    <t xml:space="preserve">Jeremy Drake </t>
  </si>
  <si>
    <t xml:space="preserve">Jonathan Perry </t>
  </si>
  <si>
    <t xml:space="preserve">Jorge Roman </t>
  </si>
  <si>
    <t xml:space="preserve">Joseph Catania </t>
  </si>
  <si>
    <t xml:space="preserve">Kenneth Keesee </t>
  </si>
  <si>
    <t xml:space="preserve">Maxwell Peters </t>
  </si>
  <si>
    <t xml:space="preserve">Michael Fuessel </t>
  </si>
  <si>
    <t xml:space="preserve">Michael Gaines </t>
  </si>
  <si>
    <t xml:space="preserve">Nathan Higgins </t>
  </si>
  <si>
    <t xml:space="preserve">Nathan Panosh </t>
  </si>
  <si>
    <t xml:space="preserve">Nicholas Perro </t>
  </si>
  <si>
    <t xml:space="preserve">Robert Bergstrom </t>
  </si>
  <si>
    <t xml:space="preserve">Robert Mendez </t>
  </si>
  <si>
    <t xml:space="preserve">Ross Meyer </t>
  </si>
  <si>
    <t xml:space="preserve">Scott Poverud </t>
  </si>
  <si>
    <t xml:space="preserve">Stephen Thornton </t>
  </si>
  <si>
    <t xml:space="preserve">Taylor Inman </t>
  </si>
  <si>
    <t>TOTAL RESIDENTIAL RECYCLING</t>
  </si>
  <si>
    <t xml:space="preserve">Derek Jaquith </t>
  </si>
  <si>
    <t xml:space="preserve">Dustan Lockbeam </t>
  </si>
  <si>
    <t xml:space="preserve">Kevin Owings </t>
  </si>
  <si>
    <t xml:space="preserve">Kyle Young </t>
  </si>
  <si>
    <t xml:space="preserve">Robert Hull </t>
  </si>
  <si>
    <t>TOTAL COMMERCIAL RECYCLING</t>
  </si>
  <si>
    <t xml:space="preserve">Benjamin Grendahl </t>
  </si>
  <si>
    <t xml:space="preserve">Cameron Warren </t>
  </si>
  <si>
    <t xml:space="preserve">Eric Hermansen </t>
  </si>
  <si>
    <t xml:space="preserve">Jacob Ziegenfuss </t>
  </si>
  <si>
    <t xml:space="preserve">Joshua Day </t>
  </si>
  <si>
    <t xml:space="preserve">Logan Combelic </t>
  </si>
  <si>
    <t xml:space="preserve">Ryan Meyer </t>
  </si>
  <si>
    <t xml:space="preserve">Tanner Pallamounter </t>
  </si>
  <si>
    <t>TOTAL COMMERCIAL GARBAGE</t>
  </si>
  <si>
    <t xml:space="preserve">Andrew Jones </t>
  </si>
  <si>
    <t xml:space="preserve">Gabe Duarte </t>
  </si>
  <si>
    <t xml:space="preserve">Jeremy Walker </t>
  </si>
  <si>
    <t xml:space="preserve">Joshua Gebhart </t>
  </si>
  <si>
    <t xml:space="preserve">Marcus McInerny </t>
  </si>
  <si>
    <t xml:space="preserve">Michael Cook </t>
  </si>
  <si>
    <t xml:space="preserve">Michael Sinner </t>
  </si>
  <si>
    <t xml:space="preserve">Saul Acosta </t>
  </si>
  <si>
    <t xml:space="preserve">Timothy Holmes </t>
  </si>
  <si>
    <t xml:space="preserve">Tyler Olsen </t>
  </si>
  <si>
    <t xml:space="preserve">Vern Vestal </t>
  </si>
  <si>
    <t>TOTAL NON-REGULATED RESIDENTIAL GARBAGE</t>
  </si>
  <si>
    <t xml:space="preserve">Adam Swenson </t>
  </si>
  <si>
    <t xml:space="preserve">Antonio Sparano </t>
  </si>
  <si>
    <t xml:space="preserve">Arnold Weller </t>
  </si>
  <si>
    <t xml:space="preserve">Ian Campbell </t>
  </si>
  <si>
    <t xml:space="preserve">Jason Hinman </t>
  </si>
  <si>
    <t xml:space="preserve">Jess Fitzgerald </t>
  </si>
  <si>
    <t xml:space="preserve">Jon Thomas </t>
  </si>
  <si>
    <t xml:space="preserve">Orien Wilson </t>
  </si>
  <si>
    <t xml:space="preserve">Riley Benson </t>
  </si>
  <si>
    <t xml:space="preserve">Ryan Harrington </t>
  </si>
  <si>
    <t>TOTAL YARD WASTE</t>
  </si>
  <si>
    <t xml:space="preserve">Brian Shuman </t>
  </si>
  <si>
    <t xml:space="preserve">Jeff Hancuff </t>
  </si>
  <si>
    <t xml:space="preserve">Robert Casper </t>
  </si>
  <si>
    <t xml:space="preserve">Robert Fisher </t>
  </si>
  <si>
    <t xml:space="preserve">TOTAL DELIVERY </t>
  </si>
  <si>
    <t xml:space="preserve">Martin Damewood </t>
  </si>
  <si>
    <t xml:space="preserve">Michael Hahn </t>
  </si>
  <si>
    <t>TOTAL SHRED</t>
  </si>
  <si>
    <t xml:space="preserve">Angel Rivera </t>
  </si>
  <si>
    <t xml:space="preserve">Dennis Smith </t>
  </si>
  <si>
    <t xml:space="preserve">Dylan Campbell </t>
  </si>
  <si>
    <t xml:space="preserve">Gregory Nelson </t>
  </si>
  <si>
    <t xml:space="preserve">Michael Williams </t>
  </si>
  <si>
    <t xml:space="preserve">Nickoles Agee </t>
  </si>
  <si>
    <t xml:space="preserve">Stephen Wheatcroft </t>
  </si>
  <si>
    <t xml:space="preserve">John Schmidt </t>
  </si>
  <si>
    <t xml:space="preserve">Joshua Petersen </t>
  </si>
  <si>
    <t xml:space="preserve">Kevin Snyder </t>
  </si>
  <si>
    <t>TOTAL SWING DRIVERS</t>
  </si>
  <si>
    <t xml:space="preserve">Aaron Eastman </t>
  </si>
  <si>
    <t xml:space="preserve">Arturo Gonzales </t>
  </si>
  <si>
    <t xml:space="preserve">Ashton Wilson </t>
  </si>
  <si>
    <t xml:space="preserve">Brandon Gifford </t>
  </si>
  <si>
    <t xml:space="preserve">Casey Cone </t>
  </si>
  <si>
    <t xml:space="preserve">Cole Schneider </t>
  </si>
  <si>
    <t xml:space="preserve">David Bennett </t>
  </si>
  <si>
    <t xml:space="preserve">David Sanchez </t>
  </si>
  <si>
    <t xml:space="preserve">Dylan Rader </t>
  </si>
  <si>
    <t xml:space="preserve">ELLIS TONGA </t>
  </si>
  <si>
    <t xml:space="preserve">Eric Kim </t>
  </si>
  <si>
    <t xml:space="preserve">Frankie Hernandez </t>
  </si>
  <si>
    <t>Greg Schwinn</t>
  </si>
  <si>
    <t xml:space="preserve">Kyle Bartley </t>
  </si>
  <si>
    <t xml:space="preserve">Kyle Gilcrease </t>
  </si>
  <si>
    <t xml:space="preserve">Loren Langston </t>
  </si>
  <si>
    <t xml:space="preserve">Lucas Salazar </t>
  </si>
  <si>
    <t xml:space="preserve">Madison Ngirarois </t>
  </si>
  <si>
    <t>Martin Moody</t>
  </si>
  <si>
    <t>Martin Olesen</t>
  </si>
  <si>
    <t>Michael Agee</t>
  </si>
  <si>
    <t xml:space="preserve">Mitchell Olsen </t>
  </si>
  <si>
    <t xml:space="preserve">Nate Parker </t>
  </si>
  <si>
    <t xml:space="preserve">Tim Hooper </t>
  </si>
  <si>
    <t>Yonatan Lopez-Vazquez</t>
  </si>
  <si>
    <t xml:space="preserve">Zachary Little </t>
  </si>
  <si>
    <t>TOTAL EXTRA BOARD</t>
  </si>
  <si>
    <t>TOTAL FOOD WASTE</t>
  </si>
  <si>
    <t xml:space="preserve">Ricky Thompson </t>
  </si>
  <si>
    <t xml:space="preserve">Trace Morris </t>
  </si>
  <si>
    <t>TOTAL YARD LABORER</t>
  </si>
  <si>
    <t>TOTAL DRIVERS</t>
  </si>
  <si>
    <t>Mechanics Hourly/Salary (52010/52020)</t>
  </si>
  <si>
    <t xml:space="preserve">Adam Wold </t>
  </si>
  <si>
    <t xml:space="preserve">Andrew Patterson </t>
  </si>
  <si>
    <t xml:space="preserve">Brandon Beavers </t>
  </si>
  <si>
    <t xml:space="preserve">Daniel Clark </t>
  </si>
  <si>
    <t xml:space="preserve">Garrett Soule </t>
  </si>
  <si>
    <t xml:space="preserve">Gene Mazzanti </t>
  </si>
  <si>
    <t xml:space="preserve">Hoai Allee </t>
  </si>
  <si>
    <t xml:space="preserve">John Thurlow </t>
  </si>
  <si>
    <t xml:space="preserve">Joshua Arneson </t>
  </si>
  <si>
    <t xml:space="preserve">Kelsey Morrison </t>
  </si>
  <si>
    <t xml:space="preserve">Kenneth Eldred </t>
  </si>
  <si>
    <t>Maintenance Manager</t>
  </si>
  <si>
    <t xml:space="preserve">Mary Bannister </t>
  </si>
  <si>
    <t xml:space="preserve">Michael Borzykowski </t>
  </si>
  <si>
    <t xml:space="preserve">Michael Brandon </t>
  </si>
  <si>
    <t xml:space="preserve">Michael Gragg </t>
  </si>
  <si>
    <t xml:space="preserve">Patrick Vandorn </t>
  </si>
  <si>
    <t xml:space="preserve">Scott Grendahl </t>
  </si>
  <si>
    <t xml:space="preserve">Steven Powers </t>
  </si>
  <si>
    <t xml:space="preserve">Warren Weigel </t>
  </si>
  <si>
    <t>Jonathan Peltier</t>
  </si>
  <si>
    <t>TOTAL MECHANICS</t>
  </si>
  <si>
    <t>Sales (Salary 60010)</t>
  </si>
  <si>
    <t xml:space="preserve">Ashley Sagor </t>
  </si>
  <si>
    <t>TOTAL SALES</t>
  </si>
  <si>
    <t>Container (Hourly 55020)</t>
  </si>
  <si>
    <t xml:space="preserve">Bayley Christison </t>
  </si>
  <si>
    <t xml:space="preserve">Brian Taylor </t>
  </si>
  <si>
    <t xml:space="preserve">Hayden Wead </t>
  </si>
  <si>
    <t xml:space="preserve">Hunter Piva </t>
  </si>
  <si>
    <t xml:space="preserve">James Gardner </t>
  </si>
  <si>
    <t xml:space="preserve">Jonpaul Lucas </t>
  </si>
  <si>
    <t xml:space="preserve">Kenneth Hernandez </t>
  </si>
  <si>
    <t xml:space="preserve">Michael Larson </t>
  </si>
  <si>
    <t xml:space="preserve">Tyler Heim </t>
  </si>
  <si>
    <t xml:space="preserve">Zachary Hamill </t>
  </si>
  <si>
    <t xml:space="preserve">Dylan Ritter </t>
  </si>
  <si>
    <t xml:space="preserve">Harold Young </t>
  </si>
  <si>
    <t xml:space="preserve">Nicholas Lattanzi </t>
  </si>
  <si>
    <t>Zach Finchum</t>
  </si>
  <si>
    <t>TOTAL CONTAINER</t>
  </si>
  <si>
    <t>G&amp;A (Salary 70010 - Hourly 70020 )</t>
  </si>
  <si>
    <t xml:space="preserve">Jason Hudson </t>
  </si>
  <si>
    <t xml:space="preserve">Derek Ranta </t>
  </si>
  <si>
    <t xml:space="preserve">Milo Pipkin </t>
  </si>
  <si>
    <t xml:space="preserve">Josy Wright </t>
  </si>
  <si>
    <t xml:space="preserve">James Campbell </t>
  </si>
  <si>
    <t xml:space="preserve">Jo Livermore Honore </t>
  </si>
  <si>
    <t xml:space="preserve">Loriann Rodocker </t>
  </si>
  <si>
    <t xml:space="preserve">Pamela Yaeger </t>
  </si>
  <si>
    <t xml:space="preserve">Sharon Swanson </t>
  </si>
  <si>
    <t xml:space="preserve">Deanna Crouse </t>
  </si>
  <si>
    <t xml:space="preserve">Kaitlynn Crooks </t>
  </si>
  <si>
    <t xml:space="preserve">Sean Sedaker </t>
  </si>
  <si>
    <t xml:space="preserve">Michael Wesson </t>
  </si>
  <si>
    <t xml:space="preserve">AMANDA HARTLEY </t>
  </si>
  <si>
    <t xml:space="preserve">Darcie Bird </t>
  </si>
  <si>
    <t xml:space="preserve">Jennifer Hill </t>
  </si>
  <si>
    <t xml:space="preserve">Julie Montgomery </t>
  </si>
  <si>
    <t xml:space="preserve">Ashley Schooler </t>
  </si>
  <si>
    <t xml:space="preserve">DEANNA AYON </t>
  </si>
  <si>
    <t xml:space="preserve">Derek Roberts </t>
  </si>
  <si>
    <t xml:space="preserve">Dezarae Prater </t>
  </si>
  <si>
    <t xml:space="preserve">Jerome Morris </t>
  </si>
  <si>
    <t xml:space="preserve">Karianna Kinder </t>
  </si>
  <si>
    <t xml:space="preserve">Keisha Howard </t>
  </si>
  <si>
    <t xml:space="preserve">Kelli Flores </t>
  </si>
  <si>
    <t xml:space="preserve">Lindsay Brown </t>
  </si>
  <si>
    <t xml:space="preserve">Meagan Marks </t>
  </si>
  <si>
    <t xml:space="preserve">Megan Fraly </t>
  </si>
  <si>
    <t xml:space="preserve">STEVEN MCMAHON </t>
  </si>
  <si>
    <t xml:space="preserve">Suzanne Sluys </t>
  </si>
  <si>
    <t xml:space="preserve">Tegan Nava-Ruiz </t>
  </si>
  <si>
    <t xml:space="preserve">Tina Krohling </t>
  </si>
  <si>
    <t xml:space="preserve">Bonita Erickson </t>
  </si>
  <si>
    <t xml:space="preserve">Byrekka Redman </t>
  </si>
  <si>
    <t xml:space="preserve">Carolina Siofele </t>
  </si>
  <si>
    <t xml:space="preserve">Cathy Arneson </t>
  </si>
  <si>
    <t xml:space="preserve">Christina Eby </t>
  </si>
  <si>
    <t xml:space="preserve">Heather Madill </t>
  </si>
  <si>
    <t xml:space="preserve">Jasmine Fernandez </t>
  </si>
  <si>
    <t xml:space="preserve">Jodi Bodenhamer </t>
  </si>
  <si>
    <t xml:space="preserve">Karen Mckinney </t>
  </si>
  <si>
    <t xml:space="preserve">Kristina Bouthillette </t>
  </si>
  <si>
    <t xml:space="preserve">Lynnette Ratcliffe </t>
  </si>
  <si>
    <t xml:space="preserve">Nichole Swenson </t>
  </si>
  <si>
    <t xml:space="preserve">Shannon Turner </t>
  </si>
  <si>
    <t xml:space="preserve">Soaimaile Faaopega </t>
  </si>
  <si>
    <t xml:space="preserve">Tamara Hennessey </t>
  </si>
  <si>
    <t xml:space="preserve">Teresa Jewell </t>
  </si>
  <si>
    <t xml:space="preserve">Valerie Bond </t>
  </si>
  <si>
    <t xml:space="preserve">Andrea Noble </t>
  </si>
  <si>
    <t xml:space="preserve">Barbara Kramer </t>
  </si>
  <si>
    <t xml:space="preserve">Kimberly Brown </t>
  </si>
  <si>
    <t xml:space="preserve">David Reynolds </t>
  </si>
  <si>
    <t xml:space="preserve">Bridget Simard </t>
  </si>
  <si>
    <t xml:space="preserve">Ellen Ives </t>
  </si>
  <si>
    <t xml:space="preserve">Beth Simon </t>
  </si>
  <si>
    <t xml:space="preserve">Danielle Womble </t>
  </si>
  <si>
    <t xml:space="preserve">Erik Hegg </t>
  </si>
  <si>
    <t xml:space="preserve">Melissa Johnston </t>
  </si>
  <si>
    <t>Aaron Cutbirth</t>
  </si>
  <si>
    <t>TOTAL G&amp;A</t>
  </si>
  <si>
    <t>Supervisor -  Salaried/Hourly 56010/56020</t>
  </si>
  <si>
    <t xml:space="preserve">Aaron Bailey </t>
  </si>
  <si>
    <t xml:space="preserve">Angie Cochran </t>
  </si>
  <si>
    <t>Bryan Walters</t>
  </si>
  <si>
    <t>Chris Biggs</t>
  </si>
  <si>
    <t xml:space="preserve">Douglas Morris </t>
  </si>
  <si>
    <t xml:space="preserve">Elizabeth Bronson </t>
  </si>
  <si>
    <t xml:space="preserve">Jeff Smith </t>
  </si>
  <si>
    <t xml:space="preserve">Jon Wooten </t>
  </si>
  <si>
    <t xml:space="preserve">Nathan Smith </t>
  </si>
  <si>
    <t xml:space="preserve">Paul Eiesland </t>
  </si>
  <si>
    <t xml:space="preserve">Steve Snyder </t>
  </si>
  <si>
    <t xml:space="preserve">BRIAN TREPTOW </t>
  </si>
  <si>
    <t>TOTAL SUPERVISOR</t>
  </si>
  <si>
    <t>GRAND TOTALS</t>
  </si>
  <si>
    <t>Reconciliation of Payroll Register to General Ledger</t>
  </si>
  <si>
    <t>DRIVER WAGES PER PR REGISTER</t>
  </si>
  <si>
    <t>Accruals, Manual Adjustments/Reclasses</t>
  </si>
  <si>
    <t>GL</t>
  </si>
  <si>
    <t>Other Bonuses</t>
  </si>
  <si>
    <t>(B)</t>
  </si>
  <si>
    <t>MECHANICS -  HOURLY &amp; SALARY PER PR REGISTER</t>
  </si>
  <si>
    <t xml:space="preserve">   (See Detailed Schedule)</t>
  </si>
  <si>
    <t>SALES - SALARY WAGES PER PR REGISTER</t>
  </si>
  <si>
    <t>CONTAINER</t>
  </si>
  <si>
    <t>55020 Prior Accrual</t>
  </si>
  <si>
    <t>55020 Current Accrual</t>
  </si>
  <si>
    <t>55025 Prior Accrual</t>
  </si>
  <si>
    <t>55025 Current Accrual</t>
  </si>
  <si>
    <t>55035 Accrual Adjustment</t>
  </si>
  <si>
    <t>55065 Prior Accrual</t>
  </si>
  <si>
    <t>55065 Current Accrual</t>
  </si>
  <si>
    <t>52070 Prior Accrual</t>
  </si>
  <si>
    <t>Unreconciled Difference</t>
  </si>
  <si>
    <t xml:space="preserve"> Qtr Total</t>
  </si>
  <si>
    <t>SUPERVISOR - SALARY &amp; HOURLY WAGES PER PR REGISTER</t>
  </si>
  <si>
    <t xml:space="preserve">   (See Supervisor GL Detail tab for Details)</t>
  </si>
  <si>
    <t>G&amp;A - SALARY &amp; HOURLY WAGES PER PR REGISTER</t>
  </si>
  <si>
    <t>Accruals, Division Payroll Alloc., Region OH Alloc., Other Comp Adjust In</t>
  </si>
  <si>
    <t xml:space="preserve">   (See G&amp;A GL Detail tab for Details)</t>
  </si>
  <si>
    <t>Tooty Bonuses</t>
  </si>
  <si>
    <t>CONTAINER HOURLY WAGES PER PR REGISTER</t>
  </si>
  <si>
    <t>Total Difference to GL</t>
  </si>
  <si>
    <t>immaterial</t>
  </si>
  <si>
    <t>Tickmarks</t>
  </si>
  <si>
    <t>These differences are due to employees being reclassed to different GL accounts during the year.  The detailed payroll schedule above represents the GL category where they spent the majority of the test period.</t>
  </si>
  <si>
    <t>UTC Residential Garbage Driver</t>
  </si>
  <si>
    <t>Food Waste Driver/UTC Driver</t>
  </si>
  <si>
    <t>RO Driver</t>
  </si>
  <si>
    <t>Commercial Recycling Driver</t>
  </si>
  <si>
    <t>Commercial Garbage Driver</t>
  </si>
  <si>
    <t>Non-Regulated Residential Garbage Driver</t>
  </si>
  <si>
    <t>YW Driver</t>
  </si>
  <si>
    <t>Delivery Driver</t>
  </si>
  <si>
    <t>Shred Driver</t>
  </si>
  <si>
    <t>Swing UTC Driver</t>
  </si>
  <si>
    <t>Mechanic</t>
  </si>
  <si>
    <t>Maintanence Clerk</t>
  </si>
  <si>
    <t>Sales Representative</t>
  </si>
  <si>
    <t>Container Repair</t>
  </si>
  <si>
    <t>Welder</t>
  </si>
  <si>
    <t>DVP</t>
  </si>
  <si>
    <t>District Manager</t>
  </si>
  <si>
    <t>Driver Supervisor</t>
  </si>
  <si>
    <t>Recycling Manager</t>
  </si>
  <si>
    <t>Governmental Affairs Manager</t>
  </si>
  <si>
    <t>Accounting Clerk</t>
  </si>
  <si>
    <t>Collections Rep/CSR</t>
  </si>
  <si>
    <t>Controller</t>
  </si>
  <si>
    <t>CSR</t>
  </si>
  <si>
    <t>Data Entry Clerk</t>
  </si>
  <si>
    <t>IT</t>
  </si>
  <si>
    <t>Office Manager</t>
  </si>
  <si>
    <t>Recycling Coordinator</t>
  </si>
  <si>
    <t>Dispatch Lead</t>
  </si>
  <si>
    <t>Assistant District Manager</t>
  </si>
  <si>
    <t>Ops Manager</t>
  </si>
  <si>
    <t>Accruals, Manual Adj's/Reclasses</t>
  </si>
  <si>
    <t>Reclass Ops. Mgmt for Alloc</t>
  </si>
  <si>
    <t>Reclass District Mgr./DVP</t>
  </si>
  <si>
    <t>Relass Recycling Coordinators for Alloc</t>
  </si>
  <si>
    <t>Reclass Maint. Manger</t>
  </si>
  <si>
    <t>Reclass Asst. Dist. Mgr.</t>
  </si>
  <si>
    <t xml:space="preserve">  Reclass Maint. Mgr. for Alloc</t>
  </si>
  <si>
    <t xml:space="preserve">  Reclass Asst. Dist. Mgr. for Alloc</t>
  </si>
  <si>
    <t>Wage Increase/Adjust Out Sum</t>
  </si>
  <si>
    <t>Note:  Values below from "Clark Co Depreciation 09.30.17.xls" submitted with this filing.</t>
  </si>
  <si>
    <t>REG GARBAGE</t>
  </si>
  <si>
    <t>Redelivery, containers:</t>
  </si>
  <si>
    <t>Note:  The source of this data is WCI's financial reporting system.  The data cannot be further linked.</t>
  </si>
  <si>
    <t xml:space="preserve">Proposed </t>
  </si>
  <si>
    <t xml:space="preserve">DF Increase </t>
  </si>
  <si>
    <t>1/1/2018</t>
  </si>
  <si>
    <t>TG-171114</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</si>
</sst>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General_)"/>
    <numFmt numFmtId="167" formatCode="&quot;$&quot;#,##0\ ;\(&quot;$&quot;#,##0\)"/>
    <numFmt numFmtId="168" formatCode="0.0%"/>
    <numFmt numFmtId="169" formatCode="mm\-yy;\-0;;@"/>
    <numFmt numFmtId="170" formatCode=".00#####;\-.00####;;@"/>
    <numFmt numFmtId="171" formatCode="m/d/yy\ h:mm\ AM/PM"/>
    <numFmt numFmtId="172" formatCode="_(* #,##0,_);_(* \(#,##0,\);_(* &quot;-&quot;??_);_(@_)"/>
    <numFmt numFmtId="173" formatCode="0.0000%"/>
    <numFmt numFmtId="174" formatCode="#,##0.0"/>
    <numFmt numFmtId="175" formatCode="_(* #,##0.000000_);_(* \(#,##0.000000\);_(* &quot;-&quot;??_);_(@_)"/>
    <numFmt numFmtId="176" formatCode="&quot;$&quot;#,##0.00"/>
    <numFmt numFmtId="177" formatCode="&quot;$&quot;#,##0"/>
    <numFmt numFmtId="178" formatCode="#,##0.0000_);\(#,##0.0000\)"/>
    <numFmt numFmtId="179" formatCode="0_)"/>
    <numFmt numFmtId="180" formatCode="#,##0.000_);\(#,##0.000\)"/>
    <numFmt numFmtId="181" formatCode="#,##0.000000_);\(#,##0.000000\)"/>
    <numFmt numFmtId="182" formatCode="[$-409]mmm\-yy;@"/>
    <numFmt numFmtId="183" formatCode="_(* #,##0_);_(&quot;$&quot;* \(#,##0\);_(&quot;$&quot;* &quot;-&quot;??_);_(@_)"/>
    <numFmt numFmtId="184" formatCode="[$-409]mmmm\ d\,\ yyyy;@"/>
    <numFmt numFmtId="185" formatCode="#,##0.00;[Red]#,##0.00"/>
    <numFmt numFmtId="186" formatCode="m/d/yy;@"/>
    <numFmt numFmtId="187" formatCode="_(&quot;$&quot;* #,##0.0000_);_(&quot;$&quot;* \(#,##0.0000\);_(&quot;$&quot;* &quot;-&quot;??_);_(@_)"/>
    <numFmt numFmtId="188" formatCode="_(* #,##0.0000_);_(* \(#,##0.0000\);_(* &quot;-&quot;??_);_(@_)"/>
    <numFmt numFmtId="189" formatCode="m/d/yy"/>
  </numFmts>
  <fonts count="193">
    <font>
      <sz val="11"/>
      <color theme="1"/>
      <name val="Calibri"/>
      <family val="2"/>
      <scheme val="minor"/>
    </font>
    <font>
      <sz val="11"/>
      <color theme="1"/>
      <name val="Calibri"/>
      <family val="2"/>
      <scheme val="minor"/>
    </font>
    <font>
      <sz val="11"/>
      <color rgb="FF006100"/>
      <name val="Calibri"/>
      <family val="2"/>
      <scheme val="minor"/>
    </font>
    <font>
      <sz val="10"/>
      <name val="Arial"/>
      <family val="2"/>
    </font>
    <font>
      <b/>
      <sz val="8"/>
      <name val="Arial"/>
      <family val="2"/>
    </font>
    <font>
      <sz val="8"/>
      <name val="Arial"/>
      <family val="2"/>
    </font>
    <font>
      <sz val="12"/>
      <name val="Helv"/>
    </font>
    <font>
      <sz val="8"/>
      <color indexed="8"/>
      <name val="Arial"/>
      <family val="2"/>
    </font>
    <font>
      <sz val="11"/>
      <color indexed="8"/>
      <name val="Calibri"/>
      <family val="2"/>
    </font>
    <font>
      <b/>
      <sz val="9"/>
      <color indexed="81"/>
      <name val="Tahoma"/>
      <family val="2"/>
    </font>
    <font>
      <sz val="9"/>
      <color indexed="81"/>
      <name val="Tahoma"/>
      <family val="2"/>
    </font>
    <font>
      <sz val="11"/>
      <color indexed="9"/>
      <name val="Calibri"/>
      <family val="2"/>
    </font>
    <font>
      <b/>
      <sz val="10"/>
      <color indexed="10"/>
      <name val="Arial"/>
      <family val="2"/>
    </font>
    <font>
      <b/>
      <sz val="12"/>
      <color indexed="12"/>
      <name val="Times New Roman"/>
      <family val="1"/>
    </font>
    <font>
      <sz val="11"/>
      <color indexed="20"/>
      <name val="Calibri"/>
      <family val="2"/>
    </font>
    <font>
      <b/>
      <sz val="11"/>
      <color indexed="52"/>
      <name val="Calibri"/>
      <family val="2"/>
    </font>
    <font>
      <b/>
      <sz val="11"/>
      <color indexed="51"/>
      <name val="Calibri"/>
      <family val="2"/>
    </font>
    <font>
      <b/>
      <sz val="11"/>
      <color indexed="10"/>
      <name val="Calibri"/>
      <family val="2"/>
    </font>
    <font>
      <b/>
      <sz val="11"/>
      <color indexed="9"/>
      <name val="Calibri"/>
      <family val="2"/>
    </font>
    <font>
      <b/>
      <sz val="11"/>
      <color indexed="18"/>
      <name val="Britannic Bold"/>
      <family val="2"/>
    </font>
    <font>
      <sz val="11"/>
      <color indexed="8"/>
      <name val="Arial"/>
      <family val="2"/>
    </font>
    <font>
      <sz val="12"/>
      <name val="CG Omega"/>
    </font>
    <font>
      <sz val="10"/>
      <color indexed="8"/>
      <name val="Arial"/>
      <family val="2"/>
    </font>
    <font>
      <sz val="12"/>
      <color theme="1"/>
      <name val="Calibri"/>
      <family val="2"/>
      <scheme val="minor"/>
    </font>
    <font>
      <sz val="10"/>
      <name val="MS Sans Serif"/>
      <family val="2"/>
    </font>
    <font>
      <sz val="12"/>
      <name val="Courier"/>
      <family val="3"/>
    </font>
    <font>
      <sz val="9"/>
      <color indexed="8"/>
      <name val="Arial"/>
      <family val="2"/>
    </font>
    <font>
      <sz val="10"/>
      <name val="Times New Roman"/>
      <family val="1"/>
    </font>
    <font>
      <b/>
      <sz val="10"/>
      <color indexed="12"/>
      <name val="Arial"/>
      <family val="2"/>
    </font>
    <font>
      <i/>
      <sz val="11"/>
      <color indexed="23"/>
      <name val="Calibri"/>
      <family val="2"/>
    </font>
    <font>
      <sz val="11"/>
      <color indexed="17"/>
      <name val="Calibri"/>
      <family val="2"/>
    </font>
    <font>
      <b/>
      <sz val="15"/>
      <color indexed="62"/>
      <name val="Calibri"/>
      <family val="2"/>
    </font>
    <font>
      <b/>
      <sz val="15"/>
      <color indexed="61"/>
      <name val="Calibri"/>
      <family val="2"/>
    </font>
    <font>
      <b/>
      <sz val="15"/>
      <color indexed="56"/>
      <name val="Calibri"/>
      <family val="2"/>
    </font>
    <font>
      <b/>
      <sz val="13"/>
      <color indexed="62"/>
      <name val="Calibri"/>
      <family val="2"/>
    </font>
    <font>
      <b/>
      <sz val="13"/>
      <color indexed="61"/>
      <name val="Calibri"/>
      <family val="2"/>
    </font>
    <font>
      <b/>
      <sz val="13"/>
      <color indexed="56"/>
      <name val="Calibri"/>
      <family val="2"/>
    </font>
    <font>
      <b/>
      <sz val="11"/>
      <color indexed="62"/>
      <name val="Calibri"/>
      <family val="2"/>
    </font>
    <font>
      <b/>
      <sz val="11"/>
      <color indexed="61"/>
      <name val="Calibri"/>
      <family val="2"/>
    </font>
    <font>
      <b/>
      <sz val="11"/>
      <color indexed="56"/>
      <name val="Calibri"/>
      <family val="2"/>
    </font>
    <font>
      <u/>
      <sz val="10"/>
      <color indexed="12"/>
      <name val="Arial"/>
      <family val="2"/>
    </font>
    <font>
      <u/>
      <sz val="11"/>
      <color indexed="12"/>
      <name val="Calibri"/>
      <family val="2"/>
    </font>
    <font>
      <u/>
      <sz val="11"/>
      <color theme="10"/>
      <name val="Calibri"/>
      <family val="2"/>
    </font>
    <font>
      <sz val="11"/>
      <color indexed="61"/>
      <name val="Calibri"/>
      <family val="2"/>
    </font>
    <font>
      <sz val="11"/>
      <color indexed="62"/>
      <name val="Calibri"/>
      <family val="2"/>
    </font>
    <font>
      <sz val="10"/>
      <color indexed="12"/>
      <name val="Arial"/>
      <family val="2"/>
    </font>
    <font>
      <sz val="11"/>
      <color indexed="52"/>
      <name val="Calibri"/>
      <family val="2"/>
    </font>
    <font>
      <sz val="11"/>
      <color indexed="51"/>
      <name val="Calibri"/>
      <family val="2"/>
    </font>
    <font>
      <sz val="11"/>
      <color indexed="10"/>
      <name val="Calibri"/>
      <family val="2"/>
    </font>
    <font>
      <sz val="11"/>
      <color indexed="60"/>
      <name val="Calibri"/>
      <family val="2"/>
    </font>
    <font>
      <sz val="11"/>
      <color indexed="59"/>
      <name val="Calibri"/>
      <family val="2"/>
    </font>
    <font>
      <sz val="11"/>
      <color indexed="19"/>
      <name val="Calibri"/>
      <family val="2"/>
    </font>
    <font>
      <sz val="11"/>
      <color theme="1"/>
      <name val="Arial"/>
      <family val="2"/>
    </font>
    <font>
      <sz val="12"/>
      <name val="Arial"/>
      <family val="2"/>
    </font>
    <font>
      <i/>
      <sz val="10"/>
      <color indexed="10"/>
      <name val="Arial"/>
      <family val="2"/>
    </font>
    <font>
      <b/>
      <sz val="11"/>
      <color indexed="63"/>
      <name val="Calibri"/>
      <family val="2"/>
    </font>
    <font>
      <sz val="8"/>
      <color indexed="56"/>
      <name val="Arial"/>
      <family val="2"/>
    </font>
    <font>
      <b/>
      <sz val="10"/>
      <name val="MS Sans Serif"/>
      <family val="2"/>
    </font>
    <font>
      <sz val="12"/>
      <name val="Arial MT"/>
    </font>
    <font>
      <b/>
      <u/>
      <sz val="11"/>
      <name val="Arial"/>
      <family val="2"/>
    </font>
    <font>
      <b/>
      <sz val="10"/>
      <name val="Times New Roman"/>
      <family val="1"/>
    </font>
    <font>
      <b/>
      <sz val="18"/>
      <color indexed="61"/>
      <name val="Cambria"/>
      <family val="2"/>
    </font>
    <font>
      <b/>
      <sz val="18"/>
      <color indexed="56"/>
      <name val="Cambria"/>
      <family val="2"/>
    </font>
    <font>
      <b/>
      <sz val="18"/>
      <color indexed="62"/>
      <name val="Cambria"/>
      <family val="2"/>
    </font>
    <font>
      <b/>
      <sz val="11"/>
      <color indexed="8"/>
      <name val="Calibri"/>
      <family val="2"/>
    </font>
    <font>
      <sz val="10"/>
      <color indexed="10"/>
      <name val="Arial"/>
      <family val="2"/>
    </font>
    <font>
      <sz val="7"/>
      <name val="Arial"/>
      <family val="2"/>
    </font>
    <font>
      <sz val="12"/>
      <color indexed="8"/>
      <name val="Arial"/>
      <family val="2"/>
    </font>
    <font>
      <b/>
      <sz val="12"/>
      <color indexed="8"/>
      <name val="Arial"/>
      <family val="2"/>
    </font>
    <font>
      <sz val="12"/>
      <color indexed="12"/>
      <name val="Arial"/>
      <family val="2"/>
    </font>
    <font>
      <sz val="12"/>
      <color indexed="16"/>
      <name val="Arial"/>
      <family val="2"/>
    </font>
    <font>
      <b/>
      <sz val="12"/>
      <color indexed="12"/>
      <name val="Arial"/>
      <family val="2"/>
    </font>
    <font>
      <b/>
      <sz val="10"/>
      <color indexed="16"/>
      <name val="Arial"/>
      <family val="2"/>
    </font>
    <font>
      <b/>
      <sz val="10"/>
      <name val="Arial"/>
      <family val="2"/>
    </font>
    <font>
      <b/>
      <sz val="10"/>
      <color indexed="8"/>
      <name val="Arial"/>
      <family val="2"/>
    </font>
    <font>
      <sz val="7"/>
      <color indexed="8"/>
      <name val="Arial"/>
      <family val="2"/>
    </font>
    <font>
      <b/>
      <i/>
      <sz val="10"/>
      <color rgb="FFFF0000"/>
      <name val="Arial"/>
      <family val="2"/>
    </font>
    <font>
      <b/>
      <sz val="12"/>
      <color rgb="FFFF0000"/>
      <name val="Arial"/>
      <family val="2"/>
    </font>
    <font>
      <b/>
      <sz val="10"/>
      <color rgb="FFFF0000"/>
      <name val="Arial"/>
      <family val="2"/>
    </font>
    <font>
      <b/>
      <sz val="11"/>
      <color theme="1"/>
      <name val="Calibri"/>
      <family val="2"/>
      <scheme val="minor"/>
    </font>
    <font>
      <sz val="11"/>
      <name val="Calibri"/>
      <family val="2"/>
      <scheme val="minor"/>
    </font>
    <font>
      <b/>
      <sz val="11"/>
      <name val="Calibri"/>
      <family val="2"/>
      <scheme val="minor"/>
    </font>
    <font>
      <i/>
      <sz val="10"/>
      <color theme="1"/>
      <name val="Calibri"/>
      <family val="2"/>
      <scheme val="minor"/>
    </font>
    <font>
      <b/>
      <i/>
      <sz val="11"/>
      <color theme="1"/>
      <name val="Calibri"/>
      <family val="2"/>
      <scheme val="minor"/>
    </font>
    <font>
      <i/>
      <sz val="11"/>
      <name val="Calibri"/>
      <family val="2"/>
      <scheme val="minor"/>
    </font>
    <font>
      <b/>
      <sz val="9"/>
      <color indexed="8"/>
      <name val="Calibri"/>
      <family val="2"/>
      <scheme val="minor"/>
    </font>
    <font>
      <b/>
      <u/>
      <sz val="11"/>
      <color theme="1"/>
      <name val="Calibri"/>
      <family val="2"/>
      <scheme val="minor"/>
    </font>
    <font>
      <b/>
      <sz val="11"/>
      <color rgb="FFFF0000"/>
      <name val="Calibri"/>
      <family val="2"/>
      <scheme val="minor"/>
    </font>
    <font>
      <b/>
      <sz val="10"/>
      <color theme="1"/>
      <name val="Calibri"/>
      <family val="2"/>
      <scheme val="minor"/>
    </font>
    <font>
      <sz val="9"/>
      <color indexed="8"/>
      <name val="Calibri"/>
      <family val="2"/>
      <scheme val="minor"/>
    </font>
    <font>
      <b/>
      <sz val="9"/>
      <color theme="0"/>
      <name val="Calibri"/>
      <family val="2"/>
      <scheme val="minor"/>
    </font>
    <font>
      <b/>
      <sz val="9"/>
      <name val="Calibri"/>
      <family val="2"/>
      <scheme val="minor"/>
    </font>
    <font>
      <i/>
      <sz val="9"/>
      <name val="Calibri"/>
      <family val="2"/>
      <scheme val="minor"/>
    </font>
    <font>
      <sz val="9"/>
      <name val="Calibri"/>
      <family val="2"/>
      <scheme val="minor"/>
    </font>
    <font>
      <b/>
      <sz val="9"/>
      <color rgb="FF0070C0"/>
      <name val="Calibri"/>
      <family val="2"/>
      <scheme val="minor"/>
    </font>
    <font>
      <i/>
      <sz val="9"/>
      <color indexed="8"/>
      <name val="Calibri"/>
      <family val="2"/>
      <scheme val="minor"/>
    </font>
    <font>
      <b/>
      <sz val="9"/>
      <color rgb="FF0000FF"/>
      <name val="Calibri"/>
      <family val="2"/>
      <scheme val="minor"/>
    </font>
    <font>
      <i/>
      <sz val="9"/>
      <color theme="0"/>
      <name val="Calibri"/>
      <family val="2"/>
      <scheme val="minor"/>
    </font>
    <font>
      <i/>
      <u/>
      <sz val="9"/>
      <color indexed="8"/>
      <name val="Calibri"/>
      <family val="2"/>
      <scheme val="minor"/>
    </font>
    <font>
      <sz val="9"/>
      <color theme="0"/>
      <name val="Calibri"/>
      <family val="2"/>
      <scheme val="minor"/>
    </font>
    <font>
      <sz val="9"/>
      <color theme="1"/>
      <name val="Calibri"/>
      <family val="2"/>
      <scheme val="minor"/>
    </font>
    <font>
      <b/>
      <sz val="9"/>
      <color theme="1"/>
      <name val="Calibri"/>
      <family val="2"/>
      <scheme val="minor"/>
    </font>
    <font>
      <sz val="10"/>
      <name val="Calibri"/>
      <family val="2"/>
      <scheme val="minor"/>
    </font>
    <font>
      <b/>
      <sz val="8"/>
      <color indexed="81"/>
      <name val="Tahoma"/>
      <family val="2"/>
    </font>
    <font>
      <sz val="8"/>
      <color indexed="81"/>
      <name val="Tahoma"/>
      <family val="2"/>
    </font>
    <font>
      <b/>
      <sz val="10"/>
      <name val="Calibri"/>
      <family val="2"/>
      <scheme val="minor"/>
    </font>
    <font>
      <b/>
      <sz val="10"/>
      <color indexed="8"/>
      <name val="Calibri"/>
      <family val="2"/>
      <scheme val="minor"/>
    </font>
    <font>
      <b/>
      <sz val="10"/>
      <color theme="0"/>
      <name val="Calibri"/>
      <family val="2"/>
      <scheme val="minor"/>
    </font>
    <font>
      <sz val="10"/>
      <color indexed="10"/>
      <name val="Calibri"/>
      <family val="2"/>
      <scheme val="minor"/>
    </font>
    <font>
      <sz val="8"/>
      <name val="Helv"/>
    </font>
    <font>
      <sz val="10"/>
      <name val="Helv"/>
    </font>
    <font>
      <sz val="10"/>
      <name val="SWISS"/>
    </font>
    <font>
      <b/>
      <sz val="10"/>
      <name val="Helv"/>
    </font>
    <font>
      <b/>
      <sz val="10"/>
      <name val="SWISS"/>
    </font>
    <font>
      <sz val="8"/>
      <name val="SWISS"/>
    </font>
    <font>
      <b/>
      <sz val="8"/>
      <name val="SWISS"/>
    </font>
    <font>
      <b/>
      <u/>
      <sz val="11"/>
      <name val="Calibri"/>
      <family val="2"/>
      <scheme val="minor"/>
    </font>
    <font>
      <b/>
      <sz val="11"/>
      <color indexed="62"/>
      <name val="Calibri"/>
      <family val="2"/>
      <scheme val="minor"/>
    </font>
    <font>
      <strike/>
      <sz val="11"/>
      <name val="Calibri"/>
      <family val="2"/>
      <scheme val="minor"/>
    </font>
    <font>
      <sz val="8"/>
      <name val="Comic Sans MS"/>
      <family val="4"/>
    </font>
    <font>
      <b/>
      <sz val="11"/>
      <name val="Calibri"/>
      <family val="2"/>
    </font>
    <font>
      <sz val="11"/>
      <color indexed="12"/>
      <name val="Calibri"/>
      <family val="2"/>
    </font>
    <font>
      <sz val="11"/>
      <name val="Calibri"/>
      <family val="2"/>
    </font>
    <font>
      <sz val="10"/>
      <color theme="1"/>
      <name val="Calibri"/>
      <family val="2"/>
      <scheme val="minor"/>
    </font>
    <font>
      <b/>
      <sz val="10"/>
      <color indexed="9"/>
      <name val="Calibri"/>
      <family val="2"/>
      <scheme val="minor"/>
    </font>
    <font>
      <b/>
      <sz val="10"/>
      <color rgb="FF0000FF"/>
      <name val="Calibri"/>
      <family val="2"/>
      <scheme val="minor"/>
    </font>
    <font>
      <b/>
      <u/>
      <sz val="10"/>
      <color indexed="8"/>
      <name val="Calibri"/>
      <family val="2"/>
      <scheme val="minor"/>
    </font>
    <font>
      <b/>
      <i/>
      <sz val="10"/>
      <name val="Calibri"/>
      <family val="2"/>
      <scheme val="minor"/>
    </font>
    <font>
      <sz val="10"/>
      <color indexed="8"/>
      <name val="Calibri"/>
      <family val="2"/>
      <scheme val="minor"/>
    </font>
    <font>
      <b/>
      <u/>
      <sz val="10"/>
      <color theme="1"/>
      <name val="Calibri"/>
      <family val="2"/>
      <scheme val="minor"/>
    </font>
    <font>
      <i/>
      <sz val="10"/>
      <color rgb="FFFF0000"/>
      <name val="Calibri"/>
      <family val="2"/>
      <scheme val="minor"/>
    </font>
    <font>
      <sz val="10"/>
      <color rgb="FFFF0000"/>
      <name val="Calibri"/>
      <family val="2"/>
      <scheme val="minor"/>
    </font>
    <font>
      <b/>
      <sz val="20"/>
      <color theme="1"/>
      <name val="Calibri"/>
      <family val="2"/>
      <scheme val="minor"/>
    </font>
    <font>
      <sz val="11"/>
      <color rgb="FF339933"/>
      <name val="Calibri"/>
      <family val="2"/>
      <scheme val="minor"/>
    </font>
    <font>
      <i/>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u/>
      <sz val="7.5"/>
      <color indexed="12"/>
      <name val="Arial"/>
      <family val="2"/>
    </font>
    <font>
      <sz val="11"/>
      <name val="Bookman Old Style"/>
      <family val="1"/>
    </font>
    <font>
      <u/>
      <sz val="8.8000000000000007"/>
      <color theme="10"/>
      <name val="Calibri"/>
      <family val="2"/>
    </font>
    <font>
      <b/>
      <sz val="11"/>
      <color rgb="FF0000FF"/>
      <name val="Calibri"/>
      <family val="2"/>
      <scheme val="minor"/>
    </font>
    <font>
      <b/>
      <sz val="10"/>
      <color theme="1"/>
      <name val="Arial"/>
      <family val="2"/>
    </font>
    <font>
      <i/>
      <sz val="10"/>
      <name val="Arial"/>
      <family val="2"/>
    </font>
    <font>
      <i/>
      <sz val="11"/>
      <color rgb="FFFF0000"/>
      <name val="Calibri"/>
      <family val="2"/>
      <scheme val="minor"/>
    </font>
    <font>
      <b/>
      <sz val="12"/>
      <name val="Arial"/>
      <family val="2"/>
    </font>
    <font>
      <sz val="6"/>
      <name val="Arial"/>
      <family val="2"/>
    </font>
    <font>
      <sz val="10"/>
      <color rgb="FFFF0000"/>
      <name val="Arial"/>
      <family val="2"/>
    </font>
    <font>
      <b/>
      <u/>
      <sz val="10"/>
      <name val="Arial"/>
      <family val="2"/>
    </font>
    <font>
      <i/>
      <sz val="10"/>
      <color rgb="FFFF0000"/>
      <name val="Arial"/>
      <family val="2"/>
    </font>
    <font>
      <b/>
      <sz val="9"/>
      <color rgb="FFFF0000"/>
      <name val="Calibri"/>
      <family val="2"/>
      <scheme val="minor"/>
    </font>
    <font>
      <b/>
      <i/>
      <sz val="9"/>
      <color theme="0"/>
      <name val="Calibri"/>
      <family val="2"/>
      <scheme val="minor"/>
    </font>
    <font>
      <b/>
      <i/>
      <sz val="9"/>
      <name val="Calibri"/>
      <family val="2"/>
      <scheme val="minor"/>
    </font>
    <font>
      <b/>
      <sz val="14"/>
      <name val="Arial"/>
      <family val="2"/>
    </font>
    <font>
      <b/>
      <sz val="11"/>
      <color indexed="60"/>
      <name val="Arial"/>
      <family val="2"/>
    </font>
    <font>
      <b/>
      <i/>
      <sz val="11"/>
      <color indexed="60"/>
      <name val="Arial"/>
      <family val="2"/>
    </font>
    <font>
      <sz val="10"/>
      <color indexed="30"/>
      <name val="Arial"/>
      <family val="2"/>
    </font>
    <font>
      <sz val="10"/>
      <color indexed="61"/>
      <name val="Arial"/>
      <family val="2"/>
    </font>
    <font>
      <sz val="9"/>
      <name val="Arial"/>
      <family val="2"/>
    </font>
    <font>
      <b/>
      <sz val="10"/>
      <color rgb="FF3333FF"/>
      <name val="Arial"/>
      <family val="2"/>
    </font>
    <font>
      <sz val="12"/>
      <color rgb="FFFF0000"/>
      <name val="Arial"/>
      <family val="2"/>
    </font>
    <font>
      <b/>
      <sz val="9"/>
      <color indexed="16"/>
      <name val="Arial"/>
      <family val="2"/>
    </font>
    <font>
      <b/>
      <sz val="9"/>
      <color indexed="8"/>
      <name val="Arial"/>
      <family val="2"/>
    </font>
    <font>
      <b/>
      <sz val="9"/>
      <name val="Arial"/>
      <family val="2"/>
    </font>
    <font>
      <i/>
      <sz val="9"/>
      <color indexed="8"/>
      <name val="Arial"/>
      <family val="2"/>
    </font>
    <font>
      <u/>
      <sz val="9"/>
      <color indexed="8"/>
      <name val="Calibri"/>
      <family val="2"/>
      <scheme val="minor"/>
    </font>
    <font>
      <b/>
      <u/>
      <sz val="9"/>
      <color theme="0"/>
      <name val="Calibri"/>
      <family val="2"/>
      <scheme val="minor"/>
    </font>
    <font>
      <sz val="11"/>
      <color rgb="FF000000"/>
      <name val="Calibri"/>
      <family val="2"/>
    </font>
    <font>
      <sz val="11"/>
      <color rgb="FFFF0000"/>
      <name val="Arial"/>
      <family val="2"/>
    </font>
    <font>
      <b/>
      <sz val="8"/>
      <name val="Comic Sans MS"/>
      <family val="4"/>
    </font>
    <font>
      <b/>
      <u/>
      <sz val="8"/>
      <name val="Comic Sans MS"/>
      <family val="4"/>
    </font>
    <font>
      <sz val="11"/>
      <color theme="1"/>
      <name val="Century Gothic"/>
      <family val="2"/>
    </font>
    <font>
      <b/>
      <sz val="8"/>
      <color theme="0"/>
      <name val="Arial"/>
      <family val="2"/>
    </font>
    <font>
      <i/>
      <sz val="8"/>
      <name val="Arial"/>
      <family val="2"/>
    </font>
    <font>
      <b/>
      <sz val="8"/>
      <color indexed="10"/>
      <name val="Arial"/>
      <family val="2"/>
    </font>
    <font>
      <b/>
      <sz val="8"/>
      <color rgb="FFFF0000"/>
      <name val="Arial"/>
      <family val="2"/>
    </font>
    <font>
      <sz val="8"/>
      <color rgb="FFFF0000"/>
      <name val="Arial"/>
      <family val="2"/>
    </font>
    <font>
      <b/>
      <u/>
      <sz val="8"/>
      <name val="Arial"/>
      <family val="2"/>
    </font>
    <font>
      <i/>
      <sz val="8"/>
      <color rgb="FFFF0000"/>
      <name val="Arial"/>
      <family val="2"/>
    </font>
    <font>
      <b/>
      <sz val="11"/>
      <color rgb="FFFF0000"/>
      <name val="Calibri"/>
      <family val="2"/>
    </font>
    <font>
      <b/>
      <i/>
      <sz val="10"/>
      <color indexed="8"/>
      <name val="Arial"/>
      <family val="2"/>
    </font>
  </fonts>
  <fills count="99">
    <fill>
      <patternFill patternType="none"/>
    </fill>
    <fill>
      <patternFill patternType="gray125"/>
    </fill>
    <fill>
      <patternFill patternType="solid">
        <fgColor rgb="FFC6EFCE"/>
      </patternFill>
    </fill>
    <fill>
      <patternFill patternType="solid">
        <fgColor theme="0"/>
        <bgColor indexed="64"/>
      </patternFill>
    </fill>
    <fill>
      <patternFill patternType="solid">
        <fgColor rgb="FF0070C0"/>
        <bgColor indexed="64"/>
      </patternFill>
    </fill>
    <fill>
      <patternFill patternType="solid">
        <fgColor theme="8" tint="0.59999389629810485"/>
        <bgColor indexed="64"/>
      </patternFill>
    </fill>
    <fill>
      <patternFill patternType="solid">
        <fgColor rgb="FF0066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patternFill>
    </fill>
    <fill>
      <patternFill patternType="solid">
        <fgColor indexed="47"/>
      </patternFill>
    </fill>
    <fill>
      <patternFill patternType="solid">
        <fgColor indexed="31"/>
      </patternFill>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48"/>
      </patternFill>
    </fill>
    <fill>
      <patternFill patternType="solid">
        <fgColor indexed="30"/>
      </patternFill>
    </fill>
    <fill>
      <patternFill patternType="solid">
        <fgColor indexed="53"/>
      </patternFill>
    </fill>
    <fill>
      <patternFill patternType="solid">
        <fgColor indexed="36"/>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63"/>
      </patternFill>
    </fill>
    <fill>
      <patternFill patternType="solid">
        <fgColor indexed="55"/>
      </patternFill>
    </fill>
    <fill>
      <patternFill patternType="solid">
        <fgColor indexed="42"/>
        <bgColor indexed="29"/>
      </patternFill>
    </fill>
    <fill>
      <patternFill patternType="solid">
        <fgColor indexed="45"/>
        <bgColor indexed="64"/>
      </patternFill>
    </fill>
    <fill>
      <patternFill patternType="solid">
        <fgColor indexed="65"/>
        <bgColor indexed="10"/>
      </patternFill>
    </fill>
    <fill>
      <patternFill patternType="gray125">
        <fgColor indexed="10"/>
      </patternFill>
    </fill>
    <fill>
      <patternFill patternType="solid">
        <fgColor indexed="22"/>
        <bgColor indexed="64"/>
      </patternFill>
    </fill>
    <fill>
      <patternFill patternType="solid">
        <fgColor indexed="9"/>
        <bgColor indexed="64"/>
      </patternFill>
    </fill>
    <fill>
      <patternFill patternType="mediumGray">
        <fgColor indexed="22"/>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rgb="FF00B0F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336600"/>
        <bgColor indexed="64"/>
      </patternFill>
    </fill>
    <fill>
      <patternFill patternType="solid">
        <fgColor rgb="FFFFFF99"/>
        <bgColor indexed="64"/>
      </patternFill>
    </fill>
    <fill>
      <patternFill patternType="solid">
        <fgColor theme="6" tint="0.79998168889431442"/>
        <bgColor indexed="64"/>
      </patternFill>
    </fill>
    <fill>
      <patternFill patternType="solid">
        <fgColor rgb="FF00B05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indexed="40"/>
        <bgColor indexed="64"/>
      </patternFill>
    </fill>
    <fill>
      <patternFill patternType="solid">
        <fgColor rgb="FFFFCC99"/>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indexed="41"/>
        <bgColor indexed="64"/>
      </patternFill>
    </fill>
    <fill>
      <patternFill patternType="solid">
        <fgColor indexed="15"/>
        <bgColor indexed="64"/>
      </patternFill>
    </fill>
  </fills>
  <borders count="88">
    <border>
      <left/>
      <right/>
      <top/>
      <bottom/>
      <diagonal/>
    </border>
    <border>
      <left style="medium">
        <color theme="0"/>
      </left>
      <right/>
      <top style="medium">
        <color theme="0"/>
      </top>
      <bottom/>
      <diagonal/>
    </border>
    <border>
      <left/>
      <right style="medium">
        <color theme="0"/>
      </right>
      <top style="medium">
        <color theme="0"/>
      </top>
      <bottom/>
      <diagonal/>
    </border>
    <border>
      <left/>
      <right/>
      <top style="medium">
        <color theme="0"/>
      </top>
      <bottom/>
      <diagonal/>
    </border>
    <border>
      <left style="medium">
        <color theme="0"/>
      </left>
      <right/>
      <top/>
      <bottom/>
      <diagonal/>
    </border>
    <border>
      <left/>
      <right style="medium">
        <color theme="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right/>
      <top/>
      <bottom style="thick">
        <color indexed="49"/>
      </bottom>
      <diagonal/>
    </border>
    <border>
      <left/>
      <right/>
      <top/>
      <bottom style="thick">
        <color indexed="48"/>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49"/>
      </bottom>
      <diagonal/>
    </border>
    <border>
      <left/>
      <right/>
      <top/>
      <bottom style="medium">
        <color indexed="48"/>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1"/>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2"/>
      </left>
      <right style="medium">
        <color indexed="62"/>
      </right>
      <top style="medium">
        <color indexed="62"/>
      </top>
      <bottom style="medium">
        <color indexed="62"/>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style="thin">
        <color indexed="65"/>
      </top>
      <bottom/>
      <diagonal/>
    </border>
    <border>
      <left style="thin">
        <color indexed="8"/>
      </left>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style="thin">
        <color indexed="64"/>
      </bottom>
      <diagonal/>
    </border>
    <border>
      <left/>
      <right/>
      <top/>
      <bottom style="thin">
        <color theme="4" tint="0.39997558519241921"/>
      </bottom>
      <diagonal/>
    </border>
    <border>
      <left/>
      <right/>
      <top style="thin">
        <color theme="4" tint="0.39997558519241921"/>
      </top>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double">
        <color indexed="64"/>
      </bottom>
      <diagonal/>
    </border>
    <border>
      <left/>
      <right/>
      <top style="double">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top style="double">
        <color indexed="64"/>
      </top>
      <bottom/>
      <diagonal/>
    </border>
  </borders>
  <cellStyleXfs count="104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166" fontId="6" fillId="0" borderId="0"/>
    <xf numFmtId="43" fontId="3" fillId="0" borderId="0" applyFont="0" applyFill="0" applyBorder="0" applyAlignment="0" applyProtection="0"/>
    <xf numFmtId="0" fontId="3" fillId="0" borderId="0"/>
    <xf numFmtId="9" fontId="8" fillId="0" borderId="0" applyFont="0" applyFill="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5"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9"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25"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9"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27" borderId="0" applyNumberFormat="0" applyBorder="0" applyAlignment="0" applyProtection="0"/>
    <xf numFmtId="0" fontId="11" fillId="13"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9" borderId="0" applyNumberFormat="0" applyBorder="0" applyAlignment="0" applyProtection="0"/>
    <xf numFmtId="0" fontId="11" fillId="3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3"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7" borderId="0" applyNumberFormat="0" applyBorder="0" applyAlignment="0" applyProtection="0"/>
    <xf numFmtId="0" fontId="11" fillId="25" borderId="0" applyNumberFormat="0" applyBorder="0" applyAlignment="0" applyProtection="0"/>
    <xf numFmtId="0" fontId="11" fillId="30" borderId="0" applyNumberFormat="0" applyBorder="0" applyAlignment="0" applyProtection="0"/>
    <xf numFmtId="41" fontId="3" fillId="0" borderId="0"/>
    <xf numFmtId="41" fontId="3" fillId="0" borderId="0"/>
    <xf numFmtId="41" fontId="3" fillId="0" borderId="0"/>
    <xf numFmtId="41" fontId="3" fillId="0" borderId="0"/>
    <xf numFmtId="49" fontId="12" fillId="0" borderId="0" applyFill="0" applyBorder="0" applyAlignment="0" applyProtection="0"/>
    <xf numFmtId="0" fontId="13" fillId="0" borderId="6" applyBorder="0">
      <alignment horizontal="center" vertical="center" wrapText="1"/>
    </xf>
    <xf numFmtId="0" fontId="14" fillId="14"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3" fontId="3" fillId="0" borderId="0"/>
    <xf numFmtId="3" fontId="3" fillId="0" borderId="0"/>
    <xf numFmtId="3" fontId="3" fillId="0" borderId="0"/>
    <xf numFmtId="3" fontId="3" fillId="0" borderId="0"/>
    <xf numFmtId="0" fontId="15" fillId="33" borderId="9" applyNumberFormat="0" applyAlignment="0" applyProtection="0"/>
    <xf numFmtId="0" fontId="15" fillId="33" borderId="9" applyNumberFormat="0" applyAlignment="0" applyProtection="0"/>
    <xf numFmtId="0" fontId="16" fillId="33" borderId="9" applyNumberFormat="0" applyAlignment="0" applyProtection="0"/>
    <xf numFmtId="0" fontId="15" fillId="9" borderId="9" applyNumberFormat="0" applyAlignment="0" applyProtection="0"/>
    <xf numFmtId="0" fontId="15" fillId="9" borderId="9" applyNumberFormat="0" applyAlignment="0" applyProtection="0"/>
    <xf numFmtId="0" fontId="17" fillId="33" borderId="9" applyNumberFormat="0" applyAlignment="0" applyProtection="0"/>
    <xf numFmtId="0" fontId="17" fillId="33" borderId="9" applyNumberFormat="0" applyAlignment="0" applyProtection="0"/>
    <xf numFmtId="0" fontId="18" fillId="34" borderId="10" applyNumberFormat="0" applyAlignment="0" applyProtection="0"/>
    <xf numFmtId="0" fontId="18" fillId="35" borderId="11" applyNumberFormat="0" applyAlignment="0" applyProtection="0"/>
    <xf numFmtId="0" fontId="19" fillId="36" borderId="0" applyNumberFormat="0" applyBorder="0" applyAlignment="0" applyProtection="0">
      <alignment horizontal="center"/>
      <protection hidden="1"/>
    </xf>
    <xf numFmtId="0" fontId="3" fillId="37" borderId="0">
      <alignment horizont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alignment vertical="top"/>
    </xf>
    <xf numFmtId="43" fontId="8"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22" fillId="0" borderId="0"/>
    <xf numFmtId="3" fontId="24" fillId="0" borderId="0" applyFont="0" applyFill="0" applyBorder="0" applyAlignment="0" applyProtection="0"/>
    <xf numFmtId="0" fontId="25" fillId="0" borderId="0"/>
    <xf numFmtId="0" fontId="25" fillId="0" borderId="0"/>
    <xf numFmtId="0" fontId="26" fillId="38" borderId="12" applyAlignment="0">
      <alignment horizontal="right"/>
      <protection locked="0"/>
    </xf>
    <xf numFmtId="44" fontId="1"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22" fillId="0" borderId="0" applyFont="0" applyFill="0" applyBorder="0" applyAlignment="0" applyProtection="0"/>
    <xf numFmtId="44" fontId="2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0"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167" fontId="24" fillId="0" borderId="0" applyFont="0" applyFill="0" applyBorder="0" applyAlignment="0" applyProtection="0"/>
    <xf numFmtId="0" fontId="28" fillId="39" borderId="0">
      <alignment horizontal="right"/>
      <protection locked="0"/>
    </xf>
    <xf numFmtId="14" fontId="3" fillId="0" borderId="0"/>
    <xf numFmtId="0" fontId="29" fillId="0" borderId="0" applyNumberFormat="0" applyFill="0" applyBorder="0" applyAlignment="0" applyProtection="0"/>
    <xf numFmtId="0" fontId="29" fillId="0" borderId="0" applyNumberFormat="0" applyFill="0" applyBorder="0" applyAlignment="0" applyProtection="0"/>
    <xf numFmtId="0" fontId="3" fillId="0" borderId="0"/>
    <xf numFmtId="2" fontId="28" fillId="39" borderId="0">
      <alignment horizontal="right"/>
      <protection locked="0"/>
    </xf>
    <xf numFmtId="1" fontId="3" fillId="0" borderId="0">
      <alignment horizontal="center"/>
    </xf>
    <xf numFmtId="0" fontId="30" fillId="16" borderId="0" applyNumberFormat="0" applyBorder="0" applyAlignment="0" applyProtection="0"/>
    <xf numFmtId="0" fontId="30" fillId="16" borderId="0" applyNumberFormat="0" applyBorder="0" applyAlignment="0" applyProtection="0"/>
    <xf numFmtId="0" fontId="30" fillId="18" borderId="0" applyNumberFormat="0" applyBorder="0" applyAlignment="0" applyProtection="0"/>
    <xf numFmtId="0" fontId="2" fillId="2" borderId="0" applyNumberFormat="0" applyBorder="0" applyAlignment="0" applyProtection="0"/>
    <xf numFmtId="0" fontId="31" fillId="0" borderId="13" applyNumberFormat="0" applyFill="0" applyAlignment="0" applyProtection="0"/>
    <xf numFmtId="0" fontId="31" fillId="0" borderId="13" applyNumberFormat="0" applyFill="0" applyAlignment="0" applyProtection="0"/>
    <xf numFmtId="0" fontId="32" fillId="0" borderId="14"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5"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4" fillId="0" borderId="18" applyNumberFormat="0" applyFill="0" applyAlignment="0" applyProtection="0"/>
    <xf numFmtId="0" fontId="34" fillId="0" borderId="18" applyNumberFormat="0" applyFill="0" applyAlignment="0" applyProtection="0"/>
    <xf numFmtId="0" fontId="37" fillId="0" borderId="19" applyNumberFormat="0" applyFill="0" applyAlignment="0" applyProtection="0"/>
    <xf numFmtId="0" fontId="37" fillId="0" borderId="19" applyNumberFormat="0" applyFill="0" applyAlignment="0" applyProtection="0"/>
    <xf numFmtId="0" fontId="38" fillId="0" borderId="20" applyNumberFormat="0" applyFill="0" applyAlignment="0" applyProtection="0"/>
    <xf numFmtId="0" fontId="39" fillId="0" borderId="21" applyNumberFormat="0" applyFill="0" applyAlignment="0" applyProtection="0"/>
    <xf numFmtId="0" fontId="39" fillId="0" borderId="21"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7" fillId="0" borderId="0" applyNumberFormat="0" applyFill="0" applyBorder="0" applyAlignment="0" applyProtection="0"/>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3" fillId="19" borderId="9" applyNumberFormat="0" applyAlignment="0" applyProtection="0"/>
    <xf numFmtId="0" fontId="44" fillId="10" borderId="9" applyNumberFormat="0" applyAlignment="0" applyProtection="0"/>
    <xf numFmtId="0" fontId="44" fillId="19" borderId="9" applyNumberFormat="0" applyAlignment="0" applyProtection="0"/>
    <xf numFmtId="3" fontId="45" fillId="40" borderId="0">
      <protection locked="0"/>
    </xf>
    <xf numFmtId="4" fontId="45" fillId="40" borderId="0">
      <protection locked="0"/>
    </xf>
    <xf numFmtId="0" fontId="13" fillId="0" borderId="6" applyBorder="0">
      <alignment horizontal="center" vertical="center" wrapText="1"/>
    </xf>
    <xf numFmtId="0" fontId="46" fillId="0" borderId="23" applyNumberFormat="0" applyFill="0" applyAlignment="0" applyProtection="0"/>
    <xf numFmtId="0" fontId="46" fillId="0" borderId="23" applyNumberFormat="0" applyFill="0" applyAlignment="0" applyProtection="0"/>
    <xf numFmtId="0" fontId="47" fillId="0" borderId="24" applyNumberFormat="0" applyFill="0" applyAlignment="0" applyProtection="0"/>
    <xf numFmtId="0" fontId="46" fillId="0" borderId="23" applyNumberFormat="0" applyFill="0" applyAlignment="0" applyProtection="0"/>
    <xf numFmtId="0" fontId="48" fillId="0" borderId="25" applyNumberFormat="0" applyFill="0" applyAlignment="0" applyProtection="0"/>
    <xf numFmtId="0" fontId="49" fillId="19" borderId="0" applyNumberFormat="0" applyBorder="0" applyAlignment="0" applyProtection="0"/>
    <xf numFmtId="0" fontId="49" fillId="19" borderId="0" applyNumberFormat="0" applyBorder="0" applyAlignment="0" applyProtection="0"/>
    <xf numFmtId="0" fontId="50" fillId="19" borderId="0" applyNumberFormat="0" applyBorder="0" applyAlignment="0" applyProtection="0"/>
    <xf numFmtId="0" fontId="49" fillId="19" borderId="0" applyNumberFormat="0" applyBorder="0" applyAlignment="0" applyProtection="0"/>
    <xf numFmtId="0" fontId="51" fillId="19" borderId="0" applyNumberFormat="0" applyBorder="0" applyAlignment="0" applyProtection="0"/>
    <xf numFmtId="43"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8" fillId="0" borderId="0"/>
    <xf numFmtId="0" fontId="1" fillId="0" borderId="0"/>
    <xf numFmtId="0" fontId="8" fillId="0" borderId="0"/>
    <xf numFmtId="0" fontId="8" fillId="0" borderId="0"/>
    <xf numFmtId="0" fontId="3" fillId="0" borderId="0"/>
    <xf numFmtId="0" fontId="3" fillId="0" borderId="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1" fillId="0" borderId="0"/>
    <xf numFmtId="0" fontId="3" fillId="0" borderId="0"/>
    <xf numFmtId="0" fontId="3" fillId="0" borderId="0"/>
    <xf numFmtId="0" fontId="3" fillId="0" borderId="0"/>
    <xf numFmtId="0" fontId="52" fillId="0" borderId="0"/>
    <xf numFmtId="0" fontId="8" fillId="0" borderId="0"/>
    <xf numFmtId="0" fontId="1" fillId="0" borderId="0"/>
    <xf numFmtId="0" fontId="52" fillId="0" borderId="0"/>
    <xf numFmtId="0" fontId="3" fillId="0" borderId="0"/>
    <xf numFmtId="0" fontId="1" fillId="0" borderId="0"/>
    <xf numFmtId="0" fontId="52" fillId="0" borderId="0"/>
    <xf numFmtId="0" fontId="21" fillId="0" borderId="0"/>
    <xf numFmtId="0" fontId="8" fillId="0" borderId="0"/>
    <xf numFmtId="0" fontId="1" fillId="0" borderId="0"/>
    <xf numFmtId="0" fontId="21" fillId="0" borderId="0"/>
    <xf numFmtId="0" fontId="3" fillId="0" borderId="0"/>
    <xf numFmtId="0" fontId="1" fillId="0" borderId="0"/>
    <xf numFmtId="0" fontId="21" fillId="0" borderId="0"/>
    <xf numFmtId="0" fontId="1" fillId="0" borderId="0"/>
    <xf numFmtId="0" fontId="8" fillId="0" borderId="0"/>
    <xf numFmtId="0" fontId="1" fillId="0" borderId="0"/>
    <xf numFmtId="0" fontId="3" fillId="0" borderId="0"/>
    <xf numFmtId="0" fontId="1" fillId="0" borderId="0"/>
    <xf numFmtId="0" fontId="8" fillId="0" borderId="0"/>
    <xf numFmtId="0" fontId="8" fillId="0" borderId="0"/>
    <xf numFmtId="0" fontId="3" fillId="0" borderId="0"/>
    <xf numFmtId="0" fontId="1" fillId="0" borderId="0"/>
    <xf numFmtId="0" fontId="8" fillId="0" borderId="0"/>
    <xf numFmtId="0" fontId="8"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6" fillId="0" borderId="0"/>
    <xf numFmtId="166" fontId="6"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alignmen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alignment wrapText="1"/>
    </xf>
    <xf numFmtId="0" fontId="22" fillId="0" borderId="0">
      <alignment vertical="top"/>
    </xf>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1" fillId="0" borderId="0"/>
    <xf numFmtId="0" fontId="3" fillId="0" borderId="0"/>
    <xf numFmtId="0" fontId="1" fillId="0" borderId="0"/>
    <xf numFmtId="0" fontId="8" fillId="0" borderId="0"/>
    <xf numFmtId="0" fontId="8" fillId="0" borderId="0"/>
    <xf numFmtId="0" fontId="6" fillId="0" borderId="0"/>
    <xf numFmtId="166" fontId="6" fillId="0" borderId="0"/>
    <xf numFmtId="0" fontId="22" fillId="0" borderId="0">
      <alignment vertical="top"/>
    </xf>
    <xf numFmtId="0" fontId="3" fillId="0" borderId="0"/>
    <xf numFmtId="0" fontId="3" fillId="0" borderId="0"/>
    <xf numFmtId="0" fontId="3" fillId="0" borderId="0"/>
    <xf numFmtId="0" fontId="24"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1" fillId="0" borderId="0"/>
    <xf numFmtId="0" fontId="3" fillId="0" borderId="0"/>
    <xf numFmtId="0" fontId="1" fillId="0" borderId="0"/>
    <xf numFmtId="0" fontId="1" fillId="0" borderId="0"/>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52" fillId="0" borderId="0"/>
    <xf numFmtId="0" fontId="8" fillId="0" borderId="0"/>
    <xf numFmtId="0" fontId="22" fillId="0" borderId="0">
      <alignment vertical="top"/>
    </xf>
    <xf numFmtId="0" fontId="22" fillId="0" borderId="0">
      <alignment vertical="top"/>
    </xf>
    <xf numFmtId="0" fontId="22" fillId="0" borderId="0">
      <alignment vertical="top"/>
    </xf>
    <xf numFmtId="0" fontId="8"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5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15" borderId="26" applyNumberFormat="0" applyFont="0" applyAlignment="0" applyProtection="0"/>
    <xf numFmtId="0" fontId="8" fillId="15" borderId="26" applyNumberFormat="0" applyFont="0" applyAlignment="0" applyProtection="0"/>
    <xf numFmtId="0" fontId="22" fillId="15" borderId="26" applyNumberFormat="0" applyFont="0" applyAlignment="0" applyProtection="0"/>
    <xf numFmtId="0" fontId="5" fillId="15" borderId="26" applyNumberFormat="0" applyFont="0" applyAlignment="0" applyProtection="0"/>
    <xf numFmtId="0" fontId="5" fillId="15" borderId="26" applyNumberFormat="0" applyFont="0" applyAlignment="0" applyProtection="0"/>
    <xf numFmtId="0" fontId="6" fillId="15" borderId="26" applyNumberFormat="0" applyFont="0" applyAlignment="0" applyProtection="0"/>
    <xf numFmtId="0" fontId="6" fillId="15" borderId="26" applyNumberFormat="0" applyFont="0" applyAlignment="0" applyProtection="0"/>
    <xf numFmtId="168" fontId="54" fillId="0" borderId="0" applyNumberFormat="0"/>
    <xf numFmtId="0" fontId="37" fillId="33" borderId="27" applyNumberFormat="0" applyAlignment="0" applyProtection="0"/>
    <xf numFmtId="0" fontId="55" fillId="9" borderId="28" applyNumberFormat="0" applyAlignment="0" applyProtection="0"/>
    <xf numFmtId="0" fontId="55" fillId="33" borderId="28" applyNumberFormat="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2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2"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168" fontId="3" fillId="0" borderId="0" applyFont="0" applyFill="0" applyBorder="0" applyAlignment="0" applyProtection="0"/>
    <xf numFmtId="10" fontId="3" fillId="0" borderId="0" applyFont="0" applyFill="0" applyBorder="0" applyAlignment="0" applyProtection="0"/>
    <xf numFmtId="169" fontId="27" fillId="0" borderId="0">
      <alignment horizontal="center"/>
    </xf>
    <xf numFmtId="0" fontId="3" fillId="0" borderId="0"/>
    <xf numFmtId="0" fontId="3" fillId="0" borderId="0"/>
    <xf numFmtId="0" fontId="3" fillId="0" borderId="0"/>
    <xf numFmtId="0" fontId="3" fillId="0" borderId="0"/>
    <xf numFmtId="38" fontId="56" fillId="0" borderId="0" applyNumberFormat="0" applyFont="0" applyFill="0" applyBorder="0">
      <alignment horizontal="left" indent="4"/>
      <protection locked="0"/>
    </xf>
    <xf numFmtId="0" fontId="24" fillId="0" borderId="0" applyNumberFormat="0" applyFont="0" applyFill="0" applyBorder="0" applyAlignment="0" applyProtection="0">
      <alignment horizontal="left"/>
    </xf>
    <xf numFmtId="15" fontId="24" fillId="0" borderId="0" applyFont="0" applyFill="0" applyBorder="0" applyAlignment="0" applyProtection="0"/>
    <xf numFmtId="4" fontId="24" fillId="0" borderId="0" applyFont="0" applyFill="0" applyBorder="0" applyAlignment="0" applyProtection="0"/>
    <xf numFmtId="0" fontId="57" fillId="0" borderId="29">
      <alignment horizontal="center"/>
    </xf>
    <xf numFmtId="3" fontId="24" fillId="0" borderId="0" applyFont="0" applyFill="0" applyBorder="0" applyAlignment="0" applyProtection="0"/>
    <xf numFmtId="0" fontId="24" fillId="42" borderId="0" applyNumberFormat="0" applyFon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22" fillId="0" borderId="0">
      <alignment vertical="top"/>
    </xf>
    <xf numFmtId="0" fontId="22" fillId="0" borderId="0">
      <alignment vertical="top"/>
    </xf>
    <xf numFmtId="0" fontId="22" fillId="0" borderId="0" applyNumberFormat="0" applyBorder="0" applyAlignment="0"/>
    <xf numFmtId="37" fontId="59" fillId="0" borderId="0"/>
    <xf numFmtId="170" fontId="60" fillId="41" borderId="0" applyFill="0" applyBorder="0" applyProtection="0">
      <alignment horizontal="center"/>
      <protection hidden="1"/>
    </xf>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30" applyNumberFormat="0" applyFill="0" applyAlignment="0" applyProtection="0"/>
    <xf numFmtId="0" fontId="64" fillId="0" borderId="30" applyNumberFormat="0" applyFill="0" applyAlignment="0" applyProtection="0"/>
    <xf numFmtId="0" fontId="64" fillId="0" borderId="31" applyNumberFormat="0" applyFill="0" applyAlignment="0" applyProtection="0"/>
    <xf numFmtId="0" fontId="64" fillId="0" borderId="32" applyNumberFormat="0" applyFill="0" applyAlignment="0" applyProtection="0"/>
    <xf numFmtId="0" fontId="64" fillId="0" borderId="32"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5" fillId="0" borderId="0">
      <alignment horizontal="center"/>
    </xf>
    <xf numFmtId="0" fontId="48" fillId="0" borderId="0" applyNumberFormat="0" applyFill="0" applyBorder="0" applyAlignment="0" applyProtection="0"/>
    <xf numFmtId="0" fontId="48" fillId="0" borderId="0" applyNumberFormat="0" applyFill="0" applyBorder="0" applyAlignment="0" applyProtection="0"/>
    <xf numFmtId="165" fontId="53" fillId="43" borderId="0" applyFont="0" applyFill="0" applyBorder="0" applyAlignment="0" applyProtection="0">
      <alignment wrapText="1"/>
    </xf>
    <xf numFmtId="37" fontId="53" fillId="41" borderId="0" applyFill="0"/>
    <xf numFmtId="0" fontId="3" fillId="0" borderId="0"/>
    <xf numFmtId="0" fontId="3" fillId="0" borderId="0"/>
    <xf numFmtId="0" fontId="3" fillId="0" borderId="0"/>
    <xf numFmtId="0" fontId="8" fillId="0" borderId="0"/>
    <xf numFmtId="0" fontId="20" fillId="0" borderId="0"/>
    <xf numFmtId="0" fontId="22" fillId="0" borderId="0">
      <alignment vertical="top"/>
    </xf>
    <xf numFmtId="0" fontId="2" fillId="2" borderId="0" applyNumberFormat="0" applyBorder="0" applyAlignment="0" applyProtection="0"/>
    <xf numFmtId="166" fontId="6" fillId="0" borderId="0"/>
    <xf numFmtId="0" fontId="3" fillId="0" borderId="0"/>
    <xf numFmtId="0" fontId="3" fillId="0" borderId="0"/>
    <xf numFmtId="0" fontId="6" fillId="0" borderId="0"/>
    <xf numFmtId="0" fontId="6" fillId="0" borderId="0"/>
    <xf numFmtId="0" fontId="8" fillId="9"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19" borderId="0" applyNumberFormat="0" applyBorder="0" applyAlignment="0" applyProtection="0"/>
    <xf numFmtId="0" fontId="11" fillId="13" borderId="0" applyNumberFormat="0" applyBorder="0" applyAlignment="0" applyProtection="0"/>
    <xf numFmtId="0" fontId="11" fillId="19" borderId="0" applyNumberFormat="0" applyBorder="0" applyAlignment="0" applyProtection="0"/>
    <xf numFmtId="0" fontId="11" fillId="9" borderId="0" applyNumberFormat="0" applyBorder="0" applyAlignment="0" applyProtection="0"/>
    <xf numFmtId="0" fontId="11" fillId="30" borderId="0" applyNumberFormat="0" applyBorder="0" applyAlignment="0" applyProtection="0"/>
    <xf numFmtId="0" fontId="14" fillId="14" borderId="0" applyNumberFormat="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0" fontId="30" fillId="16" borderId="0" applyNumberFormat="0" applyBorder="0" applyAlignment="0" applyProtection="0"/>
    <xf numFmtId="0" fontId="3" fillId="0" borderId="0"/>
    <xf numFmtId="0" fontId="1" fillId="0" borderId="0"/>
    <xf numFmtId="0" fontId="3" fillId="0" borderId="0"/>
    <xf numFmtId="0" fontId="3" fillId="0" borderId="0"/>
    <xf numFmtId="0" fontId="1" fillId="0" borderId="0"/>
    <xf numFmtId="0" fontId="1" fillId="0" borderId="0"/>
    <xf numFmtId="0" fontId="1" fillId="0" borderId="0"/>
    <xf numFmtId="0" fontId="22" fillId="0" borderId="0" applyNumberFormat="0" applyBorder="0" applyAlignment="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49" fillId="0" borderId="0"/>
    <xf numFmtId="0" fontId="8" fillId="12"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8" fillId="1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8" fillId="14"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8" fillId="18"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8" fillId="15" borderId="0" applyNumberFormat="0" applyBorder="0" applyAlignment="0" applyProtection="0"/>
    <xf numFmtId="0" fontId="1" fillId="88" borderId="0" applyNumberFormat="0" applyBorder="0" applyAlignment="0" applyProtection="0"/>
    <xf numFmtId="0" fontId="1" fillId="88" borderId="0" applyNumberFormat="0" applyBorder="0" applyAlignment="0" applyProtection="0"/>
    <xf numFmtId="0" fontId="11" fillId="18" borderId="0" applyNumberFormat="0" applyBorder="0" applyAlignment="0" applyProtection="0"/>
    <xf numFmtId="0" fontId="148" fillId="69" borderId="0" applyNumberFormat="0" applyBorder="0" applyAlignment="0" applyProtection="0"/>
    <xf numFmtId="0" fontId="11" fillId="25" borderId="0" applyNumberFormat="0" applyBorder="0" applyAlignment="0" applyProtection="0"/>
    <xf numFmtId="0" fontId="148" fillId="73" borderId="0" applyNumberFormat="0" applyBorder="0" applyAlignment="0" applyProtection="0"/>
    <xf numFmtId="0" fontId="11" fillId="21" borderId="0" applyNumberFormat="0" applyBorder="0" applyAlignment="0" applyProtection="0"/>
    <xf numFmtId="0" fontId="148" fillId="77" borderId="0" applyNumberFormat="0" applyBorder="0" applyAlignment="0" applyProtection="0"/>
    <xf numFmtId="0" fontId="11" fillId="14" borderId="0" applyNumberFormat="0" applyBorder="0" applyAlignment="0" applyProtection="0"/>
    <xf numFmtId="0" fontId="148" fillId="81" borderId="0" applyNumberFormat="0" applyBorder="0" applyAlignment="0" applyProtection="0"/>
    <xf numFmtId="0" fontId="11" fillId="18" borderId="0" applyNumberFormat="0" applyBorder="0" applyAlignment="0" applyProtection="0"/>
    <xf numFmtId="0" fontId="148" fillId="85" borderId="0" applyNumberFormat="0" applyBorder="0" applyAlignment="0" applyProtection="0"/>
    <xf numFmtId="0" fontId="148" fillId="89" borderId="0" applyNumberFormat="0" applyBorder="0" applyAlignment="0" applyProtection="0"/>
    <xf numFmtId="0" fontId="11" fillId="29" borderId="0" applyNumberFormat="0" applyBorder="0" applyAlignment="0" applyProtection="0"/>
    <xf numFmtId="0" fontId="148" fillId="66" borderId="0" applyNumberFormat="0" applyBorder="0" applyAlignment="0" applyProtection="0"/>
    <xf numFmtId="0" fontId="11" fillId="25" borderId="0" applyNumberFormat="0" applyBorder="0" applyAlignment="0" applyProtection="0"/>
    <xf numFmtId="0" fontId="148" fillId="70" borderId="0" applyNumberFormat="0" applyBorder="0" applyAlignment="0" applyProtection="0"/>
    <xf numFmtId="0" fontId="11" fillId="21" borderId="0" applyNumberFormat="0" applyBorder="0" applyAlignment="0" applyProtection="0"/>
    <xf numFmtId="0" fontId="148" fillId="74" borderId="0" applyNumberFormat="0" applyBorder="0" applyAlignment="0" applyProtection="0"/>
    <xf numFmtId="0" fontId="11" fillId="32" borderId="0" applyNumberFormat="0" applyBorder="0" applyAlignment="0" applyProtection="0"/>
    <xf numFmtId="0" fontId="11" fillId="25" borderId="0" applyNumberFormat="0" applyBorder="0" applyAlignment="0" applyProtection="0"/>
    <xf numFmtId="0" fontId="148" fillId="7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48" fillId="82" borderId="0" applyNumberFormat="0" applyBorder="0" applyAlignment="0" applyProtection="0"/>
    <xf numFmtId="0" fontId="11" fillId="30" borderId="0" applyNumberFormat="0" applyBorder="0" applyAlignment="0" applyProtection="0"/>
    <xf numFmtId="0" fontId="148" fillId="86" borderId="0" applyNumberFormat="0" applyBorder="0" applyAlignment="0" applyProtection="0"/>
    <xf numFmtId="0" fontId="14" fillId="17" borderId="0" applyNumberFormat="0" applyBorder="0" applyAlignment="0" applyProtection="0"/>
    <xf numFmtId="0" fontId="139" fillId="60" borderId="0" applyNumberFormat="0" applyBorder="0" applyAlignment="0" applyProtection="0"/>
    <xf numFmtId="0" fontId="17" fillId="33" borderId="9" applyNumberFormat="0" applyAlignment="0" applyProtection="0"/>
    <xf numFmtId="0" fontId="143" fillId="63" borderId="69" applyNumberFormat="0" applyAlignment="0" applyProtection="0"/>
    <xf numFmtId="0" fontId="18" fillId="35" borderId="11" applyNumberFormat="0" applyAlignment="0" applyProtection="0"/>
    <xf numFmtId="0" fontId="18" fillId="34" borderId="10" applyNumberFormat="0" applyAlignment="0" applyProtection="0"/>
    <xf numFmtId="0" fontId="145" fillId="64" borderId="72"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1" fillId="0" borderId="0" applyFont="0" applyFill="0" applyBorder="0" applyAlignment="0" applyProtection="0"/>
    <xf numFmtId="44" fontId="15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0" fontId="147" fillId="0" borderId="0" applyNumberFormat="0" applyFill="0" applyBorder="0" applyAlignment="0" applyProtection="0"/>
    <xf numFmtId="0" fontId="30" fillId="18" borderId="0" applyNumberFormat="0" applyBorder="0" applyAlignment="0" applyProtection="0"/>
    <xf numFmtId="0" fontId="2" fillId="2" borderId="0" applyNumberFormat="0" applyBorder="0" applyAlignment="0" applyProtection="0"/>
    <xf numFmtId="0" fontId="31" fillId="0" borderId="16" applyNumberFormat="0" applyFill="0" applyAlignment="0" applyProtection="0"/>
    <xf numFmtId="0" fontId="136" fillId="0" borderId="66" applyNumberFormat="0" applyFill="0" applyAlignment="0" applyProtection="0"/>
    <xf numFmtId="0" fontId="34" fillId="0" borderId="18" applyNumberFormat="0" applyFill="0" applyAlignment="0" applyProtection="0"/>
    <xf numFmtId="0" fontId="137" fillId="0" borderId="67" applyNumberFormat="0" applyFill="0" applyAlignment="0" applyProtection="0"/>
    <xf numFmtId="0" fontId="37" fillId="0" borderId="22" applyNumberFormat="0" applyFill="0" applyAlignment="0" applyProtection="0"/>
    <xf numFmtId="0" fontId="138" fillId="0" borderId="68" applyNumberFormat="0" applyFill="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138" fillId="0" borderId="0" applyNumberFormat="0" applyFill="0" applyBorder="0" applyAlignment="0" applyProtection="0"/>
    <xf numFmtId="0" fontId="152"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4" fillId="19" borderId="9" applyNumberFormat="0" applyAlignment="0" applyProtection="0"/>
    <xf numFmtId="0" fontId="43" fillId="19" borderId="9" applyNumberFormat="0" applyAlignment="0" applyProtection="0"/>
    <xf numFmtId="0" fontId="141" fillId="62" borderId="69" applyNumberFormat="0" applyAlignment="0" applyProtection="0"/>
    <xf numFmtId="0" fontId="48" fillId="0" borderId="25" applyNumberFormat="0" applyFill="0" applyAlignment="0" applyProtection="0"/>
    <xf numFmtId="0" fontId="144" fillId="0" borderId="71" applyNumberFormat="0" applyFill="0" applyAlignment="0" applyProtection="0"/>
    <xf numFmtId="0" fontId="51" fillId="19" borderId="0" applyNumberFormat="0" applyBorder="0" applyAlignment="0" applyProtection="0"/>
    <xf numFmtId="0" fontId="140"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40" fontId="151" fillId="0" borderId="0"/>
    <xf numFmtId="0" fontId="3" fillId="0" borderId="0"/>
    <xf numFmtId="0" fontId="1" fillId="0" borderId="0"/>
    <xf numFmtId="0" fontId="3" fillId="0" borderId="0"/>
    <xf numFmtId="0" fontId="1" fillId="0" borderId="0"/>
    <xf numFmtId="0" fontId="6" fillId="0" borderId="0"/>
    <xf numFmtId="0" fontId="3" fillId="0" borderId="0">
      <alignment vertical="top"/>
    </xf>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3" fillId="0" borderId="0"/>
    <xf numFmtId="0" fontId="6" fillId="0" borderId="0"/>
    <xf numFmtId="0" fontId="1" fillId="0" borderId="0"/>
    <xf numFmtId="0" fontId="3" fillId="0" borderId="0"/>
    <xf numFmtId="0" fontId="6" fillId="0" borderId="0"/>
    <xf numFmtId="0" fontId="3" fillId="0" borderId="0"/>
    <xf numFmtId="0" fontId="3" fillId="0" borderId="0"/>
    <xf numFmtId="0" fontId="1" fillId="0" borderId="0"/>
    <xf numFmtId="0" fontId="3" fillId="0" borderId="0"/>
    <xf numFmtId="0" fontId="6" fillId="0" borderId="0"/>
    <xf numFmtId="0" fontId="1" fillId="0" borderId="0"/>
    <xf numFmtId="0" fontId="3" fillId="0" borderId="0"/>
    <xf numFmtId="0" fontId="6" fillId="0" borderId="0"/>
    <xf numFmtId="0" fontId="3" fillId="0" borderId="0"/>
    <xf numFmtId="0" fontId="8" fillId="0" borderId="0"/>
    <xf numFmtId="0" fontId="3" fillId="0" borderId="0"/>
    <xf numFmtId="0" fontId="1" fillId="0" borderId="0"/>
    <xf numFmtId="0" fontId="6" fillId="0" borderId="0"/>
    <xf numFmtId="0" fontId="3" fillId="0" borderId="0"/>
    <xf numFmtId="0" fontId="6" fillId="0" borderId="0"/>
    <xf numFmtId="0" fontId="1"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1"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8" fillId="0" borderId="0"/>
    <xf numFmtId="0" fontId="3" fillId="0" borderId="0"/>
    <xf numFmtId="0" fontId="6" fillId="0" borderId="0"/>
    <xf numFmtId="0" fontId="3" fillId="0" borderId="0"/>
    <xf numFmtId="0" fontId="6" fillId="0" borderId="0"/>
    <xf numFmtId="0" fontId="3" fillId="0" borderId="0"/>
    <xf numFmtId="0" fontId="1" fillId="0" borderId="0"/>
    <xf numFmtId="0" fontId="22" fillId="0" borderId="0">
      <alignment vertical="top"/>
    </xf>
    <xf numFmtId="0" fontId="1" fillId="0" borderId="0"/>
    <xf numFmtId="43" fontId="8" fillId="0" borderId="0" applyFont="0" applyFill="0" applyBorder="0" applyAlignment="0" applyProtection="0"/>
    <xf numFmtId="43" fontId="22" fillId="0" borderId="0" applyFont="0" applyFill="0" applyBorder="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6" fillId="15" borderId="26" applyNumberFormat="0" applyFont="0" applyAlignment="0" applyProtection="0"/>
    <xf numFmtId="0" fontId="8" fillId="15" borderId="26" applyNumberFormat="0" applyFont="0" applyAlignment="0" applyProtection="0"/>
    <xf numFmtId="0" fontId="1" fillId="65" borderId="73" applyNumberFormat="0" applyFont="0" applyAlignment="0" applyProtection="0"/>
    <xf numFmtId="0" fontId="1" fillId="65" borderId="73" applyNumberFormat="0" applyFont="0" applyAlignment="0" applyProtection="0"/>
    <xf numFmtId="0" fontId="55" fillId="33" borderId="28" applyNumberFormat="0" applyAlignment="0" applyProtection="0"/>
    <xf numFmtId="0" fontId="37" fillId="33" borderId="27" applyNumberFormat="0" applyAlignment="0" applyProtection="0"/>
    <xf numFmtId="0" fontId="142" fillId="63" borderId="70" applyNumberFormat="0" applyAlignment="0" applyProtection="0"/>
    <xf numFmtId="9" fontId="3"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0" fontId="63" fillId="0" borderId="0" applyNumberFormat="0" applyFill="0" applyBorder="0" applyAlignment="0" applyProtection="0"/>
    <xf numFmtId="0" fontId="61" fillId="0" borderId="0" applyNumberFormat="0" applyFill="0" applyBorder="0" applyAlignment="0" applyProtection="0"/>
    <xf numFmtId="0" fontId="135" fillId="0" borderId="0" applyNumberFormat="0" applyFill="0" applyBorder="0" applyAlignment="0" applyProtection="0"/>
    <xf numFmtId="0" fontId="64" fillId="0" borderId="33" applyNumberFormat="0" applyFill="0" applyAlignment="0" applyProtection="0"/>
    <xf numFmtId="0" fontId="79" fillId="0" borderId="74" applyNumberFormat="0" applyFill="0" applyAlignment="0" applyProtection="0"/>
    <xf numFmtId="0" fontId="146" fillId="0" borderId="0" applyNumberForma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9" fontId="1" fillId="0" borderId="0" applyFont="0" applyFill="0" applyBorder="0" applyAlignment="0" applyProtection="0"/>
    <xf numFmtId="0" fontId="24" fillId="0" borderId="0"/>
    <xf numFmtId="40" fontId="1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20">
    <xf numFmtId="0" fontId="0" fillId="0" borderId="0" xfId="0"/>
    <xf numFmtId="37" fontId="3" fillId="0" borderId="0" xfId="628" applyFont="1" applyFill="1"/>
    <xf numFmtId="49" fontId="3" fillId="0" borderId="0" xfId="628" applyNumberFormat="1" applyFont="1" applyFill="1"/>
    <xf numFmtId="14" fontId="3" fillId="0" borderId="0" xfId="628" applyNumberFormat="1" applyFont="1" applyFill="1"/>
    <xf numFmtId="165" fontId="3" fillId="0" borderId="0" xfId="6" applyNumberFormat="1" applyFont="1" applyFill="1"/>
    <xf numFmtId="37" fontId="3" fillId="44" borderId="0" xfId="628" applyFont="1" applyFill="1"/>
    <xf numFmtId="0" fontId="22" fillId="0" borderId="0" xfId="7" applyFont="1" applyAlignment="1">
      <alignment horizontal="left"/>
    </xf>
    <xf numFmtId="0" fontId="22" fillId="0" borderId="0" xfId="7" quotePrefix="1" applyFont="1" applyAlignment="1">
      <alignment horizontal="left"/>
    </xf>
    <xf numFmtId="0" fontId="22" fillId="0" borderId="0" xfId="7" applyFont="1"/>
    <xf numFmtId="165" fontId="22" fillId="0" borderId="0" xfId="173" applyNumberFormat="1" applyFont="1"/>
    <xf numFmtId="165" fontId="3" fillId="44" borderId="0" xfId="173" applyNumberFormat="1" applyFont="1" applyFill="1" applyBorder="1"/>
    <xf numFmtId="165" fontId="3" fillId="0" borderId="0" xfId="173" applyNumberFormat="1" applyFont="1" applyBorder="1"/>
    <xf numFmtId="0" fontId="3" fillId="0" borderId="0" xfId="379"/>
    <xf numFmtId="37" fontId="3" fillId="0" borderId="0" xfId="628" quotePrefix="1" applyFont="1" applyFill="1"/>
    <xf numFmtId="14" fontId="67" fillId="0" borderId="0" xfId="7" applyNumberFormat="1" applyFont="1"/>
    <xf numFmtId="0" fontId="68" fillId="0" borderId="0" xfId="7" applyNumberFormat="1" applyFont="1"/>
    <xf numFmtId="0" fontId="67" fillId="0" borderId="0" xfId="7" applyNumberFormat="1" applyFont="1"/>
    <xf numFmtId="0" fontId="68" fillId="0" borderId="0" xfId="7" applyNumberFormat="1" applyFont="1" applyAlignment="1">
      <alignment horizontal="right"/>
    </xf>
    <xf numFmtId="49" fontId="69" fillId="0" borderId="0" xfId="7" applyNumberFormat="1" applyFont="1" applyAlignment="1">
      <alignment horizontal="right"/>
    </xf>
    <xf numFmtId="0" fontId="69" fillId="0" borderId="0" xfId="7" applyNumberFormat="1" applyFont="1" applyAlignment="1">
      <alignment horizontal="left"/>
    </xf>
    <xf numFmtId="0" fontId="70" fillId="0" borderId="0" xfId="7" applyNumberFormat="1" applyFont="1"/>
    <xf numFmtId="49" fontId="69" fillId="0" borderId="0" xfId="7" applyNumberFormat="1" applyFont="1" applyAlignment="1">
      <alignment horizontal="left"/>
    </xf>
    <xf numFmtId="49" fontId="71" fillId="0" borderId="0" xfId="7" applyNumberFormat="1" applyFont="1"/>
    <xf numFmtId="171" fontId="72" fillId="0" borderId="0" xfId="7" quotePrefix="1" applyNumberFormat="1" applyFont="1" applyAlignment="1">
      <alignment horizontal="left"/>
    </xf>
    <xf numFmtId="0" fontId="22" fillId="0" borderId="0" xfId="7" applyNumberFormat="1" applyFont="1"/>
    <xf numFmtId="165" fontId="73" fillId="0" borderId="12" xfId="173" applyNumberFormat="1" applyFont="1" applyFill="1" applyBorder="1" applyAlignment="1">
      <alignment horizontal="centerContinuous"/>
    </xf>
    <xf numFmtId="0" fontId="73" fillId="0" borderId="12" xfId="7" applyFont="1" applyFill="1" applyBorder="1" applyAlignment="1">
      <alignment horizontal="centerContinuous"/>
    </xf>
    <xf numFmtId="165" fontId="73" fillId="0" borderId="12" xfId="173" quotePrefix="1" applyNumberFormat="1" applyFont="1" applyFill="1" applyBorder="1" applyAlignment="1">
      <alignment horizontal="centerContinuous"/>
    </xf>
    <xf numFmtId="0" fontId="74" fillId="0" borderId="12" xfId="7" applyNumberFormat="1" applyFont="1" applyBorder="1"/>
    <xf numFmtId="17" fontId="73" fillId="0" borderId="29" xfId="173" applyNumberFormat="1" applyFont="1" applyFill="1" applyBorder="1" applyAlignment="1">
      <alignment horizontal="centerContinuous"/>
    </xf>
    <xf numFmtId="0" fontId="73" fillId="0" borderId="0" xfId="7" applyFont="1" applyBorder="1"/>
    <xf numFmtId="0" fontId="73" fillId="0" borderId="0" xfId="7" applyFont="1"/>
    <xf numFmtId="17" fontId="73" fillId="0" borderId="29" xfId="173" applyNumberFormat="1" applyFont="1" applyBorder="1" applyAlignment="1">
      <alignment horizontal="centerContinuous"/>
    </xf>
    <xf numFmtId="37" fontId="3" fillId="0" borderId="0" xfId="628" applyFont="1" applyFill="1" applyBorder="1"/>
    <xf numFmtId="165" fontId="22" fillId="0" borderId="12" xfId="173" applyNumberFormat="1" applyFont="1" applyBorder="1"/>
    <xf numFmtId="165" fontId="22" fillId="43" borderId="0" xfId="6" applyNumberFormat="1" applyFont="1" applyFill="1" applyBorder="1"/>
    <xf numFmtId="165" fontId="67" fillId="0" borderId="0" xfId="6" applyNumberFormat="1" applyFont="1"/>
    <xf numFmtId="165" fontId="22" fillId="0" borderId="0" xfId="6" applyNumberFormat="1" applyFont="1"/>
    <xf numFmtId="165" fontId="22" fillId="0" borderId="12" xfId="6" applyNumberFormat="1" applyFont="1" applyBorder="1"/>
    <xf numFmtId="0" fontId="22" fillId="0" borderId="0" xfId="7" quotePrefix="1" applyFont="1"/>
    <xf numFmtId="0" fontId="74" fillId="0" borderId="0" xfId="7" applyFont="1" applyAlignment="1">
      <alignment horizontal="left"/>
    </xf>
    <xf numFmtId="165" fontId="22" fillId="43" borderId="7" xfId="6" applyNumberFormat="1" applyFont="1" applyFill="1" applyBorder="1"/>
    <xf numFmtId="0" fontId="74" fillId="0" borderId="0" xfId="7" applyFont="1"/>
    <xf numFmtId="0" fontId="74" fillId="0" borderId="0" xfId="7" quotePrefix="1" applyFont="1" applyAlignment="1">
      <alignment horizontal="left"/>
    </xf>
    <xf numFmtId="0" fontId="3" fillId="0" borderId="0" xfId="4"/>
    <xf numFmtId="165" fontId="3" fillId="0" borderId="0" xfId="6" applyNumberFormat="1" applyFont="1"/>
    <xf numFmtId="165" fontId="1" fillId="0" borderId="0" xfId="6" applyNumberFormat="1" applyFont="1"/>
    <xf numFmtId="0" fontId="3" fillId="0" borderId="0" xfId="4" applyFont="1"/>
    <xf numFmtId="0" fontId="74" fillId="45" borderId="0" xfId="7" quotePrefix="1" applyFont="1" applyFill="1" applyAlignment="1">
      <alignment horizontal="left"/>
    </xf>
    <xf numFmtId="0" fontId="22" fillId="45" borderId="0" xfId="7" applyFont="1" applyFill="1"/>
    <xf numFmtId="165" fontId="22" fillId="45" borderId="7" xfId="6" applyNumberFormat="1" applyFont="1" applyFill="1" applyBorder="1"/>
    <xf numFmtId="165" fontId="67" fillId="0" borderId="0" xfId="6" applyNumberFormat="1" applyFont="1" applyFill="1"/>
    <xf numFmtId="165" fontId="67" fillId="0" borderId="0" xfId="6" applyNumberFormat="1" applyFont="1" applyFill="1" applyBorder="1"/>
    <xf numFmtId="0" fontId="67" fillId="0" borderId="0" xfId="7" applyNumberFormat="1" applyFont="1" applyFill="1"/>
    <xf numFmtId="0" fontId="3" fillId="0" borderId="0" xfId="386" applyFont="1"/>
    <xf numFmtId="172" fontId="3" fillId="0" borderId="0" xfId="386" applyNumberFormat="1" applyFont="1"/>
    <xf numFmtId="165" fontId="75" fillId="0" borderId="0" xfId="6" applyNumberFormat="1" applyFont="1"/>
    <xf numFmtId="0" fontId="74" fillId="7" borderId="0" xfId="7" applyFont="1" applyFill="1" applyAlignment="1">
      <alignment horizontal="left"/>
    </xf>
    <xf numFmtId="0" fontId="22" fillId="7" borderId="0" xfId="7" applyFont="1" applyFill="1"/>
    <xf numFmtId="172" fontId="22" fillId="7" borderId="7" xfId="6" quotePrefix="1" applyNumberFormat="1" applyFont="1" applyFill="1" applyBorder="1"/>
    <xf numFmtId="165" fontId="66" fillId="0" borderId="0" xfId="6" applyNumberFormat="1" applyFont="1" applyFill="1" applyBorder="1"/>
    <xf numFmtId="165" fontId="22" fillId="43" borderId="8" xfId="6" applyNumberFormat="1" applyFont="1" applyFill="1" applyBorder="1"/>
    <xf numFmtId="165" fontId="3" fillId="0" borderId="0" xfId="173" applyNumberFormat="1" applyFont="1" applyFill="1"/>
    <xf numFmtId="165" fontId="22" fillId="3" borderId="0" xfId="6" applyNumberFormat="1" applyFont="1" applyFill="1" applyBorder="1"/>
    <xf numFmtId="165" fontId="22" fillId="3" borderId="0" xfId="6" applyNumberFormat="1" applyFont="1" applyFill="1"/>
    <xf numFmtId="165" fontId="66" fillId="3" borderId="0" xfId="6" applyNumberFormat="1" applyFont="1" applyFill="1" applyBorder="1"/>
    <xf numFmtId="165" fontId="76" fillId="0" borderId="0" xfId="173" applyNumberFormat="1" applyFont="1" applyFill="1" applyAlignment="1">
      <alignment horizontal="right"/>
    </xf>
    <xf numFmtId="0" fontId="77" fillId="0" borderId="0" xfId="7" applyNumberFormat="1" applyFont="1"/>
    <xf numFmtId="165" fontId="78" fillId="0" borderId="0" xfId="173" applyNumberFormat="1" applyFont="1" applyFill="1"/>
    <xf numFmtId="168" fontId="73" fillId="0" borderId="0" xfId="3" applyNumberFormat="1" applyFont="1" applyFill="1"/>
    <xf numFmtId="0" fontId="3" fillId="0" borderId="0" xfId="379" applyFont="1"/>
    <xf numFmtId="10" fontId="0" fillId="7" borderId="0" xfId="561" applyNumberFormat="1" applyFont="1" applyFill="1"/>
    <xf numFmtId="165" fontId="0" fillId="7" borderId="0" xfId="6" applyNumberFormat="1" applyFont="1" applyFill="1"/>
    <xf numFmtId="0" fontId="3" fillId="7" borderId="0" xfId="381" applyFill="1" applyAlignment="1">
      <alignment horizontal="left"/>
    </xf>
    <xf numFmtId="165" fontId="0" fillId="0" borderId="0" xfId="6" applyNumberFormat="1" applyFont="1" applyFill="1" applyAlignment="1">
      <alignment horizontal="center"/>
    </xf>
    <xf numFmtId="165" fontId="0" fillId="7" borderId="0" xfId="6" applyNumberFormat="1" applyFont="1" applyFill="1" applyAlignment="1">
      <alignment horizontal="center"/>
    </xf>
    <xf numFmtId="0" fontId="3" fillId="7" borderId="0" xfId="381" applyFill="1" applyAlignment="1">
      <alignment horizontal="center"/>
    </xf>
    <xf numFmtId="9" fontId="0" fillId="0" borderId="0" xfId="561" applyFont="1" applyFill="1" applyAlignment="1">
      <alignment horizontal="center"/>
    </xf>
    <xf numFmtId="9" fontId="0" fillId="7" borderId="0" xfId="561" applyFont="1" applyFill="1" applyAlignment="1">
      <alignment horizontal="center"/>
    </xf>
    <xf numFmtId="10" fontId="0" fillId="0" borderId="0" xfId="561" applyNumberFormat="1" applyFont="1" applyFill="1"/>
    <xf numFmtId="44" fontId="73" fillId="0" borderId="34" xfId="2" applyFont="1" applyFill="1" applyBorder="1"/>
    <xf numFmtId="165" fontId="3" fillId="0" borderId="12" xfId="173" applyNumberFormat="1" applyFont="1" applyFill="1" applyBorder="1"/>
    <xf numFmtId="165" fontId="3" fillId="0" borderId="0" xfId="1" applyNumberFormat="1" applyFont="1" applyFill="1"/>
    <xf numFmtId="164" fontId="3" fillId="0" borderId="0" xfId="2" applyNumberFormat="1" applyFont="1" applyFill="1"/>
    <xf numFmtId="17" fontId="73" fillId="0" borderId="0" xfId="173" applyNumberFormat="1" applyFont="1" applyFill="1" applyBorder="1" applyAlignment="1">
      <alignment horizontal="centerContinuous"/>
    </xf>
    <xf numFmtId="165" fontId="79" fillId="7" borderId="35" xfId="6" applyNumberFormat="1" applyFont="1" applyFill="1" applyBorder="1" applyAlignment="1">
      <alignment horizontal="center" wrapText="1"/>
    </xf>
    <xf numFmtId="165" fontId="79" fillId="7" borderId="6" xfId="6" applyNumberFormat="1" applyFont="1" applyFill="1" applyBorder="1" applyAlignment="1">
      <alignment horizontal="center" wrapText="1"/>
    </xf>
    <xf numFmtId="0" fontId="79" fillId="7" borderId="35" xfId="381" applyFont="1" applyFill="1" applyBorder="1" applyAlignment="1">
      <alignment horizontal="center"/>
    </xf>
    <xf numFmtId="165" fontId="79" fillId="0" borderId="0" xfId="6" applyNumberFormat="1" applyFont="1" applyFill="1" applyBorder="1" applyAlignment="1">
      <alignment horizontal="center" wrapText="1"/>
    </xf>
    <xf numFmtId="173" fontId="74" fillId="46" borderId="0" xfId="7" applyNumberFormat="1" applyFont="1" applyFill="1" applyAlignment="1">
      <alignment horizontal="center"/>
    </xf>
    <xf numFmtId="0" fontId="74" fillId="0" borderId="0" xfId="7" applyNumberFormat="1" applyFont="1" applyAlignment="1">
      <alignment horizontal="right"/>
    </xf>
    <xf numFmtId="0" fontId="79" fillId="0" borderId="0" xfId="0" applyFont="1" applyFill="1"/>
    <xf numFmtId="165" fontId="73" fillId="7" borderId="0" xfId="6" quotePrefix="1" applyNumberFormat="1" applyFont="1" applyFill="1" applyAlignment="1">
      <alignment horizontal="center"/>
    </xf>
    <xf numFmtId="165" fontId="3" fillId="0" borderId="0" xfId="6" quotePrefix="1" applyNumberFormat="1" applyFont="1" applyFill="1" applyAlignment="1">
      <alignment horizontal="center"/>
    </xf>
    <xf numFmtId="9" fontId="74" fillId="0" borderId="0" xfId="7" applyNumberFormat="1" applyFont="1" applyAlignment="1">
      <alignment horizontal="right"/>
    </xf>
    <xf numFmtId="0" fontId="0" fillId="0" borderId="0" xfId="0" applyFont="1"/>
    <xf numFmtId="10" fontId="0" fillId="0" borderId="0" xfId="0" applyNumberFormat="1" applyFont="1"/>
    <xf numFmtId="0" fontId="0" fillId="0" borderId="0" xfId="0" applyFont="1" applyBorder="1"/>
    <xf numFmtId="10" fontId="80" fillId="0" borderId="34" xfId="3" applyNumberFormat="1" applyFont="1" applyFill="1" applyBorder="1"/>
    <xf numFmtId="10" fontId="1" fillId="0" borderId="0" xfId="3" applyNumberFormat="1" applyFont="1" applyBorder="1"/>
    <xf numFmtId="37" fontId="80" fillId="0" borderId="0" xfId="628" applyFont="1" applyFill="1"/>
    <xf numFmtId="164" fontId="0" fillId="0" borderId="0" xfId="0" applyNumberFormat="1" applyFont="1"/>
    <xf numFmtId="164" fontId="80" fillId="0" borderId="0" xfId="2" applyNumberFormat="1" applyFont="1" applyFill="1" applyBorder="1" applyAlignment="1">
      <alignment horizontal="right"/>
    </xf>
    <xf numFmtId="164" fontId="80" fillId="0" borderId="0" xfId="2" applyNumberFormat="1" applyFont="1" applyFill="1"/>
    <xf numFmtId="37" fontId="80" fillId="0" borderId="0" xfId="628" applyFont="1" applyFill="1" applyAlignment="1">
      <alignment horizontal="right"/>
    </xf>
    <xf numFmtId="164" fontId="1" fillId="0" borderId="0" xfId="2" applyNumberFormat="1" applyFont="1" applyBorder="1"/>
    <xf numFmtId="164" fontId="80" fillId="0" borderId="36" xfId="2" applyNumberFormat="1" applyFont="1" applyFill="1" applyBorder="1"/>
    <xf numFmtId="165" fontId="0" fillId="0" borderId="0" xfId="0" applyNumberFormat="1" applyFont="1" applyBorder="1"/>
    <xf numFmtId="165" fontId="80" fillId="0" borderId="0" xfId="1" applyNumberFormat="1" applyFont="1" applyFill="1"/>
    <xf numFmtId="164" fontId="80" fillId="0" borderId="0" xfId="1" applyNumberFormat="1" applyFont="1" applyFill="1"/>
    <xf numFmtId="1" fontId="80" fillId="0" borderId="0" xfId="628" applyNumberFormat="1" applyFont="1" applyFill="1" applyBorder="1"/>
    <xf numFmtId="165" fontId="80" fillId="0" borderId="0" xfId="1" applyNumberFormat="1" applyFont="1" applyFill="1" applyBorder="1"/>
    <xf numFmtId="10" fontId="0" fillId="0" borderId="0" xfId="0" applyNumberFormat="1" applyFont="1" applyBorder="1"/>
    <xf numFmtId="14" fontId="79" fillId="0" borderId="0" xfId="0" applyNumberFormat="1" applyFont="1" applyAlignment="1">
      <alignment horizontal="center"/>
    </xf>
    <xf numFmtId="0" fontId="81" fillId="0" borderId="0" xfId="630" applyFont="1" applyFill="1" applyBorder="1" applyAlignment="1">
      <alignment horizontal="center" wrapText="1"/>
    </xf>
    <xf numFmtId="0" fontId="81" fillId="0" borderId="12" xfId="630" applyFont="1" applyFill="1" applyBorder="1" applyAlignment="1">
      <alignment horizontal="center" wrapText="1"/>
    </xf>
    <xf numFmtId="0" fontId="1" fillId="0" borderId="0" xfId="0" applyFont="1"/>
    <xf numFmtId="0" fontId="79" fillId="0" borderId="0" xfId="0" applyFont="1" applyAlignment="1">
      <alignment horizontal="center"/>
    </xf>
    <xf numFmtId="49" fontId="79" fillId="0" borderId="0" xfId="0" applyNumberFormat="1" applyFont="1" applyAlignment="1">
      <alignment horizontal="center"/>
    </xf>
    <xf numFmtId="0" fontId="81" fillId="0" borderId="0" xfId="0" applyFont="1"/>
    <xf numFmtId="0" fontId="79" fillId="0" borderId="0" xfId="0" quotePrefix="1" applyFont="1" applyAlignment="1">
      <alignment horizontal="center"/>
    </xf>
    <xf numFmtId="0" fontId="80" fillId="0" borderId="0" xfId="0" applyFont="1" applyAlignment="1">
      <alignment horizontal="center"/>
    </xf>
    <xf numFmtId="0" fontId="80" fillId="0" borderId="0" xfId="0" applyFont="1"/>
    <xf numFmtId="0" fontId="79" fillId="0" borderId="0" xfId="0" applyFont="1"/>
    <xf numFmtId="0" fontId="81" fillId="47" borderId="0" xfId="0" applyFont="1" applyFill="1"/>
    <xf numFmtId="0" fontId="0" fillId="47" borderId="0" xfId="0" applyFont="1" applyFill="1"/>
    <xf numFmtId="0" fontId="79" fillId="7" borderId="37" xfId="0" applyFont="1" applyFill="1" applyBorder="1"/>
    <xf numFmtId="0" fontId="0" fillId="7" borderId="38" xfId="0" applyFont="1" applyFill="1" applyBorder="1"/>
    <xf numFmtId="0" fontId="0" fillId="7" borderId="39" xfId="0" applyFont="1" applyFill="1" applyBorder="1"/>
    <xf numFmtId="0" fontId="0" fillId="0" borderId="0" xfId="0" applyFont="1" applyFill="1"/>
    <xf numFmtId="0" fontId="79" fillId="7" borderId="40" xfId="0" applyFont="1" applyFill="1" applyBorder="1"/>
    <xf numFmtId="0" fontId="79" fillId="7" borderId="0" xfId="0" applyFont="1" applyFill="1" applyBorder="1" applyAlignment="1">
      <alignment horizontal="center"/>
    </xf>
    <xf numFmtId="0" fontId="79" fillId="7" borderId="41" xfId="0" applyFont="1" applyFill="1" applyBorder="1" applyAlignment="1">
      <alignment horizontal="center"/>
    </xf>
    <xf numFmtId="0" fontId="79" fillId="0" borderId="0" xfId="0" applyFont="1" applyFill="1" applyAlignment="1">
      <alignment horizontal="center"/>
    </xf>
    <xf numFmtId="0" fontId="79" fillId="0" borderId="40" xfId="0" applyFont="1" applyFill="1" applyBorder="1"/>
    <xf numFmtId="0" fontId="82" fillId="0" borderId="0" xfId="0" applyFont="1" applyBorder="1"/>
    <xf numFmtId="0" fontId="0" fillId="0" borderId="41" xfId="0" applyFont="1" applyBorder="1"/>
    <xf numFmtId="0" fontId="79" fillId="0" borderId="40" xfId="0" applyFont="1" applyBorder="1"/>
    <xf numFmtId="3" fontId="0" fillId="0" borderId="0" xfId="0" applyNumberFormat="1" applyFont="1" applyFill="1" applyBorder="1"/>
    <xf numFmtId="3" fontId="0" fillId="0" borderId="0" xfId="0" applyNumberFormat="1" applyFont="1" applyBorder="1"/>
    <xf numFmtId="3" fontId="0" fillId="0" borderId="0" xfId="0" applyNumberFormat="1" applyFont="1" applyFill="1"/>
    <xf numFmtId="10" fontId="0" fillId="0" borderId="41" xfId="0" applyNumberFormat="1" applyFont="1" applyBorder="1"/>
    <xf numFmtId="10" fontId="0" fillId="0" borderId="0" xfId="0" applyNumberFormat="1" applyFont="1" applyFill="1"/>
    <xf numFmtId="0" fontId="0" fillId="3" borderId="0" xfId="0" applyFont="1" applyFill="1"/>
    <xf numFmtId="3" fontId="0" fillId="0" borderId="12" xfId="0" applyNumberFormat="1" applyFont="1" applyFill="1" applyBorder="1"/>
    <xf numFmtId="3" fontId="0" fillId="0" borderId="12" xfId="0" applyNumberFormat="1" applyFont="1" applyBorder="1"/>
    <xf numFmtId="3" fontId="79" fillId="0" borderId="0" xfId="0" applyNumberFormat="1" applyFont="1" applyBorder="1"/>
    <xf numFmtId="0" fontId="79" fillId="0" borderId="42" xfId="0" applyFont="1" applyBorder="1"/>
    <xf numFmtId="10" fontId="0" fillId="50" borderId="29" xfId="0" applyNumberFormat="1" applyFont="1" applyFill="1" applyBorder="1" applyAlignment="1">
      <alignment horizontal="right"/>
    </xf>
    <xf numFmtId="10" fontId="0" fillId="0" borderId="29" xfId="0" applyNumberFormat="1" applyFont="1" applyBorder="1"/>
    <xf numFmtId="0" fontId="0" fillId="0" borderId="29" xfId="0" applyFont="1" applyBorder="1"/>
    <xf numFmtId="0" fontId="0" fillId="0" borderId="43" xfId="0" applyFont="1" applyBorder="1"/>
    <xf numFmtId="0" fontId="79" fillId="0" borderId="0" xfId="0" applyFont="1" applyBorder="1"/>
    <xf numFmtId="0" fontId="0" fillId="7" borderId="41" xfId="0" applyFont="1" applyFill="1" applyBorder="1"/>
    <xf numFmtId="0" fontId="82" fillId="0" borderId="40" xfId="0" applyFont="1" applyBorder="1"/>
    <xf numFmtId="0" fontId="0" fillId="0" borderId="40" xfId="0" applyFont="1" applyBorder="1"/>
    <xf numFmtId="0" fontId="0" fillId="0" borderId="29" xfId="0" applyFont="1" applyBorder="1" applyAlignment="1">
      <alignment horizontal="center"/>
    </xf>
    <xf numFmtId="3" fontId="0" fillId="0" borderId="41" xfId="0" applyNumberFormat="1" applyFont="1" applyBorder="1"/>
    <xf numFmtId="165" fontId="0" fillId="0" borderId="0" xfId="1" applyNumberFormat="1" applyFont="1"/>
    <xf numFmtId="9" fontId="0" fillId="0" borderId="0" xfId="3" applyFont="1"/>
    <xf numFmtId="3" fontId="81" fillId="40" borderId="47" xfId="0" applyNumberFormat="1" applyFont="1" applyFill="1" applyBorder="1"/>
    <xf numFmtId="3" fontId="80" fillId="40" borderId="48" xfId="0" applyNumberFormat="1" applyFont="1" applyFill="1" applyBorder="1"/>
    <xf numFmtId="3" fontId="80" fillId="40" borderId="49" xfId="0" applyNumberFormat="1" applyFont="1" applyFill="1" applyBorder="1"/>
    <xf numFmtId="3" fontId="80" fillId="0" borderId="0" xfId="0" applyNumberFormat="1" applyFont="1" applyFill="1" applyBorder="1"/>
    <xf numFmtId="3" fontId="0" fillId="0" borderId="0" xfId="0" applyNumberFormat="1" applyFont="1"/>
    <xf numFmtId="3" fontId="81" fillId="0" borderId="40" xfId="0" applyNumberFormat="1" applyFont="1" applyBorder="1"/>
    <xf numFmtId="0" fontId="81" fillId="0" borderId="0" xfId="0" applyFont="1" applyBorder="1" applyAlignment="1">
      <alignment horizontal="center"/>
    </xf>
    <xf numFmtId="4" fontId="81" fillId="0" borderId="0" xfId="0" applyNumberFormat="1" applyFont="1" applyBorder="1" applyAlignment="1">
      <alignment horizontal="center"/>
    </xf>
    <xf numFmtId="4" fontId="81" fillId="0" borderId="41" xfId="0" applyNumberFormat="1" applyFont="1" applyBorder="1" applyAlignment="1">
      <alignment horizontal="center"/>
    </xf>
    <xf numFmtId="3" fontId="80" fillId="0" borderId="40" xfId="0" applyNumberFormat="1" applyFont="1" applyBorder="1"/>
    <xf numFmtId="174" fontId="80" fillId="0" borderId="0" xfId="0" applyNumberFormat="1" applyFont="1" applyBorder="1"/>
    <xf numFmtId="10" fontId="80" fillId="0" borderId="0" xfId="0" applyNumberFormat="1" applyFont="1" applyFill="1" applyBorder="1"/>
    <xf numFmtId="0" fontId="80" fillId="0" borderId="40" xfId="0" applyFont="1" applyBorder="1"/>
    <xf numFmtId="4" fontId="80" fillId="0" borderId="41" xfId="0" applyNumberFormat="1" applyFont="1" applyBorder="1"/>
    <xf numFmtId="4" fontId="80" fillId="0" borderId="0" xfId="0" applyNumberFormat="1" applyFont="1" applyBorder="1"/>
    <xf numFmtId="0" fontId="81" fillId="0" borderId="40" xfId="0" applyFont="1" applyBorder="1"/>
    <xf numFmtId="174" fontId="81" fillId="0" borderId="0" xfId="0" applyNumberFormat="1" applyFont="1" applyBorder="1"/>
    <xf numFmtId="10" fontId="80" fillId="0" borderId="0" xfId="0" applyNumberFormat="1" applyFont="1" applyBorder="1"/>
    <xf numFmtId="10" fontId="80" fillId="0" borderId="41" xfId="0" applyNumberFormat="1" applyFont="1" applyBorder="1"/>
    <xf numFmtId="0" fontId="80" fillId="0" borderId="42" xfId="0" applyFont="1" applyBorder="1"/>
    <xf numFmtId="10" fontId="80" fillId="0" borderId="29" xfId="0" applyNumberFormat="1" applyFont="1" applyBorder="1"/>
    <xf numFmtId="10" fontId="80" fillId="0" borderId="43" xfId="0" applyNumberFormat="1" applyFont="1" applyBorder="1"/>
    <xf numFmtId="0" fontId="80" fillId="0" borderId="0" xfId="0" applyFont="1" applyBorder="1"/>
    <xf numFmtId="0" fontId="0" fillId="0" borderId="42" xfId="0" applyFont="1" applyBorder="1"/>
    <xf numFmtId="3" fontId="0" fillId="0" borderId="29" xfId="0" applyNumberFormat="1" applyFont="1" applyBorder="1"/>
    <xf numFmtId="0" fontId="79" fillId="47" borderId="0" xfId="0" applyFont="1" applyFill="1"/>
    <xf numFmtId="3" fontId="0" fillId="47" borderId="0" xfId="0" applyNumberFormat="1" applyFont="1" applyFill="1"/>
    <xf numFmtId="3" fontId="0" fillId="7" borderId="38" xfId="0" applyNumberFormat="1" applyFont="1" applyFill="1" applyBorder="1"/>
    <xf numFmtId="3" fontId="0" fillId="7" borderId="39" xfId="0" applyNumberFormat="1" applyFont="1" applyFill="1" applyBorder="1"/>
    <xf numFmtId="10" fontId="0" fillId="0" borderId="41" xfId="3" applyNumberFormat="1" applyFont="1" applyBorder="1"/>
    <xf numFmtId="10" fontId="79" fillId="0" borderId="0" xfId="3" applyNumberFormat="1" applyFont="1" applyBorder="1"/>
    <xf numFmtId="3" fontId="0" fillId="0" borderId="43" xfId="0" applyNumberFormat="1" applyFont="1" applyBorder="1"/>
    <xf numFmtId="4" fontId="0" fillId="0" borderId="0" xfId="0" applyNumberFormat="1" applyFont="1" applyBorder="1"/>
    <xf numFmtId="4" fontId="79" fillId="0" borderId="0" xfId="0" applyNumberFormat="1" applyFont="1" applyBorder="1"/>
    <xf numFmtId="10" fontId="79" fillId="0" borderId="0" xfId="0" applyNumberFormat="1" applyFont="1" applyBorder="1"/>
    <xf numFmtId="4" fontId="0" fillId="0" borderId="29" xfId="0" applyNumberFormat="1" applyFont="1" applyBorder="1"/>
    <xf numFmtId="0" fontId="0" fillId="0" borderId="0" xfId="0" applyFill="1"/>
    <xf numFmtId="0" fontId="88" fillId="0" borderId="0" xfId="0" applyFont="1"/>
    <xf numFmtId="0" fontId="89" fillId="3" borderId="0" xfId="0" applyFont="1" applyFill="1"/>
    <xf numFmtId="1" fontId="88" fillId="0" borderId="0" xfId="0" applyNumberFormat="1" applyFont="1"/>
    <xf numFmtId="0" fontId="90" fillId="6" borderId="0" xfId="0" applyFont="1" applyFill="1"/>
    <xf numFmtId="0" fontId="89" fillId="6" borderId="0" xfId="0" applyFont="1" applyFill="1"/>
    <xf numFmtId="0" fontId="91" fillId="7" borderId="0" xfId="0" applyFont="1" applyFill="1"/>
    <xf numFmtId="0" fontId="89" fillId="7" borderId="0" xfId="0" applyFont="1" applyFill="1"/>
    <xf numFmtId="0" fontId="92" fillId="8" borderId="0" xfId="4" applyFont="1" applyFill="1"/>
    <xf numFmtId="3" fontId="92" fillId="8" borderId="0" xfId="4" applyNumberFormat="1" applyFont="1" applyFill="1"/>
    <xf numFmtId="0" fontId="92" fillId="8" borderId="0" xfId="0" applyFont="1" applyFill="1"/>
    <xf numFmtId="0" fontId="93" fillId="3" borderId="0" xfId="4" applyFont="1" applyFill="1"/>
    <xf numFmtId="3" fontId="93" fillId="0" borderId="0" xfId="4" applyNumberFormat="1" applyFont="1" applyFill="1"/>
    <xf numFmtId="3" fontId="94" fillId="3" borderId="0" xfId="4" applyNumberFormat="1" applyFont="1" applyFill="1"/>
    <xf numFmtId="3" fontId="93" fillId="3" borderId="0" xfId="4" applyNumberFormat="1" applyFont="1" applyFill="1"/>
    <xf numFmtId="3" fontId="91" fillId="3" borderId="7" xfId="4" applyNumberFormat="1" applyFont="1" applyFill="1" applyBorder="1"/>
    <xf numFmtId="0" fontId="95" fillId="8" borderId="0" xfId="0" applyFont="1" applyFill="1"/>
    <xf numFmtId="3" fontId="91" fillId="3" borderId="0" xfId="4" applyNumberFormat="1" applyFont="1" applyFill="1"/>
    <xf numFmtId="0" fontId="85" fillId="3" borderId="0" xfId="0" applyFont="1" applyFill="1" applyAlignment="1">
      <alignment horizontal="right"/>
    </xf>
    <xf numFmtId="3" fontId="85" fillId="3" borderId="8" xfId="0" applyNumberFormat="1" applyFont="1" applyFill="1" applyBorder="1"/>
    <xf numFmtId="0" fontId="85" fillId="3" borderId="0" xfId="0" applyFont="1" applyFill="1"/>
    <xf numFmtId="0" fontId="97" fillId="6" borderId="0" xfId="0" applyFont="1" applyFill="1"/>
    <xf numFmtId="0" fontId="85" fillId="7" borderId="0" xfId="0" applyFont="1" applyFill="1"/>
    <xf numFmtId="0" fontId="95" fillId="8" borderId="0" xfId="0" applyFont="1" applyFill="1" applyAlignment="1">
      <alignment horizontal="center"/>
    </xf>
    <xf numFmtId="0" fontId="98" fillId="8" borderId="0" xfId="0" applyFont="1" applyFill="1" applyAlignment="1">
      <alignment horizontal="center"/>
    </xf>
    <xf numFmtId="3" fontId="89" fillId="3" borderId="0" xfId="0" applyNumberFormat="1" applyFont="1" applyFill="1"/>
    <xf numFmtId="176" fontId="89" fillId="0" borderId="0" xfId="0" applyNumberFormat="1" applyFont="1" applyFill="1"/>
    <xf numFmtId="177" fontId="85" fillId="3" borderId="0" xfId="0" applyNumberFormat="1" applyFont="1" applyFill="1" applyBorder="1"/>
    <xf numFmtId="0" fontId="89" fillId="3" borderId="0" xfId="0" applyFont="1" applyFill="1" applyAlignment="1">
      <alignment horizontal="right"/>
    </xf>
    <xf numFmtId="176" fontId="85" fillId="3" borderId="8" xfId="0" applyNumberFormat="1" applyFont="1" applyFill="1" applyBorder="1"/>
    <xf numFmtId="177" fontId="89" fillId="3" borderId="0" xfId="0" applyNumberFormat="1" applyFont="1" applyFill="1" applyBorder="1"/>
    <xf numFmtId="0" fontId="94" fillId="3" borderId="0" xfId="0" quotePrefix="1" applyFont="1" applyFill="1" applyAlignment="1">
      <alignment horizontal="left"/>
    </xf>
    <xf numFmtId="0" fontId="91" fillId="3" borderId="0" xfId="4" applyFont="1" applyFill="1"/>
    <xf numFmtId="9" fontId="89" fillId="3" borderId="0" xfId="3" applyFont="1" applyFill="1"/>
    <xf numFmtId="0" fontId="99" fillId="6" borderId="0" xfId="4" applyFont="1" applyFill="1"/>
    <xf numFmtId="0" fontId="99" fillId="6" borderId="0" xfId="0" applyFont="1" applyFill="1"/>
    <xf numFmtId="0" fontId="100" fillId="0" borderId="0" xfId="0" applyFont="1"/>
    <xf numFmtId="10" fontId="89" fillId="3" borderId="0" xfId="3" applyNumberFormat="1" applyFont="1" applyFill="1"/>
    <xf numFmtId="177" fontId="85" fillId="3" borderId="0" xfId="0" applyNumberFormat="1" applyFont="1" applyFill="1"/>
    <xf numFmtId="37" fontId="89" fillId="3" borderId="0" xfId="0" applyNumberFormat="1" applyFont="1" applyFill="1"/>
    <xf numFmtId="0" fontId="71" fillId="0" borderId="0" xfId="7" applyNumberFormat="1" applyFont="1"/>
    <xf numFmtId="0" fontId="3" fillId="52" borderId="0" xfId="381" applyFill="1" applyAlignment="1">
      <alignment horizontal="left"/>
    </xf>
    <xf numFmtId="165" fontId="0" fillId="52" borderId="0" xfId="6" applyNumberFormat="1" applyFont="1" applyFill="1"/>
    <xf numFmtId="10" fontId="0" fillId="52" borderId="0" xfId="561" applyNumberFormat="1" applyFont="1" applyFill="1"/>
    <xf numFmtId="165" fontId="22" fillId="43" borderId="36" xfId="6" applyNumberFormat="1" applyFont="1" applyFill="1" applyBorder="1"/>
    <xf numFmtId="9" fontId="3" fillId="0" borderId="0" xfId="3" applyFont="1" applyFill="1"/>
    <xf numFmtId="43" fontId="0" fillId="0" borderId="0" xfId="1" applyFont="1" applyBorder="1"/>
    <xf numFmtId="10" fontId="0" fillId="49" borderId="0" xfId="3" applyNumberFormat="1" applyFont="1" applyFill="1"/>
    <xf numFmtId="0" fontId="0" fillId="49" borderId="0" xfId="0" applyFont="1" applyFill="1"/>
    <xf numFmtId="10" fontId="0" fillId="49" borderId="0" xfId="0" applyNumberFormat="1" applyFont="1" applyFill="1"/>
    <xf numFmtId="10" fontId="0" fillId="49" borderId="0" xfId="0" applyNumberFormat="1" applyFont="1" applyFill="1" applyBorder="1"/>
    <xf numFmtId="3" fontId="0" fillId="3" borderId="0" xfId="0" applyNumberFormat="1" applyFont="1" applyFill="1" applyBorder="1"/>
    <xf numFmtId="10" fontId="0" fillId="49" borderId="41" xfId="0" applyNumberFormat="1" applyFont="1" applyFill="1" applyBorder="1"/>
    <xf numFmtId="4" fontId="102" fillId="3" borderId="0" xfId="636" applyNumberFormat="1" applyFont="1" applyFill="1" applyBorder="1"/>
    <xf numFmtId="166" fontId="102" fillId="3" borderId="0" xfId="636" applyFont="1" applyFill="1" applyBorder="1"/>
    <xf numFmtId="166" fontId="105" fillId="3" borderId="0" xfId="636" applyFont="1" applyFill="1" applyBorder="1"/>
    <xf numFmtId="2" fontId="102" fillId="3" borderId="0" xfId="636" applyNumberFormat="1" applyFont="1" applyFill="1" applyBorder="1"/>
    <xf numFmtId="10" fontId="105" fillId="3" borderId="0" xfId="636" applyNumberFormat="1" applyFont="1" applyFill="1" applyBorder="1"/>
    <xf numFmtId="4" fontId="102" fillId="3" borderId="0" xfId="636" applyNumberFormat="1" applyFont="1" applyFill="1" applyBorder="1" applyAlignment="1">
      <alignment horizontal="center"/>
    </xf>
    <xf numFmtId="10" fontId="105" fillId="3" borderId="0" xfId="3" applyNumberFormat="1" applyFont="1" applyFill="1" applyBorder="1"/>
    <xf numFmtId="4" fontId="105" fillId="3" borderId="0" xfId="637" applyNumberFormat="1" applyFont="1" applyFill="1" applyBorder="1" applyAlignment="1"/>
    <xf numFmtId="4" fontId="102" fillId="3" borderId="0" xfId="636" quotePrefix="1" applyNumberFormat="1" applyFont="1" applyFill="1" applyBorder="1" applyAlignment="1">
      <alignment horizontal="center"/>
    </xf>
    <xf numFmtId="2" fontId="102" fillId="3" borderId="0" xfId="636" applyNumberFormat="1" applyFont="1" applyFill="1" applyBorder="1" applyAlignment="1">
      <alignment horizontal="right"/>
    </xf>
    <xf numFmtId="4" fontId="102" fillId="54" borderId="0" xfId="637" applyNumberFormat="1" applyFont="1" applyFill="1" applyBorder="1" applyAlignment="1"/>
    <xf numFmtId="14" fontId="107" fillId="54" borderId="0" xfId="636" applyNumberFormat="1" applyFont="1" applyFill="1" applyBorder="1" applyAlignment="1">
      <alignment horizontal="center"/>
    </xf>
    <xf numFmtId="166" fontId="107" fillId="54" borderId="0" xfId="636" applyFont="1" applyFill="1" applyBorder="1"/>
    <xf numFmtId="2" fontId="107" fillId="54" borderId="0" xfId="636" applyNumberFormat="1" applyFont="1" applyFill="1" applyBorder="1" applyAlignment="1">
      <alignment horizontal="right"/>
    </xf>
    <xf numFmtId="2" fontId="107" fillId="54" borderId="0" xfId="636" applyNumberFormat="1" applyFont="1" applyFill="1" applyBorder="1"/>
    <xf numFmtId="2" fontId="107" fillId="54" borderId="0" xfId="636" applyNumberFormat="1" applyFont="1" applyFill="1" applyBorder="1" applyAlignment="1">
      <alignment horizontal="center"/>
    </xf>
    <xf numFmtId="0" fontId="102" fillId="54" borderId="0" xfId="637" applyFont="1" applyFill="1" applyBorder="1" applyAlignment="1">
      <alignment horizontal="center"/>
    </xf>
    <xf numFmtId="4" fontId="107" fillId="54" borderId="0" xfId="636" applyNumberFormat="1" applyFont="1" applyFill="1" applyBorder="1" applyAlignment="1">
      <alignment horizontal="center"/>
    </xf>
    <xf numFmtId="43" fontId="105" fillId="54" borderId="0" xfId="637" applyNumberFormat="1" applyFont="1" applyFill="1" applyBorder="1"/>
    <xf numFmtId="43" fontId="105" fillId="7" borderId="0" xfId="637" applyNumberFormat="1" applyFont="1" applyFill="1" applyBorder="1"/>
    <xf numFmtId="4" fontId="105" fillId="7" borderId="0" xfId="636" applyNumberFormat="1" applyFont="1" applyFill="1" applyBorder="1" applyAlignment="1">
      <alignment horizontal="center"/>
    </xf>
    <xf numFmtId="166" fontId="105" fillId="7" borderId="0" xfId="636" applyFont="1" applyFill="1" applyBorder="1"/>
    <xf numFmtId="2" fontId="105" fillId="7" borderId="0" xfId="636" applyNumberFormat="1" applyFont="1" applyFill="1" applyBorder="1" applyAlignment="1">
      <alignment horizontal="right"/>
    </xf>
    <xf numFmtId="2" fontId="105" fillId="7" borderId="0" xfId="636" applyNumberFormat="1" applyFont="1" applyFill="1" applyBorder="1" applyAlignment="1">
      <alignment horizontal="center"/>
    </xf>
    <xf numFmtId="4" fontId="102" fillId="7" borderId="0" xfId="636" applyNumberFormat="1" applyFont="1" applyFill="1" applyBorder="1"/>
    <xf numFmtId="43" fontId="102" fillId="3" borderId="0" xfId="637" applyNumberFormat="1" applyFont="1" applyFill="1" applyBorder="1"/>
    <xf numFmtId="4" fontId="102" fillId="3" borderId="0" xfId="636" applyNumberFormat="1" applyFont="1" applyFill="1" applyBorder="1" applyAlignment="1">
      <alignment horizontal="right"/>
    </xf>
    <xf numFmtId="2" fontId="105" fillId="3" borderId="0" xfId="636" applyNumberFormat="1" applyFont="1" applyFill="1" applyBorder="1" applyAlignment="1">
      <alignment horizontal="center"/>
    </xf>
    <xf numFmtId="43" fontId="105" fillId="3" borderId="0" xfId="637" applyNumberFormat="1" applyFont="1" applyFill="1" applyBorder="1"/>
    <xf numFmtId="4" fontId="105" fillId="3" borderId="0" xfId="636" applyNumberFormat="1" applyFont="1" applyFill="1" applyBorder="1" applyAlignment="1">
      <alignment horizontal="center"/>
    </xf>
    <xf numFmtId="2" fontId="105" fillId="3" borderId="0" xfId="636" applyNumberFormat="1" applyFont="1" applyFill="1" applyBorder="1" applyAlignment="1">
      <alignment horizontal="right"/>
    </xf>
    <xf numFmtId="4" fontId="102" fillId="7" borderId="0" xfId="636" applyNumberFormat="1" applyFont="1" applyFill="1" applyBorder="1" applyAlignment="1">
      <alignment horizontal="right"/>
    </xf>
    <xf numFmtId="166" fontId="102" fillId="3" borderId="0" xfId="636" applyFont="1" applyFill="1" applyBorder="1" applyAlignment="1">
      <alignment horizontal="right"/>
    </xf>
    <xf numFmtId="166" fontId="102" fillId="7" borderId="0" xfId="636" applyFont="1" applyFill="1" applyBorder="1" applyAlignment="1">
      <alignment horizontal="right"/>
    </xf>
    <xf numFmtId="2" fontId="102" fillId="7" borderId="0" xfId="636" applyNumberFormat="1" applyFont="1" applyFill="1" applyBorder="1" applyAlignment="1">
      <alignment horizontal="right"/>
    </xf>
    <xf numFmtId="4" fontId="105" fillId="3" borderId="0" xfId="636" applyNumberFormat="1" applyFont="1" applyFill="1" applyBorder="1" applyAlignment="1">
      <alignment horizontal="right"/>
    </xf>
    <xf numFmtId="166" fontId="105" fillId="3" borderId="0" xfId="636" applyFont="1" applyFill="1" applyBorder="1" applyAlignment="1">
      <alignment horizontal="right"/>
    </xf>
    <xf numFmtId="4" fontId="105" fillId="3" borderId="0" xfId="636" applyNumberFormat="1" applyFont="1" applyFill="1" applyBorder="1"/>
    <xf numFmtId="43" fontId="105" fillId="3" borderId="0" xfId="636" applyNumberFormat="1" applyFont="1" applyFill="1" applyBorder="1" applyAlignment="1">
      <alignment horizontal="right"/>
    </xf>
    <xf numFmtId="4" fontId="108" fillId="3" borderId="0" xfId="636" applyNumberFormat="1" applyFont="1" applyFill="1" applyBorder="1"/>
    <xf numFmtId="168" fontId="102" fillId="3" borderId="0" xfId="3" applyNumberFormat="1" applyFont="1" applyFill="1" applyBorder="1"/>
    <xf numFmtId="166" fontId="102" fillId="7" borderId="0" xfId="636" applyFont="1" applyFill="1" applyBorder="1"/>
    <xf numFmtId="2" fontId="102" fillId="7" borderId="0" xfId="636" applyNumberFormat="1" applyFont="1" applyFill="1" applyBorder="1"/>
    <xf numFmtId="2" fontId="105" fillId="3" borderId="0" xfId="636" applyNumberFormat="1" applyFont="1" applyFill="1" applyBorder="1"/>
    <xf numFmtId="166" fontId="109" fillId="3" borderId="0" xfId="636" applyFont="1" applyFill="1" applyBorder="1"/>
    <xf numFmtId="4" fontId="109" fillId="3" borderId="0" xfId="636" applyNumberFormat="1" applyFont="1" applyFill="1" applyBorder="1"/>
    <xf numFmtId="2" fontId="109" fillId="3" borderId="0" xfId="636" applyNumberFormat="1" applyFont="1" applyFill="1" applyBorder="1" applyAlignment="1">
      <alignment horizontal="right"/>
    </xf>
    <xf numFmtId="2" fontId="109" fillId="3" borderId="0" xfId="636" applyNumberFormat="1" applyFont="1" applyFill="1" applyBorder="1"/>
    <xf numFmtId="4" fontId="102" fillId="0" borderId="0" xfId="636" applyNumberFormat="1" applyFont="1" applyFill="1" applyBorder="1"/>
    <xf numFmtId="2" fontId="102" fillId="7" borderId="0" xfId="636" applyNumberFormat="1" applyFont="1" applyFill="1" applyBorder="1" applyAlignment="1">
      <alignment horizontal="center"/>
    </xf>
    <xf numFmtId="2" fontId="102" fillId="3" borderId="0" xfId="636" applyNumberFormat="1" applyFont="1" applyFill="1" applyBorder="1" applyAlignment="1">
      <alignment horizontal="center"/>
    </xf>
    <xf numFmtId="4" fontId="110" fillId="3" borderId="0" xfId="636" applyNumberFormat="1" applyFont="1" applyFill="1" applyBorder="1"/>
    <xf numFmtId="43" fontId="111" fillId="3" borderId="0" xfId="637" applyNumberFormat="1" applyFont="1" applyFill="1" applyBorder="1"/>
    <xf numFmtId="166" fontId="110" fillId="3" borderId="0" xfId="636" applyFont="1" applyFill="1" applyBorder="1"/>
    <xf numFmtId="2" fontId="110" fillId="3" borderId="0" xfId="636" applyNumberFormat="1" applyFont="1" applyFill="1" applyBorder="1" applyAlignment="1">
      <alignment horizontal="right"/>
    </xf>
    <xf numFmtId="2" fontId="110" fillId="3" borderId="0" xfId="636" applyNumberFormat="1" applyFont="1" applyFill="1" applyBorder="1"/>
    <xf numFmtId="166" fontId="112" fillId="3" borderId="0" xfId="636" applyFont="1" applyFill="1" applyBorder="1"/>
    <xf numFmtId="43" fontId="113" fillId="3" borderId="0" xfId="637" applyNumberFormat="1" applyFont="1" applyFill="1" applyBorder="1"/>
    <xf numFmtId="43" fontId="111" fillId="3" borderId="0" xfId="637" applyNumberFormat="1" applyFont="1" applyFill="1" applyBorder="1" applyAlignment="1">
      <alignment horizontal="left"/>
    </xf>
    <xf numFmtId="4" fontId="111" fillId="3" borderId="0" xfId="637" applyNumberFormat="1" applyFont="1" applyFill="1" applyBorder="1" applyAlignment="1"/>
    <xf numFmtId="43" fontId="114" fillId="3" borderId="0" xfId="637" applyNumberFormat="1" applyFont="1" applyFill="1" applyBorder="1"/>
    <xf numFmtId="4" fontId="114" fillId="3" borderId="0" xfId="637" applyNumberFormat="1" applyFont="1" applyFill="1" applyBorder="1" applyAlignment="1"/>
    <xf numFmtId="4" fontId="115" fillId="3" borderId="0" xfId="637" applyNumberFormat="1" applyFont="1" applyFill="1" applyBorder="1" applyAlignment="1"/>
    <xf numFmtId="43" fontId="115" fillId="3" borderId="0" xfId="637" applyNumberFormat="1" applyFont="1" applyFill="1" applyBorder="1"/>
    <xf numFmtId="43" fontId="114" fillId="3" borderId="0" xfId="637" applyNumberFormat="1" applyFont="1" applyFill="1" applyBorder="1" applyAlignment="1">
      <alignment horizontal="left"/>
    </xf>
    <xf numFmtId="0" fontId="4" fillId="3" borderId="0" xfId="637" applyFont="1" applyFill="1" applyBorder="1"/>
    <xf numFmtId="0" fontId="5" fillId="3" borderId="0" xfId="637" applyFont="1" applyFill="1" applyBorder="1"/>
    <xf numFmtId="1" fontId="88" fillId="3" borderId="0" xfId="0" applyNumberFormat="1" applyFont="1" applyFill="1"/>
    <xf numFmtId="1" fontId="106" fillId="3" borderId="0" xfId="633" applyNumberFormat="1" applyFont="1" applyFill="1"/>
    <xf numFmtId="0" fontId="80" fillId="0" borderId="0" xfId="0" quotePrefix="1" applyFont="1"/>
    <xf numFmtId="0" fontId="80" fillId="55" borderId="0" xfId="0" applyFont="1" applyFill="1" applyAlignment="1">
      <alignment horizontal="left"/>
    </xf>
    <xf numFmtId="37" fontId="87" fillId="0" borderId="0" xfId="630" applyNumberFormat="1" applyFont="1" applyFill="1"/>
    <xf numFmtId="0" fontId="81" fillId="0" borderId="0" xfId="0" applyFont="1" applyAlignment="1">
      <alignment horizontal="center"/>
    </xf>
    <xf numFmtId="0" fontId="116" fillId="0" borderId="0" xfId="0" quotePrefix="1" applyFont="1" applyAlignment="1">
      <alignment horizontal="center"/>
    </xf>
    <xf numFmtId="0" fontId="116" fillId="0" borderId="0" xfId="0" applyFont="1" applyAlignment="1">
      <alignment horizontal="center"/>
    </xf>
    <xf numFmtId="165" fontId="80" fillId="0" borderId="0" xfId="1" applyNumberFormat="1" applyFont="1"/>
    <xf numFmtId="0" fontId="3" fillId="0" borderId="0" xfId="0" applyFont="1" applyFill="1"/>
    <xf numFmtId="0" fontId="3" fillId="0" borderId="0" xfId="0" applyFont="1"/>
    <xf numFmtId="0" fontId="3" fillId="0" borderId="0" xfId="0" applyFont="1" applyAlignment="1">
      <alignment horizontal="left"/>
    </xf>
    <xf numFmtId="164" fontId="80" fillId="0" borderId="0" xfId="2" applyNumberFormat="1" applyFont="1"/>
    <xf numFmtId="164" fontId="80" fillId="0" borderId="29" xfId="2" applyNumberFormat="1" applyFont="1" applyBorder="1"/>
    <xf numFmtId="43" fontId="80" fillId="0" borderId="0" xfId="1" applyFont="1"/>
    <xf numFmtId="0" fontId="80" fillId="55" borderId="0" xfId="0" applyFont="1" applyFill="1"/>
    <xf numFmtId="182" fontId="117" fillId="0" borderId="0" xfId="630" applyNumberFormat="1" applyFont="1" applyFill="1" applyBorder="1" applyAlignment="1">
      <alignment horizontal="center" wrapText="1"/>
    </xf>
    <xf numFmtId="0" fontId="80" fillId="0" borderId="0" xfId="630" applyFont="1" applyFill="1"/>
    <xf numFmtId="0" fontId="80" fillId="0" borderId="0" xfId="630" applyFont="1" applyFill="1" applyBorder="1"/>
    <xf numFmtId="49" fontId="86" fillId="0" borderId="0" xfId="0" applyNumberFormat="1" applyFont="1" applyAlignment="1">
      <alignment horizontal="center"/>
    </xf>
    <xf numFmtId="0" fontId="117" fillId="45" borderId="50" xfId="630" applyFont="1" applyFill="1" applyBorder="1"/>
    <xf numFmtId="0" fontId="80" fillId="0" borderId="0" xfId="630" applyFont="1" applyFill="1" applyAlignment="1">
      <alignment horizontal="left" indent="1"/>
    </xf>
    <xf numFmtId="165" fontId="80" fillId="0" borderId="12" xfId="1" applyNumberFormat="1" applyFont="1" applyFill="1" applyBorder="1"/>
    <xf numFmtId="0" fontId="80" fillId="0" borderId="0" xfId="630" applyFont="1" applyFill="1" applyAlignment="1">
      <alignment horizontal="left" indent="2"/>
    </xf>
    <xf numFmtId="164" fontId="80" fillId="0" borderId="29" xfId="2" applyNumberFormat="1" applyFont="1" applyFill="1" applyBorder="1" applyAlignment="1">
      <alignment horizontal="right"/>
    </xf>
    <xf numFmtId="0" fontId="118" fillId="0" borderId="0" xfId="630" applyFont="1" applyFill="1" applyBorder="1" applyAlignment="1">
      <alignment horizontal="right"/>
    </xf>
    <xf numFmtId="0" fontId="80" fillId="0" borderId="0" xfId="630" applyFont="1" applyFill="1" applyAlignment="1"/>
    <xf numFmtId="0" fontId="80" fillId="0" borderId="0" xfId="630" applyNumberFormat="1" applyFont="1"/>
    <xf numFmtId="0" fontId="3" fillId="0" borderId="0" xfId="638"/>
    <xf numFmtId="0" fontId="80" fillId="0" borderId="0" xfId="635" applyFont="1" applyFill="1"/>
    <xf numFmtId="0" fontId="80" fillId="0" borderId="0" xfId="630" applyFont="1" applyFill="1" applyAlignment="1">
      <alignment horizontal="left" indent="3"/>
    </xf>
    <xf numFmtId="0" fontId="118" fillId="0" borderId="0" xfId="630" applyFont="1" applyFill="1" applyAlignment="1">
      <alignment horizontal="right"/>
    </xf>
    <xf numFmtId="0" fontId="80" fillId="0" borderId="0" xfId="630" applyFont="1" applyFill="1" applyBorder="1" applyAlignment="1">
      <alignment horizontal="right"/>
    </xf>
    <xf numFmtId="0" fontId="80" fillId="0" borderId="0" xfId="630" applyFont="1" applyFill="1" applyAlignment="1">
      <alignment horizontal="left"/>
    </xf>
    <xf numFmtId="183" fontId="80" fillId="0" borderId="0" xfId="2" applyNumberFormat="1" applyFont="1" applyFill="1"/>
    <xf numFmtId="0" fontId="80" fillId="0" borderId="0" xfId="638" applyFont="1"/>
    <xf numFmtId="37" fontId="80" fillId="0" borderId="0" xfId="630" applyNumberFormat="1" applyFont="1" applyFill="1" applyAlignment="1">
      <alignment horizontal="left" indent="1"/>
    </xf>
    <xf numFmtId="37" fontId="80" fillId="0" borderId="0" xfId="630" applyNumberFormat="1" applyFont="1" applyFill="1"/>
    <xf numFmtId="37" fontId="118" fillId="0" borderId="0" xfId="630" applyNumberFormat="1" applyFont="1" applyFill="1" applyBorder="1" applyAlignment="1">
      <alignment horizontal="right"/>
    </xf>
    <xf numFmtId="164" fontId="0" fillId="0" borderId="0" xfId="0" applyNumberFormat="1" applyFont="1" applyBorder="1"/>
    <xf numFmtId="0" fontId="100" fillId="0" borderId="37" xfId="0" applyFont="1" applyBorder="1"/>
    <xf numFmtId="0" fontId="101" fillId="0" borderId="51" xfId="0" applyFont="1" applyBorder="1" applyAlignment="1"/>
    <xf numFmtId="0" fontId="101" fillId="0" borderId="52" xfId="0" applyFont="1" applyBorder="1" applyAlignment="1">
      <alignment horizontal="center"/>
    </xf>
    <xf numFmtId="0" fontId="101" fillId="0" borderId="0" xfId="0" applyFont="1" applyBorder="1" applyAlignment="1"/>
    <xf numFmtId="0" fontId="101" fillId="0" borderId="40" xfId="0" applyFont="1" applyBorder="1" applyAlignment="1">
      <alignment horizontal="right"/>
    </xf>
    <xf numFmtId="164" fontId="100" fillId="0" borderId="0" xfId="2" applyNumberFormat="1" applyFont="1" applyBorder="1"/>
    <xf numFmtId="10" fontId="101" fillId="0" borderId="0" xfId="3" applyNumberFormat="1" applyFont="1" applyBorder="1"/>
    <xf numFmtId="9" fontId="101" fillId="0" borderId="41" xfId="3" applyFont="1" applyBorder="1" applyAlignment="1">
      <alignment horizontal="center"/>
    </xf>
    <xf numFmtId="0" fontId="100" fillId="0" borderId="0" xfId="0" applyFont="1" applyBorder="1"/>
    <xf numFmtId="164" fontId="100" fillId="0" borderId="12" xfId="2" applyNumberFormat="1" applyFont="1" applyBorder="1"/>
    <xf numFmtId="164" fontId="101" fillId="0" borderId="0" xfId="2" applyNumberFormat="1" applyFont="1" applyBorder="1"/>
    <xf numFmtId="0" fontId="100" fillId="0" borderId="41" xfId="0" applyFont="1" applyBorder="1"/>
    <xf numFmtId="0" fontId="100" fillId="0" borderId="42" xfId="0" applyFont="1" applyBorder="1"/>
    <xf numFmtId="0" fontId="100" fillId="0" borderId="29" xfId="0" applyFont="1" applyBorder="1"/>
    <xf numFmtId="0" fontId="100" fillId="0" borderId="43" xfId="0" applyFont="1" applyBorder="1"/>
    <xf numFmtId="0" fontId="0" fillId="0" borderId="37" xfId="0" applyFont="1" applyBorder="1"/>
    <xf numFmtId="0" fontId="101" fillId="0" borderId="38" xfId="0" applyFont="1" applyBorder="1"/>
    <xf numFmtId="0" fontId="0" fillId="0" borderId="39" xfId="0" applyFont="1" applyBorder="1"/>
    <xf numFmtId="42" fontId="100" fillId="0" borderId="0" xfId="0" applyNumberFormat="1" applyFont="1" applyBorder="1"/>
    <xf numFmtId="164" fontId="100" fillId="0" borderId="41" xfId="0" applyNumberFormat="1" applyFont="1" applyBorder="1"/>
    <xf numFmtId="164" fontId="100" fillId="0" borderId="0" xfId="0" applyNumberFormat="1" applyFont="1" applyBorder="1"/>
    <xf numFmtId="0" fontId="100" fillId="0" borderId="40" xfId="0" applyFont="1" applyBorder="1"/>
    <xf numFmtId="0" fontId="101" fillId="0" borderId="42" xfId="0" applyFont="1" applyBorder="1" applyAlignment="1">
      <alignment horizontal="right"/>
    </xf>
    <xf numFmtId="10" fontId="101" fillId="0" borderId="29" xfId="0" applyNumberFormat="1" applyFont="1" applyBorder="1"/>
    <xf numFmtId="10" fontId="101" fillId="0" borderId="43" xfId="574" applyNumberFormat="1" applyFont="1" applyBorder="1"/>
    <xf numFmtId="166" fontId="119" fillId="0" borderId="0" xfId="392" applyFont="1"/>
    <xf numFmtId="166" fontId="119" fillId="0" borderId="0" xfId="392" applyFont="1" applyAlignment="1" applyProtection="1">
      <alignment horizontal="left"/>
    </xf>
    <xf numFmtId="166" fontId="119" fillId="0" borderId="0" xfId="392" applyFont="1" applyAlignment="1" applyProtection="1">
      <alignment horizontal="center"/>
    </xf>
    <xf numFmtId="5" fontId="119" fillId="0" borderId="0" xfId="392" applyNumberFormat="1" applyFont="1" applyProtection="1"/>
    <xf numFmtId="10" fontId="119" fillId="0" borderId="0" xfId="392" applyNumberFormat="1" applyFont="1" applyProtection="1"/>
    <xf numFmtId="37" fontId="119" fillId="0" borderId="0" xfId="392" applyNumberFormat="1" applyFont="1" applyProtection="1"/>
    <xf numFmtId="39" fontId="119" fillId="0" borderId="0" xfId="392" applyNumberFormat="1" applyFont="1" applyProtection="1"/>
    <xf numFmtId="178" fontId="119" fillId="0" borderId="0" xfId="392" applyNumberFormat="1" applyFont="1" applyProtection="1"/>
    <xf numFmtId="166" fontId="119" fillId="0" borderId="0" xfId="392" applyFont="1" applyProtection="1"/>
    <xf numFmtId="179" fontId="119" fillId="0" borderId="0" xfId="392" applyNumberFormat="1" applyFont="1" applyAlignment="1" applyProtection="1">
      <alignment horizontal="left"/>
    </xf>
    <xf numFmtId="166" fontId="119" fillId="0" borderId="0" xfId="392" applyFont="1" applyAlignment="1" applyProtection="1">
      <alignment horizontal="right"/>
    </xf>
    <xf numFmtId="5" fontId="119" fillId="49" borderId="0" xfId="392" applyNumberFormat="1" applyFont="1" applyFill="1" applyProtection="1"/>
    <xf numFmtId="180" fontId="119" fillId="0" borderId="0" xfId="392" applyNumberFormat="1" applyFont="1" applyProtection="1"/>
    <xf numFmtId="173" fontId="119" fillId="0" borderId="0" xfId="392" applyNumberFormat="1" applyFont="1" applyProtection="1"/>
    <xf numFmtId="166" fontId="119" fillId="0" borderId="0" xfId="392" applyFont="1" applyAlignment="1" applyProtection="1">
      <alignment horizontal="fill"/>
    </xf>
    <xf numFmtId="10" fontId="119" fillId="49" borderId="0" xfId="3" applyNumberFormat="1" applyFont="1" applyFill="1" applyProtection="1"/>
    <xf numFmtId="180" fontId="119" fillId="49" borderId="0" xfId="392" applyNumberFormat="1" applyFont="1" applyFill="1" applyProtection="1"/>
    <xf numFmtId="10" fontId="119" fillId="0" borderId="0" xfId="3" applyNumberFormat="1" applyFont="1"/>
    <xf numFmtId="166" fontId="119" fillId="0" borderId="0" xfId="392" applyFont="1" applyBorder="1" applyAlignment="1" applyProtection="1">
      <alignment horizontal="fill"/>
    </xf>
    <xf numFmtId="181" fontId="119" fillId="0" borderId="0" xfId="392" applyNumberFormat="1" applyFont="1" applyBorder="1" applyProtection="1"/>
    <xf numFmtId="166" fontId="119" fillId="0" borderId="0" xfId="392" applyFont="1" applyBorder="1"/>
    <xf numFmtId="166" fontId="119" fillId="0" borderId="0" xfId="392" applyFont="1" applyBorder="1" applyAlignment="1" applyProtection="1">
      <alignment horizontal="left"/>
    </xf>
    <xf numFmtId="168" fontId="119" fillId="49" borderId="0" xfId="392" applyNumberFormat="1" applyFont="1" applyFill="1" applyBorder="1" applyProtection="1"/>
    <xf numFmtId="168" fontId="119" fillId="0" borderId="0" xfId="392" applyNumberFormat="1" applyFont="1" applyBorder="1" applyProtection="1"/>
    <xf numFmtId="0" fontId="119" fillId="0" borderId="0" xfId="392" applyNumberFormat="1" applyFont="1" applyBorder="1" applyAlignment="1" applyProtection="1">
      <alignment horizontal="fill"/>
    </xf>
    <xf numFmtId="0" fontId="122" fillId="41" borderId="0" xfId="639" applyFont="1" applyFill="1"/>
    <xf numFmtId="0" fontId="122" fillId="41" borderId="0" xfId="639" applyFont="1" applyFill="1" applyBorder="1"/>
    <xf numFmtId="0" fontId="48" fillId="41" borderId="0" xfId="639" applyFont="1" applyFill="1"/>
    <xf numFmtId="43" fontId="122" fillId="41" borderId="0" xfId="134" applyFont="1" applyFill="1"/>
    <xf numFmtId="0" fontId="120" fillId="53" borderId="37" xfId="639" applyFont="1" applyFill="1" applyBorder="1"/>
    <xf numFmtId="0" fontId="121" fillId="53" borderId="38" xfId="639" applyFont="1" applyFill="1" applyBorder="1"/>
    <xf numFmtId="0" fontId="122" fillId="53" borderId="38" xfId="639" applyFont="1" applyFill="1" applyBorder="1"/>
    <xf numFmtId="0" fontId="122" fillId="53" borderId="39" xfId="639" applyFont="1" applyFill="1" applyBorder="1"/>
    <xf numFmtId="0" fontId="120" fillId="53" borderId="40" xfId="639" applyFont="1" applyFill="1" applyBorder="1"/>
    <xf numFmtId="0" fontId="122" fillId="53" borderId="41" xfId="639" applyFont="1" applyFill="1" applyBorder="1"/>
    <xf numFmtId="184" fontId="120" fillId="53" borderId="40" xfId="639" applyNumberFormat="1" applyFont="1" applyFill="1" applyBorder="1" applyAlignment="1">
      <alignment horizontal="left"/>
    </xf>
    <xf numFmtId="0" fontId="122" fillId="53" borderId="40" xfId="639" applyFont="1" applyFill="1" applyBorder="1"/>
    <xf numFmtId="0" fontId="120" fillId="53" borderId="0" xfId="639" applyFont="1" applyFill="1" applyBorder="1" applyAlignment="1">
      <alignment horizontal="center"/>
    </xf>
    <xf numFmtId="0" fontId="120" fillId="53" borderId="40" xfId="639" applyFont="1" applyFill="1" applyBorder="1" applyAlignment="1">
      <alignment horizontal="center"/>
    </xf>
    <xf numFmtId="14" fontId="120" fillId="53" borderId="0" xfId="639" quotePrefix="1" applyNumberFormat="1" applyFont="1" applyFill="1" applyBorder="1" applyAlignment="1">
      <alignment horizontal="center"/>
    </xf>
    <xf numFmtId="14" fontId="120" fillId="53" borderId="0" xfId="639" applyNumberFormat="1" applyFont="1" applyFill="1" applyBorder="1" applyAlignment="1">
      <alignment horizontal="center"/>
    </xf>
    <xf numFmtId="3" fontId="122" fillId="53" borderId="0" xfId="639" applyNumberFormat="1" applyFont="1" applyFill="1" applyBorder="1"/>
    <xf numFmtId="0" fontId="48" fillId="53" borderId="40" xfId="639" applyFont="1" applyFill="1" applyBorder="1"/>
    <xf numFmtId="165" fontId="120" fillId="53" borderId="0" xfId="134" applyNumberFormat="1" applyFont="1" applyFill="1" applyBorder="1"/>
    <xf numFmtId="3" fontId="122" fillId="53" borderId="41" xfId="639" applyNumberFormat="1" applyFont="1" applyFill="1" applyBorder="1"/>
    <xf numFmtId="165" fontId="48" fillId="53" borderId="0" xfId="134" applyNumberFormat="1" applyFont="1" applyFill="1" applyBorder="1"/>
    <xf numFmtId="0" fontId="48" fillId="53" borderId="41" xfId="639" applyFont="1" applyFill="1" applyBorder="1"/>
    <xf numFmtId="0" fontId="122" fillId="53" borderId="42" xfId="639" applyFont="1" applyFill="1" applyBorder="1"/>
    <xf numFmtId="165" fontId="122" fillId="53" borderId="29" xfId="134" applyNumberFormat="1" applyFont="1" applyFill="1" applyBorder="1"/>
    <xf numFmtId="0" fontId="122" fillId="53" borderId="43" xfId="639" applyFont="1" applyFill="1" applyBorder="1"/>
    <xf numFmtId="0" fontId="122" fillId="49" borderId="40" xfId="639" applyFont="1" applyFill="1" applyBorder="1"/>
    <xf numFmtId="0" fontId="48" fillId="49" borderId="40" xfId="639" applyFont="1" applyFill="1" applyBorder="1"/>
    <xf numFmtId="165" fontId="122" fillId="49" borderId="0" xfId="1" applyNumberFormat="1" applyFont="1" applyFill="1" applyBorder="1"/>
    <xf numFmtId="10" fontId="81" fillId="49" borderId="0" xfId="0" applyNumberFormat="1" applyFont="1" applyFill="1" applyBorder="1" applyAlignment="1">
      <alignment horizontal="right"/>
    </xf>
    <xf numFmtId="10" fontId="81" fillId="49" borderId="0" xfId="0" applyNumberFormat="1" applyFont="1" applyFill="1" applyBorder="1"/>
    <xf numFmtId="10" fontId="80" fillId="49" borderId="41" xfId="0" applyNumberFormat="1" applyFont="1" applyFill="1" applyBorder="1"/>
    <xf numFmtId="10" fontId="80" fillId="49" borderId="0" xfId="0" applyNumberFormat="1" applyFont="1" applyFill="1" applyBorder="1"/>
    <xf numFmtId="0" fontId="122" fillId="49" borderId="43" xfId="639" applyFont="1" applyFill="1" applyBorder="1"/>
    <xf numFmtId="0" fontId="122" fillId="49" borderId="29" xfId="639" applyFont="1" applyFill="1" applyBorder="1"/>
    <xf numFmtId="0" fontId="122" fillId="49" borderId="42" xfId="639" applyFont="1" applyFill="1" applyBorder="1"/>
    <xf numFmtId="165" fontId="120" fillId="49" borderId="0" xfId="639" applyNumberFormat="1" applyFont="1" applyFill="1" applyBorder="1"/>
    <xf numFmtId="165" fontId="120" fillId="49" borderId="40" xfId="639" applyNumberFormat="1" applyFont="1" applyFill="1" applyBorder="1"/>
    <xf numFmtId="165" fontId="122" fillId="49" borderId="40" xfId="1" applyNumberFormat="1" applyFont="1" applyFill="1" applyBorder="1"/>
    <xf numFmtId="0" fontId="122" fillId="49" borderId="0" xfId="639" applyFont="1" applyFill="1" applyBorder="1" applyAlignment="1">
      <alignment horizontal="center"/>
    </xf>
    <xf numFmtId="0" fontId="120" fillId="49" borderId="40" xfId="639" applyFont="1" applyFill="1" applyBorder="1"/>
    <xf numFmtId="0" fontId="120" fillId="49" borderId="41" xfId="639" applyFont="1" applyFill="1" applyBorder="1" applyAlignment="1">
      <alignment horizontal="left"/>
    </xf>
    <xf numFmtId="0" fontId="122" fillId="49" borderId="41" xfId="639" applyFont="1" applyFill="1" applyBorder="1"/>
    <xf numFmtId="0" fontId="122" fillId="49" borderId="38" xfId="639" applyFont="1" applyFill="1" applyBorder="1"/>
    <xf numFmtId="0" fontId="120" fillId="49" borderId="37" xfId="639" applyFont="1" applyFill="1" applyBorder="1"/>
    <xf numFmtId="0" fontId="120" fillId="56" borderId="37" xfId="639" applyFont="1" applyFill="1" applyBorder="1"/>
    <xf numFmtId="0" fontId="122" fillId="56" borderId="29" xfId="639" applyFont="1" applyFill="1" applyBorder="1"/>
    <xf numFmtId="0" fontId="122" fillId="56" borderId="42" xfId="639" applyFont="1" applyFill="1" applyBorder="1"/>
    <xf numFmtId="0" fontId="48" fillId="56" borderId="41" xfId="639" applyFont="1" applyFill="1" applyBorder="1"/>
    <xf numFmtId="0" fontId="48" fillId="56" borderId="0" xfId="639" applyFont="1" applyFill="1" applyBorder="1"/>
    <xf numFmtId="0" fontId="48" fillId="56" borderId="40" xfId="639" applyFont="1" applyFill="1" applyBorder="1"/>
    <xf numFmtId="165" fontId="120" fillId="56" borderId="40" xfId="639" applyNumberFormat="1" applyFont="1" applyFill="1" applyBorder="1"/>
    <xf numFmtId="165" fontId="122" fillId="56" borderId="0" xfId="639" applyNumberFormat="1" applyFont="1" applyFill="1" applyBorder="1"/>
    <xf numFmtId="165" fontId="122" fillId="56" borderId="0" xfId="1" applyNumberFormat="1" applyFont="1" applyFill="1" applyBorder="1"/>
    <xf numFmtId="165" fontId="122" fillId="56" borderId="40" xfId="1" applyNumberFormat="1" applyFont="1" applyFill="1" applyBorder="1"/>
    <xf numFmtId="0" fontId="122" fillId="56" borderId="0" xfId="639" applyFont="1" applyFill="1" applyBorder="1" applyAlignment="1">
      <alignment horizontal="center"/>
    </xf>
    <xf numFmtId="0" fontId="120" fillId="56" borderId="40" xfId="639" applyFont="1" applyFill="1" applyBorder="1"/>
    <xf numFmtId="0" fontId="120" fillId="56" borderId="0" xfId="639" applyFont="1" applyFill="1" applyBorder="1" applyAlignment="1">
      <alignment horizontal="left"/>
    </xf>
    <xf numFmtId="0" fontId="120" fillId="56" borderId="0" xfId="639" applyFont="1" applyFill="1" applyBorder="1" applyAlignment="1">
      <alignment horizontal="center"/>
    </xf>
    <xf numFmtId="0" fontId="122" fillId="56" borderId="41" xfId="639" applyFont="1" applyFill="1" applyBorder="1"/>
    <xf numFmtId="0" fontId="122" fillId="56" borderId="0" xfId="639" applyFont="1" applyFill="1" applyBorder="1"/>
    <xf numFmtId="0" fontId="122" fillId="56" borderId="40" xfId="639" applyFont="1" applyFill="1" applyBorder="1"/>
    <xf numFmtId="0" fontId="122" fillId="56" borderId="39" xfId="639" applyFont="1" applyFill="1" applyBorder="1"/>
    <xf numFmtId="0" fontId="122" fillId="56" borderId="38" xfId="639" applyFont="1" applyFill="1" applyBorder="1"/>
    <xf numFmtId="0" fontId="122" fillId="49" borderId="39" xfId="639" applyFont="1" applyFill="1" applyBorder="1"/>
    <xf numFmtId="0" fontId="122" fillId="56" borderId="43" xfId="639" applyFont="1" applyFill="1" applyBorder="1"/>
    <xf numFmtId="165" fontId="120" fillId="56" borderId="0" xfId="639" applyNumberFormat="1" applyFont="1" applyFill="1" applyBorder="1"/>
    <xf numFmtId="0" fontId="120" fillId="49" borderId="0" xfId="639" applyFont="1" applyFill="1" applyBorder="1" applyAlignment="1">
      <alignment horizontal="left"/>
    </xf>
    <xf numFmtId="0" fontId="120" fillId="49" borderId="0" xfId="639" applyFont="1" applyFill="1" applyBorder="1"/>
    <xf numFmtId="0" fontId="122" fillId="49" borderId="0" xfId="639" applyFont="1" applyFill="1" applyBorder="1"/>
    <xf numFmtId="0" fontId="120" fillId="56" borderId="0" xfId="639" applyFont="1" applyFill="1" applyBorder="1"/>
    <xf numFmtId="0" fontId="120" fillId="56" borderId="41" xfId="639" applyFont="1" applyFill="1" applyBorder="1" applyAlignment="1">
      <alignment horizontal="left"/>
    </xf>
    <xf numFmtId="0" fontId="120" fillId="49" borderId="0" xfId="639" applyFont="1" applyFill="1" applyBorder="1" applyAlignment="1">
      <alignment horizontal="center"/>
    </xf>
    <xf numFmtId="165" fontId="122" fillId="49" borderId="0" xfId="639" applyNumberFormat="1" applyFont="1" applyFill="1" applyBorder="1"/>
    <xf numFmtId="0" fontId="48" fillId="49" borderId="41" xfId="639" applyFont="1" applyFill="1" applyBorder="1"/>
    <xf numFmtId="0" fontId="48" fillId="49" borderId="0" xfId="639" applyFont="1" applyFill="1" applyBorder="1"/>
    <xf numFmtId="0" fontId="0" fillId="0" borderId="0" xfId="0" applyFont="1"/>
    <xf numFmtId="0" fontId="123" fillId="0" borderId="0" xfId="0" applyFont="1"/>
    <xf numFmtId="0" fontId="123" fillId="3" borderId="0" xfId="0" applyFont="1" applyFill="1"/>
    <xf numFmtId="0" fontId="123" fillId="3" borderId="0" xfId="0" applyFont="1" applyFill="1" applyBorder="1"/>
    <xf numFmtId="0" fontId="123" fillId="0" borderId="0" xfId="0" applyFont="1" applyAlignment="1">
      <alignment horizontal="right"/>
    </xf>
    <xf numFmtId="1" fontId="105" fillId="3" borderId="0" xfId="4" applyNumberFormat="1" applyFont="1" applyFill="1" applyBorder="1" applyAlignment="1">
      <alignment horizontal="left"/>
    </xf>
    <xf numFmtId="0" fontId="123" fillId="0" borderId="0" xfId="0" applyFont="1" applyFill="1"/>
    <xf numFmtId="0" fontId="107" fillId="23" borderId="0" xfId="103" applyFont="1"/>
    <xf numFmtId="0" fontId="124" fillId="23" borderId="0" xfId="103" applyFont="1"/>
    <xf numFmtId="0" fontId="124" fillId="3" borderId="0" xfId="103" applyFont="1" applyFill="1"/>
    <xf numFmtId="0" fontId="124" fillId="3" borderId="0" xfId="103" applyFont="1" applyFill="1" applyBorder="1"/>
    <xf numFmtId="0" fontId="125" fillId="0" borderId="0" xfId="0" applyFont="1" applyAlignment="1">
      <alignment horizontal="center"/>
    </xf>
    <xf numFmtId="0" fontId="88" fillId="0" borderId="12" xfId="0" applyFont="1" applyBorder="1" applyAlignment="1">
      <alignment horizontal="center" wrapText="1"/>
    </xf>
    <xf numFmtId="0" fontId="88" fillId="0" borderId="12" xfId="0" applyFont="1" applyFill="1" applyBorder="1" applyAlignment="1">
      <alignment horizontal="center" wrapText="1"/>
    </xf>
    <xf numFmtId="0" fontId="126" fillId="3" borderId="0" xfId="0" applyFont="1" applyFill="1" applyAlignment="1">
      <alignment horizontal="center" wrapText="1"/>
    </xf>
    <xf numFmtId="0" fontId="126" fillId="3" borderId="0" xfId="0" applyFont="1" applyFill="1" applyBorder="1" applyAlignment="1">
      <alignment horizontal="center" wrapText="1"/>
    </xf>
    <xf numFmtId="1" fontId="102" fillId="0" borderId="0" xfId="4" applyNumberFormat="1" applyFont="1" applyFill="1" applyBorder="1" applyAlignment="1">
      <alignment horizontal="right"/>
    </xf>
    <xf numFmtId="0" fontId="105" fillId="0" borderId="0" xfId="4" applyFont="1" applyBorder="1" applyAlignment="1">
      <alignment horizontal="right"/>
    </xf>
    <xf numFmtId="164" fontId="123" fillId="0" borderId="0" xfId="2" applyNumberFormat="1" applyFont="1" applyFill="1"/>
    <xf numFmtId="44" fontId="123" fillId="0" borderId="0" xfId="2" applyFont="1" applyFill="1"/>
    <xf numFmtId="44" fontId="123" fillId="0" borderId="0" xfId="0" applyNumberFormat="1" applyFont="1"/>
    <xf numFmtId="44" fontId="123" fillId="0" borderId="0" xfId="2" applyFont="1"/>
    <xf numFmtId="168" fontId="123" fillId="0" borderId="0" xfId="3" applyNumberFormat="1" applyFont="1" applyAlignment="1">
      <alignment horizontal="center"/>
    </xf>
    <xf numFmtId="43" fontId="123" fillId="3" borderId="0" xfId="1" applyFont="1" applyFill="1"/>
    <xf numFmtId="1" fontId="102" fillId="3" borderId="0" xfId="4" applyNumberFormat="1" applyFont="1" applyFill="1" applyBorder="1" applyAlignment="1">
      <alignment horizontal="right"/>
    </xf>
    <xf numFmtId="0" fontId="102" fillId="3" borderId="0" xfId="4" applyFont="1" applyFill="1" applyBorder="1"/>
    <xf numFmtId="0" fontId="102" fillId="0" borderId="0" xfId="4" applyFont="1" applyBorder="1" applyAlignment="1">
      <alignment horizontal="right"/>
    </xf>
    <xf numFmtId="3" fontId="106" fillId="3" borderId="0" xfId="0" applyNumberFormat="1" applyFont="1" applyFill="1"/>
    <xf numFmtId="0" fontId="123" fillId="0" borderId="0" xfId="0" applyFont="1" applyBorder="1"/>
    <xf numFmtId="44" fontId="123" fillId="0" borderId="0" xfId="0" applyNumberFormat="1" applyFont="1" applyBorder="1"/>
    <xf numFmtId="44" fontId="88" fillId="0" borderId="0" xfId="0" applyNumberFormat="1" applyFont="1"/>
    <xf numFmtId="0" fontId="123" fillId="0" borderId="12" xfId="0" applyFont="1" applyBorder="1"/>
    <xf numFmtId="44" fontId="123" fillId="0" borderId="12" xfId="0" applyNumberFormat="1" applyFont="1" applyBorder="1"/>
    <xf numFmtId="44" fontId="88" fillId="0" borderId="12" xfId="0" applyNumberFormat="1" applyFont="1" applyBorder="1"/>
    <xf numFmtId="0" fontId="123" fillId="0" borderId="12" xfId="0" applyFont="1" applyFill="1" applyBorder="1"/>
    <xf numFmtId="44" fontId="123" fillId="0" borderId="12" xfId="2" applyFont="1" applyBorder="1"/>
    <xf numFmtId="164" fontId="88" fillId="0" borderId="0" xfId="0" applyNumberFormat="1" applyFont="1"/>
    <xf numFmtId="0" fontId="105" fillId="3" borderId="0" xfId="4" applyFont="1" applyFill="1" applyBorder="1"/>
    <xf numFmtId="168" fontId="123" fillId="0" borderId="0" xfId="3" applyNumberFormat="1" applyFont="1"/>
    <xf numFmtId="164" fontId="123" fillId="0" borderId="0" xfId="0" applyNumberFormat="1" applyFont="1" applyFill="1"/>
    <xf numFmtId="44" fontId="123" fillId="3" borderId="0" xfId="0" applyNumberFormat="1" applyFont="1" applyFill="1"/>
    <xf numFmtId="9" fontId="123" fillId="0" borderId="0" xfId="3" applyFont="1"/>
    <xf numFmtId="44" fontId="123" fillId="0" borderId="0" xfId="0" applyNumberFormat="1" applyFont="1" applyFill="1"/>
    <xf numFmtId="0" fontId="127" fillId="3" borderId="0" xfId="4" applyFont="1" applyFill="1" applyBorder="1" applyAlignment="1">
      <alignment horizontal="left"/>
    </xf>
    <xf numFmtId="166" fontId="102" fillId="3" borderId="0" xfId="5" applyFont="1" applyFill="1" applyBorder="1"/>
    <xf numFmtId="0" fontId="88" fillId="0" borderId="0" xfId="0" applyFont="1" applyBorder="1"/>
    <xf numFmtId="0" fontId="88" fillId="0" borderId="0" xfId="0" applyFont="1" applyAlignment="1">
      <alignment horizontal="center"/>
    </xf>
    <xf numFmtId="44" fontId="88" fillId="0" borderId="0" xfId="2" applyFont="1"/>
    <xf numFmtId="0" fontId="127" fillId="3" borderId="0" xfId="4" applyFont="1" applyFill="1" applyBorder="1"/>
    <xf numFmtId="0" fontId="88" fillId="0" borderId="0" xfId="0" applyFont="1" applyFill="1" applyBorder="1" applyAlignment="1">
      <alignment horizontal="center"/>
    </xf>
    <xf numFmtId="44" fontId="88" fillId="0" borderId="0" xfId="0" applyNumberFormat="1" applyFont="1" applyFill="1"/>
    <xf numFmtId="0" fontId="129" fillId="0" borderId="0" xfId="0" applyFont="1"/>
    <xf numFmtId="0" fontId="102" fillId="0" borderId="0" xfId="0" applyFont="1"/>
    <xf numFmtId="44" fontId="102" fillId="0" borderId="0" xfId="0" applyNumberFormat="1" applyFont="1"/>
    <xf numFmtId="164" fontId="123" fillId="0" borderId="0" xfId="2" applyNumberFormat="1" applyFont="1"/>
    <xf numFmtId="10" fontId="123" fillId="0" borderId="12" xfId="0" applyNumberFormat="1" applyFont="1" applyFill="1" applyBorder="1"/>
    <xf numFmtId="164" fontId="123" fillId="0" borderId="0" xfId="0" applyNumberFormat="1" applyFont="1"/>
    <xf numFmtId="164" fontId="123" fillId="0" borderId="0" xfId="2" applyNumberFormat="1" applyFont="1" applyBorder="1"/>
    <xf numFmtId="0" fontId="88" fillId="0" borderId="0" xfId="0" applyFont="1" applyAlignment="1">
      <alignment horizontal="right"/>
    </xf>
    <xf numFmtId="0" fontId="129" fillId="0" borderId="0" xfId="0" applyFont="1" applyFill="1"/>
    <xf numFmtId="44" fontId="123" fillId="0" borderId="12" xfId="0" applyNumberFormat="1" applyFont="1" applyFill="1" applyBorder="1"/>
    <xf numFmtId="1" fontId="123" fillId="0" borderId="0" xfId="0" applyNumberFormat="1" applyFont="1"/>
    <xf numFmtId="164" fontId="123" fillId="0" borderId="12" xfId="2" applyNumberFormat="1" applyFont="1" applyBorder="1"/>
    <xf numFmtId="43" fontId="123" fillId="0" borderId="0" xfId="1" applyFont="1"/>
    <xf numFmtId="0" fontId="125" fillId="0" borderId="0" xfId="0" applyFont="1" applyFill="1" applyAlignment="1">
      <alignment horizontal="left"/>
    </xf>
    <xf numFmtId="173" fontId="123" fillId="0" borderId="12" xfId="3" applyNumberFormat="1" applyFont="1" applyBorder="1"/>
    <xf numFmtId="0" fontId="123" fillId="0" borderId="0" xfId="0" quotePrefix="1" applyFont="1"/>
    <xf numFmtId="0" fontId="129" fillId="0" borderId="0" xfId="0" applyFont="1" applyAlignment="1">
      <alignment horizontal="center"/>
    </xf>
    <xf numFmtId="0" fontId="105" fillId="0" borderId="0" xfId="4" applyFont="1" applyBorder="1"/>
    <xf numFmtId="3" fontId="105" fillId="0" borderId="0" xfId="629" applyNumberFormat="1" applyFont="1" applyFill="1" applyBorder="1" applyAlignment="1">
      <alignment horizontal="center"/>
    </xf>
    <xf numFmtId="3" fontId="128" fillId="0" borderId="0" xfId="629" applyNumberFormat="1" applyFont="1" applyBorder="1"/>
    <xf numFmtId="0" fontId="105" fillId="0" borderId="0" xfId="4" applyFont="1" applyFill="1" applyBorder="1"/>
    <xf numFmtId="10" fontId="88" fillId="0" borderId="0" xfId="3" applyNumberFormat="1" applyFont="1"/>
    <xf numFmtId="0" fontId="128" fillId="0" borderId="0" xfId="629" applyFont="1" applyBorder="1"/>
    <xf numFmtId="3" fontId="128" fillId="0" borderId="0" xfId="139" applyNumberFormat="1" applyFont="1" applyFill="1" applyBorder="1"/>
    <xf numFmtId="3" fontId="128" fillId="0" borderId="0" xfId="629" applyNumberFormat="1" applyFont="1" applyFill="1" applyBorder="1"/>
    <xf numFmtId="0" fontId="102" fillId="0" borderId="0" xfId="4" applyFont="1" applyBorder="1"/>
    <xf numFmtId="3" fontId="128" fillId="0" borderId="12" xfId="139" applyNumberFormat="1" applyFont="1" applyFill="1" applyBorder="1"/>
    <xf numFmtId="3" fontId="102" fillId="0" borderId="0" xfId="4" applyNumberFormat="1" applyFont="1" applyBorder="1"/>
    <xf numFmtId="3" fontId="105" fillId="0" borderId="0" xfId="139" applyNumberFormat="1" applyFont="1" applyBorder="1"/>
    <xf numFmtId="3" fontId="102" fillId="0" borderId="0" xfId="139" applyNumberFormat="1" applyFont="1" applyBorder="1"/>
    <xf numFmtId="37" fontId="128" fillId="0" borderId="0" xfId="139" applyNumberFormat="1" applyFont="1" applyFill="1" applyBorder="1"/>
    <xf numFmtId="37" fontId="128" fillId="0" borderId="12" xfId="139" applyNumberFormat="1" applyFont="1" applyFill="1" applyBorder="1"/>
    <xf numFmtId="37" fontId="105" fillId="0" borderId="0" xfId="139" applyNumberFormat="1" applyFont="1" applyBorder="1"/>
    <xf numFmtId="3" fontId="108" fillId="0" borderId="0" xfId="4" applyNumberFormat="1" applyFont="1" applyBorder="1"/>
    <xf numFmtId="0" fontId="105" fillId="0" borderId="0" xfId="629" applyFont="1" applyBorder="1"/>
    <xf numFmtId="0" fontId="123" fillId="0" borderId="0" xfId="0" applyFont="1" applyAlignment="1"/>
    <xf numFmtId="0" fontId="88" fillId="3" borderId="0" xfId="0" applyFont="1" applyFill="1"/>
    <xf numFmtId="0" fontId="128" fillId="3" borderId="0" xfId="633" applyFont="1" applyFill="1"/>
    <xf numFmtId="43" fontId="102" fillId="3" borderId="0" xfId="134" applyFont="1" applyFill="1" applyAlignment="1">
      <alignment horizontal="center"/>
    </xf>
    <xf numFmtId="0" fontId="88" fillId="3" borderId="0" xfId="0" applyFont="1" applyFill="1" applyAlignment="1">
      <alignment wrapText="1"/>
    </xf>
    <xf numFmtId="0" fontId="106" fillId="3" borderId="7" xfId="633" applyFont="1" applyFill="1" applyBorder="1" applyAlignment="1">
      <alignment horizontal="center"/>
    </xf>
    <xf numFmtId="0" fontId="106" fillId="3" borderId="7" xfId="633" applyFont="1" applyFill="1" applyBorder="1" applyAlignment="1">
      <alignment horizontal="center" wrapText="1"/>
    </xf>
    <xf numFmtId="14" fontId="105" fillId="3" borderId="7" xfId="134" applyNumberFormat="1" applyFont="1" applyFill="1" applyBorder="1" applyAlignment="1">
      <alignment horizontal="center" wrapText="1"/>
    </xf>
    <xf numFmtId="0" fontId="107" fillId="57" borderId="0" xfId="633" applyFont="1" applyFill="1" applyAlignment="1">
      <alignment horizontal="left"/>
    </xf>
    <xf numFmtId="0" fontId="126" fillId="57" borderId="0" xfId="633" applyFont="1" applyFill="1" applyAlignment="1">
      <alignment horizontal="left"/>
    </xf>
    <xf numFmtId="43" fontId="128" fillId="57" borderId="0" xfId="134" applyFont="1" applyFill="1" applyAlignment="1">
      <alignment horizontal="center"/>
    </xf>
    <xf numFmtId="0" fontId="123" fillId="57" borderId="0" xfId="0" applyFont="1" applyFill="1"/>
    <xf numFmtId="0" fontId="126" fillId="3" borderId="0" xfId="633" applyFont="1" applyFill="1" applyAlignment="1">
      <alignment horizontal="left"/>
    </xf>
    <xf numFmtId="0" fontId="126" fillId="3" borderId="0" xfId="633" applyFont="1" applyFill="1" applyAlignment="1">
      <alignment horizontal="center"/>
    </xf>
    <xf numFmtId="0" fontId="123" fillId="3" borderId="0" xfId="0" applyFont="1" applyFill="1" applyBorder="1" applyAlignment="1">
      <alignment horizontal="center"/>
    </xf>
    <xf numFmtId="0" fontId="106" fillId="7" borderId="0" xfId="633" applyFont="1" applyFill="1" applyBorder="1"/>
    <xf numFmtId="43" fontId="128" fillId="7" borderId="0" xfId="134" applyFont="1" applyFill="1" applyAlignment="1">
      <alignment horizontal="center"/>
    </xf>
    <xf numFmtId="0" fontId="123" fillId="7" borderId="0" xfId="0" applyFont="1" applyFill="1"/>
    <xf numFmtId="0" fontId="102" fillId="3" borderId="0" xfId="0" applyFont="1" applyFill="1"/>
    <xf numFmtId="43" fontId="123" fillId="3" borderId="0" xfId="134" applyFont="1" applyFill="1"/>
    <xf numFmtId="0" fontId="128" fillId="3" borderId="0" xfId="632" applyFont="1" applyFill="1"/>
    <xf numFmtId="0" fontId="128" fillId="3" borderId="0" xfId="633" applyFont="1" applyFill="1" applyBorder="1"/>
    <xf numFmtId="0" fontId="106" fillId="3" borderId="0" xfId="633" applyFont="1" applyFill="1" applyBorder="1" applyAlignment="1">
      <alignment horizontal="right"/>
    </xf>
    <xf numFmtId="165" fontId="88" fillId="3" borderId="7" xfId="0" applyNumberFormat="1" applyFont="1" applyFill="1" applyBorder="1"/>
    <xf numFmtId="165" fontId="123" fillId="3" borderId="7" xfId="0" applyNumberFormat="1" applyFont="1" applyFill="1" applyBorder="1"/>
    <xf numFmtId="0" fontId="106" fillId="3" borderId="0" xfId="633" applyFont="1" applyFill="1" applyBorder="1"/>
    <xf numFmtId="43" fontId="88" fillId="3" borderId="7" xfId="0" applyNumberFormat="1" applyFont="1" applyFill="1" applyBorder="1"/>
    <xf numFmtId="0" fontId="106" fillId="3" borderId="0" xfId="633" applyFont="1" applyFill="1" applyAlignment="1">
      <alignment horizontal="right"/>
    </xf>
    <xf numFmtId="0" fontId="106" fillId="3" borderId="0" xfId="633" applyFont="1" applyFill="1"/>
    <xf numFmtId="43" fontId="105" fillId="3" borderId="0" xfId="134" applyFont="1" applyFill="1" applyAlignment="1">
      <alignment horizontal="center"/>
    </xf>
    <xf numFmtId="165" fontId="88" fillId="3" borderId="8" xfId="0" applyNumberFormat="1" applyFont="1" applyFill="1" applyBorder="1"/>
    <xf numFmtId="165" fontId="123" fillId="3" borderId="8" xfId="0" applyNumberFormat="1" applyFont="1" applyFill="1" applyBorder="1"/>
    <xf numFmtId="43" fontId="123" fillId="3" borderId="0" xfId="0" applyNumberFormat="1" applyFont="1" applyFill="1"/>
    <xf numFmtId="165" fontId="0" fillId="0" borderId="0" xfId="1" applyNumberFormat="1" applyFont="1" applyFill="1" applyBorder="1"/>
    <xf numFmtId="0" fontId="123" fillId="58" borderId="0" xfId="0" applyFont="1" applyFill="1"/>
    <xf numFmtId="43" fontId="123" fillId="58" borderId="0" xfId="1" applyFont="1" applyFill="1"/>
    <xf numFmtId="44" fontId="123" fillId="58" borderId="0" xfId="2" applyFont="1" applyFill="1"/>
    <xf numFmtId="43" fontId="123" fillId="58" borderId="8" xfId="1" applyFont="1" applyFill="1" applyBorder="1"/>
    <xf numFmtId="44" fontId="123" fillId="58" borderId="8" xfId="2" applyFont="1" applyFill="1" applyBorder="1"/>
    <xf numFmtId="164" fontId="123" fillId="0" borderId="8" xfId="2" applyNumberFormat="1" applyFont="1" applyBorder="1"/>
    <xf numFmtId="0" fontId="123" fillId="59" borderId="0" xfId="0" applyFont="1" applyFill="1"/>
    <xf numFmtId="43" fontId="123" fillId="59" borderId="0" xfId="1" applyFont="1" applyFill="1"/>
    <xf numFmtId="44" fontId="123" fillId="59" borderId="0" xfId="2" applyFont="1" applyFill="1"/>
    <xf numFmtId="173" fontId="123" fillId="0" borderId="0" xfId="3" applyNumberFormat="1" applyFont="1"/>
    <xf numFmtId="43" fontId="123" fillId="59" borderId="8" xfId="1" applyFont="1" applyFill="1" applyBorder="1"/>
    <xf numFmtId="44" fontId="123" fillId="59" borderId="8" xfId="2" applyFont="1" applyFill="1" applyBorder="1"/>
    <xf numFmtId="0" fontId="132" fillId="0" borderId="0" xfId="0" applyFont="1"/>
    <xf numFmtId="0" fontId="0" fillId="3" borderId="0" xfId="0" applyFill="1"/>
    <xf numFmtId="0" fontId="79" fillId="3" borderId="12" xfId="0" applyFont="1" applyFill="1" applyBorder="1" applyAlignment="1">
      <alignment horizontal="center" wrapText="1"/>
    </xf>
    <xf numFmtId="0" fontId="0" fillId="3" borderId="0" xfId="0" applyFill="1" applyAlignment="1">
      <alignment horizontal="right"/>
    </xf>
    <xf numFmtId="165" fontId="0" fillId="3" borderId="0" xfId="134" applyNumberFormat="1" applyFont="1" applyFill="1"/>
    <xf numFmtId="165" fontId="0" fillId="3" borderId="36" xfId="134" applyNumberFormat="1" applyFont="1" applyFill="1" applyBorder="1"/>
    <xf numFmtId="165" fontId="0" fillId="3" borderId="0" xfId="0" applyNumberFormat="1" applyFill="1"/>
    <xf numFmtId="165" fontId="0" fillId="3" borderId="0" xfId="134" applyNumberFormat="1" applyFont="1" applyFill="1" applyBorder="1"/>
    <xf numFmtId="165" fontId="0" fillId="3" borderId="12" xfId="134" applyNumberFormat="1" applyFont="1" applyFill="1" applyBorder="1"/>
    <xf numFmtId="0" fontId="133" fillId="3" borderId="0" xfId="0" applyFont="1" applyFill="1" applyAlignment="1">
      <alignment horizontal="right"/>
    </xf>
    <xf numFmtId="165" fontId="1" fillId="3" borderId="0" xfId="134" applyNumberFormat="1" applyFont="1" applyFill="1"/>
    <xf numFmtId="43" fontId="0" fillId="3" borderId="0" xfId="134" applyFont="1" applyFill="1"/>
    <xf numFmtId="43" fontId="0" fillId="3" borderId="0" xfId="0" applyNumberFormat="1" applyFill="1"/>
    <xf numFmtId="43" fontId="0" fillId="0" borderId="0" xfId="134" applyFont="1"/>
    <xf numFmtId="0" fontId="0" fillId="0" borderId="0" xfId="0" applyAlignment="1">
      <alignment vertical="top"/>
    </xf>
    <xf numFmtId="0" fontId="0" fillId="0" borderId="53" xfId="0" applyBorder="1" applyAlignment="1">
      <alignment vertical="top"/>
    </xf>
    <xf numFmtId="0" fontId="0" fillId="0" borderId="54" xfId="0" applyBorder="1" applyAlignment="1">
      <alignment vertical="top"/>
    </xf>
    <xf numFmtId="0" fontId="0" fillId="0" borderId="55" xfId="0" applyBorder="1" applyAlignment="1">
      <alignment vertical="top"/>
    </xf>
    <xf numFmtId="0" fontId="0" fillId="0" borderId="56" xfId="0" applyBorder="1" applyAlignment="1">
      <alignment vertical="top"/>
    </xf>
    <xf numFmtId="0" fontId="0" fillId="0" borderId="57" xfId="0" applyBorder="1" applyAlignment="1">
      <alignment vertical="top"/>
    </xf>
    <xf numFmtId="0" fontId="0" fillId="0" borderId="53" xfId="0" applyNumberFormat="1" applyBorder="1" applyAlignment="1">
      <alignment vertical="top"/>
    </xf>
    <xf numFmtId="0" fontId="0" fillId="0" borderId="56" xfId="0" applyNumberFormat="1" applyBorder="1" applyAlignment="1">
      <alignment vertical="top"/>
    </xf>
    <xf numFmtId="0" fontId="0" fillId="0" borderId="57" xfId="0" applyNumberFormat="1" applyBorder="1" applyAlignment="1">
      <alignment vertical="top"/>
    </xf>
    <xf numFmtId="0" fontId="0" fillId="0" borderId="58" xfId="0" applyBorder="1" applyAlignment="1">
      <alignment vertical="top"/>
    </xf>
    <xf numFmtId="0" fontId="0" fillId="0" borderId="59" xfId="0" applyBorder="1" applyAlignment="1">
      <alignment vertical="top"/>
    </xf>
    <xf numFmtId="0" fontId="0" fillId="0" borderId="59" xfId="0" applyNumberFormat="1" applyBorder="1" applyAlignment="1">
      <alignment vertical="top"/>
    </xf>
    <xf numFmtId="0" fontId="0" fillId="0" borderId="0" xfId="0" applyNumberFormat="1" applyAlignment="1">
      <alignment vertical="top"/>
    </xf>
    <xf numFmtId="0" fontId="0" fillId="0" borderId="60" xfId="0" applyNumberFormat="1" applyBorder="1" applyAlignment="1">
      <alignment vertical="top"/>
    </xf>
    <xf numFmtId="0" fontId="0" fillId="0" borderId="61" xfId="0" applyBorder="1" applyAlignment="1">
      <alignment vertical="top"/>
    </xf>
    <xf numFmtId="0" fontId="0" fillId="0" borderId="62" xfId="0" applyBorder="1" applyAlignment="1">
      <alignment vertical="top"/>
    </xf>
    <xf numFmtId="0" fontId="0" fillId="0" borderId="61" xfId="0" applyNumberFormat="1" applyBorder="1" applyAlignment="1">
      <alignment vertical="top"/>
    </xf>
    <xf numFmtId="0" fontId="0" fillId="0" borderId="63" xfId="0" applyNumberFormat="1" applyBorder="1" applyAlignment="1">
      <alignment vertical="top"/>
    </xf>
    <xf numFmtId="0" fontId="0" fillId="0" borderId="64" xfId="0" applyNumberFormat="1" applyBorder="1" applyAlignment="1">
      <alignment vertical="top"/>
    </xf>
    <xf numFmtId="0" fontId="0" fillId="0" borderId="53" xfId="0" pivotButton="1" applyBorder="1" applyAlignment="1">
      <alignment vertical="top"/>
    </xf>
    <xf numFmtId="0" fontId="0" fillId="5" borderId="53" xfId="0" applyFill="1" applyBorder="1" applyAlignment="1">
      <alignment vertical="top"/>
    </xf>
    <xf numFmtId="0" fontId="0" fillId="5" borderId="56" xfId="0" applyFill="1" applyBorder="1" applyAlignment="1">
      <alignment vertical="top"/>
    </xf>
    <xf numFmtId="0" fontId="0" fillId="5" borderId="53" xfId="0" applyNumberFormat="1" applyFill="1" applyBorder="1" applyAlignment="1">
      <alignment vertical="top"/>
    </xf>
    <xf numFmtId="0" fontId="0" fillId="5" borderId="56" xfId="0" applyNumberFormat="1" applyFill="1" applyBorder="1" applyAlignment="1">
      <alignment vertical="top"/>
    </xf>
    <xf numFmtId="0" fontId="0" fillId="5" borderId="59" xfId="0" applyNumberFormat="1" applyFill="1" applyBorder="1" applyAlignment="1">
      <alignment vertical="top"/>
    </xf>
    <xf numFmtId="0" fontId="0" fillId="5" borderId="0" xfId="0" applyNumberFormat="1" applyFill="1" applyAlignment="1">
      <alignment vertical="top"/>
    </xf>
    <xf numFmtId="0" fontId="0" fillId="0" borderId="59" xfId="0" applyNumberFormat="1" applyFill="1" applyBorder="1" applyAlignment="1">
      <alignment vertical="top"/>
    </xf>
    <xf numFmtId="0" fontId="0" fillId="48" borderId="60" xfId="0" applyNumberFormat="1" applyFill="1" applyBorder="1" applyAlignment="1">
      <alignment vertical="top"/>
    </xf>
    <xf numFmtId="0" fontId="0" fillId="56" borderId="56" xfId="0" applyNumberFormat="1" applyFill="1" applyBorder="1" applyAlignment="1">
      <alignment vertical="top"/>
    </xf>
    <xf numFmtId="0" fontId="0" fillId="56" borderId="0" xfId="0" applyNumberFormat="1" applyFill="1" applyAlignment="1">
      <alignment vertical="top"/>
    </xf>
    <xf numFmtId="165" fontId="0" fillId="56" borderId="0" xfId="134" applyNumberFormat="1" applyFont="1" applyFill="1"/>
    <xf numFmtId="165" fontId="0" fillId="5" borderId="0" xfId="134" applyNumberFormat="1" applyFont="1" applyFill="1"/>
    <xf numFmtId="0" fontId="0" fillId="0" borderId="65" xfId="0" applyNumberFormat="1" applyBorder="1" applyAlignment="1">
      <alignment vertical="top"/>
    </xf>
    <xf numFmtId="165" fontId="0" fillId="0" borderId="0" xfId="0" applyNumberFormat="1"/>
    <xf numFmtId="0" fontId="134" fillId="0" borderId="0" xfId="0" applyFont="1"/>
    <xf numFmtId="165" fontId="0" fillId="48" borderId="0" xfId="134" applyNumberFormat="1" applyFont="1" applyFill="1"/>
    <xf numFmtId="165" fontId="0" fillId="0" borderId="0" xfId="134" applyNumberFormat="1" applyFont="1" applyFill="1"/>
    <xf numFmtId="10" fontId="84" fillId="0" borderId="0" xfId="0" applyNumberFormat="1" applyFont="1" applyFill="1" applyBorder="1"/>
    <xf numFmtId="0" fontId="88" fillId="3" borderId="0" xfId="0" applyFont="1" applyFill="1" applyBorder="1" applyAlignment="1">
      <alignment horizontal="center" wrapText="1"/>
    </xf>
    <xf numFmtId="0" fontId="88" fillId="3" borderId="12" xfId="0" applyFont="1" applyFill="1" applyBorder="1" applyAlignment="1">
      <alignment horizontal="center"/>
    </xf>
    <xf numFmtId="10" fontId="88" fillId="3" borderId="0" xfId="0" applyNumberFormat="1" applyFont="1" applyFill="1" applyAlignment="1">
      <alignment horizontal="center"/>
    </xf>
    <xf numFmtId="43" fontId="88" fillId="3" borderId="7" xfId="1" applyFont="1" applyFill="1" applyBorder="1"/>
    <xf numFmtId="43" fontId="123" fillId="57" borderId="0" xfId="1" applyFont="1" applyFill="1"/>
    <xf numFmtId="43" fontId="123" fillId="7" borderId="0" xfId="1" applyFont="1" applyFill="1"/>
    <xf numFmtId="43" fontId="88" fillId="3" borderId="0" xfId="1" applyFont="1" applyFill="1" applyAlignment="1">
      <alignment horizontal="center"/>
    </xf>
    <xf numFmtId="43" fontId="88" fillId="3" borderId="7" xfId="1" applyFont="1" applyFill="1" applyBorder="1" applyAlignment="1">
      <alignment horizontal="center" wrapText="1"/>
    </xf>
    <xf numFmtId="43" fontId="123" fillId="3" borderId="0" xfId="1" applyFont="1" applyFill="1" applyBorder="1" applyAlignment="1">
      <alignment horizontal="center"/>
    </xf>
    <xf numFmtId="165" fontId="123" fillId="3" borderId="0" xfId="1" applyNumberFormat="1" applyFont="1" applyFill="1"/>
    <xf numFmtId="165" fontId="88" fillId="3" borderId="12" xfId="1" applyNumberFormat="1" applyFont="1" applyFill="1" applyBorder="1" applyAlignment="1">
      <alignment horizontal="center" wrapText="1"/>
    </xf>
    <xf numFmtId="165" fontId="123" fillId="57" borderId="0" xfId="1" applyNumberFormat="1" applyFont="1" applyFill="1"/>
    <xf numFmtId="165" fontId="123" fillId="3" borderId="0" xfId="1" applyNumberFormat="1" applyFont="1" applyFill="1" applyBorder="1" applyAlignment="1">
      <alignment horizontal="center" wrapText="1"/>
    </xf>
    <xf numFmtId="165" fontId="123" fillId="7" borderId="0" xfId="1" applyNumberFormat="1" applyFont="1" applyFill="1"/>
    <xf numFmtId="165" fontId="88" fillId="3" borderId="7" xfId="1" applyNumberFormat="1" applyFont="1" applyFill="1" applyBorder="1"/>
    <xf numFmtId="165" fontId="88" fillId="3" borderId="8" xfId="1" applyNumberFormat="1" applyFont="1" applyFill="1" applyBorder="1"/>
    <xf numFmtId="0" fontId="130" fillId="3" borderId="0" xfId="0" applyFont="1" applyFill="1" applyAlignment="1">
      <alignment wrapText="1"/>
    </xf>
    <xf numFmtId="43" fontId="88" fillId="3" borderId="0" xfId="1" applyFont="1" applyFill="1" applyBorder="1" applyAlignment="1">
      <alignment horizontal="center" wrapText="1"/>
    </xf>
    <xf numFmtId="165" fontId="131" fillId="3" borderId="7" xfId="0" applyNumberFormat="1" applyFont="1" applyFill="1" applyBorder="1"/>
    <xf numFmtId="10" fontId="88" fillId="3" borderId="0" xfId="3" applyNumberFormat="1" applyFont="1" applyFill="1" applyAlignment="1">
      <alignment horizontal="center"/>
    </xf>
    <xf numFmtId="0" fontId="106" fillId="3" borderId="0" xfId="0" applyFont="1" applyFill="1"/>
    <xf numFmtId="10" fontId="106" fillId="3" borderId="0" xfId="0" applyNumberFormat="1" applyFont="1" applyFill="1"/>
    <xf numFmtId="0" fontId="123" fillId="3" borderId="12" xfId="0" applyFont="1" applyFill="1" applyBorder="1"/>
    <xf numFmtId="0" fontId="106" fillId="3" borderId="0" xfId="0" applyFont="1" applyFill="1" applyAlignment="1">
      <alignment horizontal="left"/>
    </xf>
    <xf numFmtId="10" fontId="123" fillId="3" borderId="0" xfId="0" applyNumberFormat="1" applyFont="1" applyFill="1" applyBorder="1" applyAlignment="1">
      <alignment horizontal="right"/>
    </xf>
    <xf numFmtId="42" fontId="123" fillId="3" borderId="0" xfId="2" applyNumberFormat="1" applyFont="1" applyFill="1" applyBorder="1"/>
    <xf numFmtId="0" fontId="88" fillId="3" borderId="0" xfId="0" applyFont="1" applyFill="1" applyBorder="1"/>
    <xf numFmtId="10" fontId="123" fillId="3" borderId="0" xfId="0" applyNumberFormat="1" applyFont="1" applyFill="1"/>
    <xf numFmtId="41" fontId="123" fillId="3" borderId="0" xfId="1" applyNumberFormat="1" applyFont="1" applyFill="1"/>
    <xf numFmtId="43" fontId="88" fillId="3" borderId="0" xfId="0" applyNumberFormat="1" applyFont="1" applyFill="1"/>
    <xf numFmtId="0" fontId="88" fillId="3" borderId="0" xfId="0" applyFont="1" applyFill="1" applyAlignment="1">
      <alignment horizontal="left" indent="1"/>
    </xf>
    <xf numFmtId="0" fontId="123" fillId="0" borderId="0" xfId="0" applyFont="1" applyAlignment="1">
      <alignment horizontal="left" indent="1"/>
    </xf>
    <xf numFmtId="0" fontId="131" fillId="3" borderId="0" xfId="0" applyFont="1" applyFill="1" applyAlignment="1">
      <alignment horizontal="center"/>
    </xf>
    <xf numFmtId="0" fontId="131" fillId="3" borderId="0" xfId="0" applyFont="1" applyFill="1"/>
    <xf numFmtId="0" fontId="102" fillId="3" borderId="0" xfId="0" applyFont="1" applyFill="1" applyAlignment="1">
      <alignment horizontal="right"/>
    </xf>
    <xf numFmtId="165" fontId="123" fillId="0" borderId="0" xfId="1" applyNumberFormat="1" applyFont="1" applyFill="1"/>
    <xf numFmtId="0" fontId="123" fillId="3" borderId="0" xfId="0" applyFont="1" applyFill="1" applyAlignment="1">
      <alignment horizontal="right"/>
    </xf>
    <xf numFmtId="0" fontId="123" fillId="3" borderId="0" xfId="0" applyFont="1" applyFill="1" applyAlignment="1">
      <alignment horizontal="left" indent="1"/>
    </xf>
    <xf numFmtId="43" fontId="123" fillId="3" borderId="0" xfId="1" applyFont="1" applyFill="1" applyAlignment="1">
      <alignment horizontal="center"/>
    </xf>
    <xf numFmtId="43" fontId="123" fillId="3" borderId="0" xfId="1" applyNumberFormat="1" applyFont="1" applyFill="1"/>
    <xf numFmtId="43" fontId="123" fillId="3" borderId="0" xfId="0" applyNumberFormat="1" applyFont="1" applyFill="1" applyBorder="1" applyAlignment="1">
      <alignment horizontal="center"/>
    </xf>
    <xf numFmtId="0" fontId="123" fillId="3" borderId="12" xfId="0" applyFont="1" applyFill="1" applyBorder="1" applyAlignment="1">
      <alignment horizontal="center"/>
    </xf>
    <xf numFmtId="43" fontId="122" fillId="41" borderId="0" xfId="134" applyFont="1" applyFill="1"/>
    <xf numFmtId="0" fontId="122" fillId="53" borderId="0" xfId="639" applyFont="1" applyFill="1" applyBorder="1"/>
    <xf numFmtId="165" fontId="122" fillId="53" borderId="0" xfId="134" applyNumberFormat="1" applyFont="1" applyFill="1" applyBorder="1"/>
    <xf numFmtId="0" fontId="123" fillId="0" borderId="0" xfId="0" applyFont="1" applyFill="1" applyBorder="1"/>
    <xf numFmtId="0" fontId="88" fillId="0" borderId="0" xfId="0" applyFont="1" applyFill="1" applyBorder="1"/>
    <xf numFmtId="175" fontId="123" fillId="0" borderId="0" xfId="1" applyNumberFormat="1" applyFont="1" applyFill="1" applyBorder="1"/>
    <xf numFmtId="0" fontId="88" fillId="0" borderId="12" xfId="0" applyFont="1" applyBorder="1" applyAlignment="1">
      <alignment wrapText="1"/>
    </xf>
    <xf numFmtId="165" fontId="88" fillId="0" borderId="12" xfId="0" applyNumberFormat="1" applyFont="1" applyFill="1" applyBorder="1"/>
    <xf numFmtId="0" fontId="88" fillId="0" borderId="12" xfId="0" applyFont="1" applyFill="1" applyBorder="1" applyAlignment="1">
      <alignment horizontal="center"/>
    </xf>
    <xf numFmtId="0" fontId="153" fillId="0" borderId="0" xfId="0" applyFont="1" applyAlignment="1">
      <alignment horizontal="center"/>
    </xf>
    <xf numFmtId="43" fontId="0" fillId="0" borderId="0" xfId="1" applyFont="1"/>
    <xf numFmtId="0" fontId="96" fillId="0" borderId="0" xfId="0" applyFont="1" applyFill="1" applyAlignment="1">
      <alignment horizontal="left"/>
    </xf>
    <xf numFmtId="0" fontId="95" fillId="3" borderId="0" xfId="0" applyFont="1" applyFill="1" applyAlignment="1">
      <alignment horizontal="left" wrapText="1"/>
    </xf>
    <xf numFmtId="3" fontId="89" fillId="3" borderId="0" xfId="0" applyNumberFormat="1" applyFont="1" applyFill="1" applyAlignment="1">
      <alignment horizontal="left" wrapText="1"/>
    </xf>
    <xf numFmtId="43" fontId="102" fillId="3" borderId="0" xfId="134" applyNumberFormat="1" applyFont="1" applyFill="1" applyAlignment="1">
      <alignment horizontal="center"/>
    </xf>
    <xf numFmtId="164" fontId="123" fillId="0" borderId="0" xfId="2" applyNumberFormat="1" applyFont="1" applyFill="1" applyBorder="1"/>
    <xf numFmtId="164" fontId="123" fillId="0" borderId="0" xfId="0" applyNumberFormat="1" applyFont="1" applyBorder="1"/>
    <xf numFmtId="164" fontId="123" fillId="0" borderId="12" xfId="2" applyNumberFormat="1" applyFont="1" applyFill="1" applyBorder="1"/>
    <xf numFmtId="164" fontId="123" fillId="0" borderId="12" xfId="0" applyNumberFormat="1" applyFont="1" applyBorder="1"/>
    <xf numFmtId="43" fontId="154" fillId="90" borderId="76" xfId="1" applyFont="1" applyFill="1" applyBorder="1"/>
    <xf numFmtId="0" fontId="154" fillId="90" borderId="0" xfId="0" applyFont="1" applyFill="1" applyBorder="1" applyAlignment="1">
      <alignment horizontal="center"/>
    </xf>
    <xf numFmtId="0" fontId="155" fillId="0" borderId="0" xfId="0" applyFont="1"/>
    <xf numFmtId="43" fontId="3" fillId="0" borderId="0" xfId="1" applyFont="1" applyAlignment="1">
      <alignment horizontal="left"/>
    </xf>
    <xf numFmtId="43" fontId="3" fillId="0" borderId="0" xfId="1" applyFont="1"/>
    <xf numFmtId="44" fontId="3" fillId="0" borderId="0" xfId="220" applyFont="1"/>
    <xf numFmtId="43" fontId="3" fillId="0" borderId="0" xfId="0" applyNumberFormat="1" applyFont="1"/>
    <xf numFmtId="44" fontId="3" fillId="0" borderId="0" xfId="220" applyFont="1" applyBorder="1"/>
    <xf numFmtId="43" fontId="3" fillId="0" borderId="0" xfId="1" applyFont="1" applyBorder="1"/>
    <xf numFmtId="44" fontId="3" fillId="0" borderId="12" xfId="220" applyFont="1" applyBorder="1"/>
    <xf numFmtId="43" fontId="3" fillId="0" borderId="12" xfId="1" applyFont="1" applyBorder="1"/>
    <xf numFmtId="43" fontId="154" fillId="90" borderId="77" xfId="1" applyFont="1" applyFill="1" applyBorder="1" applyAlignment="1">
      <alignment horizontal="left"/>
    </xf>
    <xf numFmtId="43" fontId="154" fillId="90" borderId="77" xfId="1" applyFont="1" applyFill="1" applyBorder="1"/>
    <xf numFmtId="44" fontId="3" fillId="0" borderId="0" xfId="0" applyNumberFormat="1" applyFont="1"/>
    <xf numFmtId="10" fontId="3" fillId="0" borderId="0" xfId="940" applyNumberFormat="1" applyFont="1"/>
    <xf numFmtId="0" fontId="156" fillId="0" borderId="0" xfId="0" applyFont="1" applyAlignment="1">
      <alignment horizontal="left"/>
    </xf>
    <xf numFmtId="0" fontId="73" fillId="0" borderId="0" xfId="0" applyFont="1" applyAlignment="1">
      <alignment horizontal="right"/>
    </xf>
    <xf numFmtId="10" fontId="73" fillId="0" borderId="0" xfId="940" applyNumberFormat="1" applyFont="1"/>
    <xf numFmtId="0" fontId="73" fillId="0" borderId="0" xfId="0" applyFont="1"/>
    <xf numFmtId="0" fontId="158" fillId="0" borderId="0" xfId="0" applyFont="1"/>
    <xf numFmtId="0" fontId="73" fillId="49" borderId="0" xfId="0" applyNumberFormat="1" applyFont="1" applyFill="1" applyAlignment="1">
      <alignment horizontal="center"/>
    </xf>
    <xf numFmtId="0" fontId="159" fillId="0" borderId="0" xfId="0" applyFont="1"/>
    <xf numFmtId="43" fontId="3" fillId="49" borderId="0" xfId="134" applyFont="1" applyFill="1"/>
    <xf numFmtId="4" fontId="0" fillId="0" borderId="0" xfId="0" applyNumberFormat="1"/>
    <xf numFmtId="6" fontId="0" fillId="49" borderId="0" xfId="0" applyNumberFormat="1" applyFill="1"/>
    <xf numFmtId="0" fontId="0" fillId="0" borderId="0" xfId="0" applyNumberFormat="1"/>
    <xf numFmtId="0" fontId="0" fillId="0" borderId="0" xfId="0" applyAlignment="1">
      <alignment horizontal="center"/>
    </xf>
    <xf numFmtId="0" fontId="73" fillId="0" borderId="0" xfId="0" applyNumberFormat="1" applyFont="1"/>
    <xf numFmtId="185" fontId="73" fillId="0" borderId="0" xfId="0" applyNumberFormat="1" applyFont="1"/>
    <xf numFmtId="0" fontId="73" fillId="0" borderId="0" xfId="0" applyFont="1" applyAlignment="1">
      <alignment horizontal="center" shrinkToFit="1"/>
    </xf>
    <xf numFmtId="0" fontId="3" fillId="0" borderId="35" xfId="0" applyFont="1" applyBorder="1"/>
    <xf numFmtId="43" fontId="3" fillId="0" borderId="35" xfId="134" applyFont="1" applyBorder="1"/>
    <xf numFmtId="0" fontId="3" fillId="0" borderId="35" xfId="0" applyFont="1" applyBorder="1" applyAlignment="1">
      <alignment horizontal="center" shrinkToFit="1"/>
    </xf>
    <xf numFmtId="43" fontId="0" fillId="0" borderId="35" xfId="134" applyFont="1" applyBorder="1"/>
    <xf numFmtId="0" fontId="3" fillId="0" borderId="35" xfId="0" applyFont="1" applyBorder="1" applyAlignment="1">
      <alignment horizontal="center"/>
    </xf>
    <xf numFmtId="176" fontId="3" fillId="0" borderId="35" xfId="0" applyNumberFormat="1" applyFont="1" applyBorder="1" applyAlignment="1">
      <alignment horizontal="center"/>
    </xf>
    <xf numFmtId="2" fontId="0" fillId="0" borderId="35" xfId="0" applyNumberFormat="1" applyBorder="1"/>
    <xf numFmtId="0" fontId="0" fillId="0" borderId="35" xfId="0" applyNumberFormat="1" applyBorder="1"/>
    <xf numFmtId="185" fontId="0" fillId="0" borderId="35" xfId="0" applyNumberFormat="1" applyBorder="1"/>
    <xf numFmtId="176" fontId="0" fillId="0" borderId="35" xfId="0" applyNumberFormat="1" applyBorder="1" applyAlignment="1">
      <alignment horizontal="center"/>
    </xf>
    <xf numFmtId="0" fontId="73" fillId="0" borderId="0" xfId="0" applyNumberFormat="1" applyFont="1" applyFill="1" applyBorder="1" applyAlignment="1">
      <alignment horizontal="center"/>
    </xf>
    <xf numFmtId="43" fontId="3" fillId="0" borderId="0" xfId="134" applyFont="1" applyFill="1" applyBorder="1"/>
    <xf numFmtId="44" fontId="3" fillId="0" borderId="0" xfId="220" applyFont="1" applyFill="1" applyBorder="1"/>
    <xf numFmtId="0" fontId="157" fillId="0" borderId="0" xfId="0" applyFont="1" applyAlignment="1">
      <alignment horizontal="left"/>
    </xf>
    <xf numFmtId="0" fontId="153" fillId="0" borderId="0" xfId="0" applyFont="1"/>
    <xf numFmtId="0" fontId="73" fillId="3" borderId="0" xfId="315" applyFont="1" applyFill="1"/>
    <xf numFmtId="0" fontId="3" fillId="3" borderId="0" xfId="315" applyFont="1" applyFill="1"/>
    <xf numFmtId="10" fontId="73" fillId="3" borderId="0" xfId="392" applyNumberFormat="1" applyFont="1" applyFill="1" applyBorder="1" applyAlignment="1">
      <alignment horizontal="center"/>
    </xf>
    <xf numFmtId="166" fontId="160" fillId="3" borderId="0" xfId="392" applyFont="1" applyFill="1" applyBorder="1" applyAlignment="1">
      <alignment horizontal="center"/>
    </xf>
    <xf numFmtId="166" fontId="73" fillId="3" borderId="12" xfId="392" applyFont="1" applyFill="1" applyBorder="1" applyAlignment="1">
      <alignment horizontal="center"/>
    </xf>
    <xf numFmtId="4" fontId="73" fillId="3" borderId="12" xfId="392" applyNumberFormat="1" applyFont="1" applyFill="1" applyBorder="1" applyAlignment="1">
      <alignment horizontal="center"/>
    </xf>
    <xf numFmtId="166" fontId="0" fillId="3" borderId="0" xfId="392" applyFont="1" applyFill="1" applyBorder="1"/>
    <xf numFmtId="0" fontId="3" fillId="3" borderId="0" xfId="315" applyFont="1" applyFill="1" applyBorder="1"/>
    <xf numFmtId="165" fontId="0" fillId="3" borderId="0" xfId="134" applyNumberFormat="1" applyFont="1" applyFill="1" applyBorder="1" applyAlignment="1">
      <alignment horizontal="right"/>
    </xf>
    <xf numFmtId="165" fontId="73" fillId="3" borderId="0" xfId="134" applyNumberFormat="1" applyFont="1" applyFill="1" applyBorder="1"/>
    <xf numFmtId="3" fontId="0" fillId="3" borderId="0" xfId="392" applyNumberFormat="1" applyFont="1" applyFill="1" applyBorder="1"/>
    <xf numFmtId="166" fontId="0" fillId="3" borderId="0" xfId="392" applyFont="1" applyFill="1" applyBorder="1" applyAlignment="1">
      <alignment horizontal="right"/>
    </xf>
    <xf numFmtId="43" fontId="0" fillId="3" borderId="0" xfId="134" applyFont="1" applyFill="1" applyBorder="1"/>
    <xf numFmtId="166" fontId="73" fillId="3" borderId="12" xfId="392" applyFont="1" applyFill="1" applyBorder="1" applyAlignment="1">
      <alignment horizontal="center" wrapText="1"/>
    </xf>
    <xf numFmtId="164" fontId="0" fillId="3" borderId="0" xfId="220" applyNumberFormat="1" applyFont="1" applyFill="1" applyBorder="1"/>
    <xf numFmtId="164" fontId="0" fillId="0" borderId="0" xfId="220" applyNumberFormat="1" applyFont="1" applyFill="1" applyBorder="1"/>
    <xf numFmtId="165" fontId="73" fillId="3" borderId="7" xfId="134" applyNumberFormat="1" applyFont="1" applyFill="1" applyBorder="1"/>
    <xf numFmtId="0" fontId="3" fillId="3" borderId="0" xfId="315" applyFont="1" applyFill="1" applyAlignment="1">
      <alignment horizontal="right"/>
    </xf>
    <xf numFmtId="164" fontId="0" fillId="3" borderId="0" xfId="220" applyNumberFormat="1" applyFont="1" applyFill="1"/>
    <xf numFmtId="164" fontId="73" fillId="3" borderId="7" xfId="315" applyNumberFormat="1" applyFont="1" applyFill="1" applyBorder="1"/>
    <xf numFmtId="43" fontId="0" fillId="48" borderId="0" xfId="134" applyFont="1" applyFill="1"/>
    <xf numFmtId="0" fontId="161" fillId="3" borderId="0" xfId="315" applyFont="1" applyFill="1" applyAlignment="1">
      <alignment horizontal="center"/>
    </xf>
    <xf numFmtId="1" fontId="91" fillId="3" borderId="0" xfId="4" applyNumberFormat="1" applyFont="1" applyFill="1" applyBorder="1" applyAlignment="1">
      <alignment horizontal="left"/>
    </xf>
    <xf numFmtId="0" fontId="91" fillId="3" borderId="0" xfId="4" applyFont="1" applyFill="1" applyBorder="1"/>
    <xf numFmtId="3" fontId="93" fillId="3" borderId="0" xfId="4" applyNumberFormat="1" applyFont="1" applyFill="1" applyBorder="1"/>
    <xf numFmtId="37" fontId="91" fillId="3" borderId="0" xfId="4" applyNumberFormat="1" applyFont="1" applyFill="1" applyBorder="1" applyAlignment="1">
      <alignment horizontal="center"/>
    </xf>
    <xf numFmtId="37" fontId="93" fillId="3" borderId="0" xfId="4" applyNumberFormat="1" applyFont="1" applyFill="1" applyBorder="1" applyAlignment="1">
      <alignment horizontal="center"/>
    </xf>
    <xf numFmtId="37" fontId="93" fillId="3" borderId="0" xfId="4" applyNumberFormat="1" applyFont="1" applyFill="1" applyBorder="1"/>
    <xf numFmtId="0" fontId="93" fillId="3" borderId="0" xfId="4" applyFont="1" applyFill="1" applyBorder="1"/>
    <xf numFmtId="43" fontId="93" fillId="3" borderId="0" xfId="1" applyFont="1" applyFill="1" applyBorder="1"/>
    <xf numFmtId="0" fontId="91" fillId="3" borderId="0" xfId="4" applyFont="1" applyFill="1" applyBorder="1" applyAlignment="1"/>
    <xf numFmtId="3" fontId="91" fillId="3" borderId="0" xfId="0" applyNumberFormat="1" applyFont="1" applyFill="1" applyBorder="1" applyAlignment="1">
      <alignment horizontal="center"/>
    </xf>
    <xf numFmtId="37" fontId="91" fillId="3" borderId="0" xfId="0" applyNumberFormat="1" applyFont="1" applyFill="1" applyBorder="1" applyAlignment="1">
      <alignment horizontal="center"/>
    </xf>
    <xf numFmtId="0" fontId="91" fillId="3" borderId="0" xfId="4" applyFont="1" applyFill="1" applyBorder="1" applyAlignment="1">
      <alignment horizontal="center"/>
    </xf>
    <xf numFmtId="10" fontId="93" fillId="3" borderId="0" xfId="3" applyNumberFormat="1" applyFont="1" applyFill="1" applyBorder="1"/>
    <xf numFmtId="1" fontId="90" fillId="4" borderId="1" xfId="4" applyNumberFormat="1" applyFont="1" applyFill="1" applyBorder="1" applyAlignment="1">
      <alignment horizontal="left"/>
    </xf>
    <xf numFmtId="0" fontId="90" fillId="4" borderId="2" xfId="4" applyFont="1" applyFill="1" applyBorder="1"/>
    <xf numFmtId="3" fontId="97" fillId="4" borderId="1" xfId="4" applyNumberFormat="1" applyFont="1" applyFill="1" applyBorder="1" applyAlignment="1">
      <alignment horizontal="center"/>
    </xf>
    <xf numFmtId="37" fontId="97" fillId="4" borderId="3" xfId="4" applyNumberFormat="1" applyFont="1" applyFill="1" applyBorder="1" applyAlignment="1">
      <alignment horizontal="center"/>
    </xf>
    <xf numFmtId="0" fontId="97" fillId="4" borderId="3" xfId="4" applyFont="1" applyFill="1" applyBorder="1" applyAlignment="1">
      <alignment horizontal="center"/>
    </xf>
    <xf numFmtId="3" fontId="97" fillId="4" borderId="2" xfId="0" applyNumberFormat="1" applyFont="1" applyFill="1" applyBorder="1" applyAlignment="1">
      <alignment horizontal="center"/>
    </xf>
    <xf numFmtId="37" fontId="163" fillId="5" borderId="1" xfId="4" applyNumberFormat="1" applyFont="1" applyFill="1" applyBorder="1" applyAlignment="1">
      <alignment horizontal="center"/>
    </xf>
    <xf numFmtId="37" fontId="97" fillId="4" borderId="1" xfId="4" applyNumberFormat="1" applyFont="1" applyFill="1" applyBorder="1" applyAlignment="1">
      <alignment horizontal="center"/>
    </xf>
    <xf numFmtId="37" fontId="97" fillId="4" borderId="2" xfId="4" applyNumberFormat="1" applyFont="1" applyFill="1" applyBorder="1" applyAlignment="1">
      <alignment horizontal="center"/>
    </xf>
    <xf numFmtId="37" fontId="97" fillId="6" borderId="3" xfId="4" applyNumberFormat="1" applyFont="1" applyFill="1" applyBorder="1" applyAlignment="1">
      <alignment horizontal="center"/>
    </xf>
    <xf numFmtId="37" fontId="97" fillId="5" borderId="2" xfId="4" applyNumberFormat="1" applyFont="1" applyFill="1" applyBorder="1" applyAlignment="1">
      <alignment horizontal="center"/>
    </xf>
    <xf numFmtId="0" fontId="97" fillId="4" borderId="1" xfId="4" applyFont="1" applyFill="1" applyBorder="1" applyAlignment="1">
      <alignment horizontal="center"/>
    </xf>
    <xf numFmtId="1" fontId="99" fillId="4" borderId="4" xfId="4" applyNumberFormat="1" applyFont="1" applyFill="1" applyBorder="1" applyAlignment="1">
      <alignment horizontal="right"/>
    </xf>
    <xf numFmtId="0" fontId="99" fillId="4" borderId="5" xfId="4" applyFont="1" applyFill="1" applyBorder="1"/>
    <xf numFmtId="0" fontId="97" fillId="4" borderId="4" xfId="4" applyNumberFormat="1" applyFont="1" applyFill="1" applyBorder="1" applyAlignment="1">
      <alignment horizontal="center"/>
    </xf>
    <xf numFmtId="37" fontId="97" fillId="4" borderId="0" xfId="4" applyNumberFormat="1" applyFont="1" applyFill="1" applyBorder="1" applyAlignment="1">
      <alignment horizontal="center"/>
    </xf>
    <xf numFmtId="3" fontId="97" fillId="4" borderId="5" xfId="0" applyNumberFormat="1" applyFont="1" applyFill="1" applyBorder="1" applyAlignment="1">
      <alignment horizontal="center"/>
    </xf>
    <xf numFmtId="0" fontId="163" fillId="5" borderId="4" xfId="4" applyNumberFormat="1" applyFont="1" applyFill="1" applyBorder="1" applyAlignment="1">
      <alignment horizontal="center"/>
    </xf>
    <xf numFmtId="37" fontId="97" fillId="4" borderId="4" xfId="4" applyNumberFormat="1" applyFont="1" applyFill="1" applyBorder="1" applyAlignment="1">
      <alignment horizontal="center"/>
    </xf>
    <xf numFmtId="37" fontId="97" fillId="4" borderId="5" xfId="4" applyNumberFormat="1" applyFont="1" applyFill="1" applyBorder="1" applyAlignment="1">
      <alignment horizontal="center"/>
    </xf>
    <xf numFmtId="0" fontId="97" fillId="6" borderId="0" xfId="4" applyNumberFormat="1" applyFont="1" applyFill="1" applyBorder="1" applyAlignment="1">
      <alignment horizontal="center"/>
    </xf>
    <xf numFmtId="0" fontId="97" fillId="5" borderId="5" xfId="4" applyNumberFormat="1" applyFont="1" applyFill="1" applyBorder="1" applyAlignment="1">
      <alignment horizontal="center"/>
    </xf>
    <xf numFmtId="0" fontId="97" fillId="4" borderId="4" xfId="4" applyFont="1" applyFill="1" applyBorder="1" applyAlignment="1">
      <alignment horizontal="center"/>
    </xf>
    <xf numFmtId="0" fontId="91" fillId="7" borderId="6" xfId="4" applyFont="1" applyFill="1" applyBorder="1"/>
    <xf numFmtId="0" fontId="91" fillId="7" borderId="7" xfId="4" applyFont="1" applyFill="1" applyBorder="1"/>
    <xf numFmtId="3" fontId="93" fillId="7" borderId="7" xfId="4" applyNumberFormat="1" applyFont="1" applyFill="1" applyBorder="1"/>
    <xf numFmtId="37" fontId="91" fillId="7" borderId="7" xfId="4" applyNumberFormat="1" applyFont="1" applyFill="1" applyBorder="1" applyAlignment="1">
      <alignment horizontal="center"/>
    </xf>
    <xf numFmtId="37" fontId="93" fillId="7" borderId="7" xfId="4" applyNumberFormat="1" applyFont="1" applyFill="1" applyBorder="1" applyAlignment="1">
      <alignment horizontal="center"/>
    </xf>
    <xf numFmtId="37" fontId="93" fillId="7" borderId="7" xfId="4" applyNumberFormat="1" applyFont="1" applyFill="1" applyBorder="1"/>
    <xf numFmtId="0" fontId="93" fillId="7" borderId="7" xfId="4" applyFont="1" applyFill="1" applyBorder="1"/>
    <xf numFmtId="1" fontId="93" fillId="3" borderId="0" xfId="4" applyNumberFormat="1" applyFont="1" applyFill="1" applyBorder="1" applyAlignment="1">
      <alignment horizontal="right"/>
    </xf>
    <xf numFmtId="164" fontId="93" fillId="3" borderId="0" xfId="2" applyNumberFormat="1" applyFont="1" applyFill="1" applyBorder="1"/>
    <xf numFmtId="164" fontId="93" fillId="0" borderId="0" xfId="2" applyNumberFormat="1" applyFont="1" applyFill="1" applyBorder="1" applyAlignment="1">
      <alignment horizontal="right"/>
    </xf>
    <xf numFmtId="164" fontId="93" fillId="3" borderId="0" xfId="2" applyNumberFormat="1" applyFont="1" applyFill="1" applyBorder="1" applyAlignment="1">
      <alignment horizontal="right"/>
    </xf>
    <xf numFmtId="164" fontId="93" fillId="3" borderId="0" xfId="2" applyNumberFormat="1" applyFont="1" applyFill="1" applyBorder="1" applyAlignment="1">
      <alignment horizontal="center"/>
    </xf>
    <xf numFmtId="164" fontId="93" fillId="0" borderId="0" xfId="2" applyNumberFormat="1" applyFont="1" applyFill="1" applyBorder="1"/>
    <xf numFmtId="165" fontId="93" fillId="3" borderId="0" xfId="1" applyNumberFormat="1" applyFont="1" applyFill="1" applyBorder="1"/>
    <xf numFmtId="165" fontId="93" fillId="0" borderId="0" xfId="1" applyNumberFormat="1" applyFont="1" applyFill="1" applyBorder="1" applyAlignment="1">
      <alignment horizontal="right"/>
    </xf>
    <xf numFmtId="165" fontId="93" fillId="3" borderId="0" xfId="1" applyNumberFormat="1" applyFont="1" applyFill="1" applyBorder="1" applyAlignment="1">
      <alignment horizontal="right"/>
    </xf>
    <xf numFmtId="165" fontId="93" fillId="3" borderId="0" xfId="1" applyNumberFormat="1" applyFont="1" applyFill="1" applyBorder="1" applyAlignment="1">
      <alignment horizontal="center"/>
    </xf>
    <xf numFmtId="165" fontId="93" fillId="0" borderId="0" xfId="1" applyNumberFormat="1" applyFont="1" applyFill="1" applyBorder="1"/>
    <xf numFmtId="165" fontId="91" fillId="3" borderId="0" xfId="1" applyNumberFormat="1" applyFont="1" applyFill="1" applyBorder="1" applyAlignment="1">
      <alignment horizontal="center"/>
    </xf>
    <xf numFmtId="165" fontId="91" fillId="3" borderId="7" xfId="1" applyNumberFormat="1" applyFont="1" applyFill="1" applyBorder="1"/>
    <xf numFmtId="165" fontId="93" fillId="3" borderId="7" xfId="1" applyNumberFormat="1" applyFont="1" applyFill="1" applyBorder="1" applyAlignment="1">
      <alignment horizontal="center"/>
    </xf>
    <xf numFmtId="165" fontId="93" fillId="3" borderId="7" xfId="1" applyNumberFormat="1" applyFont="1" applyFill="1" applyBorder="1"/>
    <xf numFmtId="10" fontId="93" fillId="3" borderId="0" xfId="1" applyNumberFormat="1" applyFont="1" applyFill="1" applyBorder="1"/>
    <xf numFmtId="165" fontId="93" fillId="3" borderId="0" xfId="4" applyNumberFormat="1" applyFont="1" applyFill="1" applyBorder="1"/>
    <xf numFmtId="165" fontId="93" fillId="7" borderId="7" xfId="1" applyNumberFormat="1" applyFont="1" applyFill="1" applyBorder="1"/>
    <xf numFmtId="165" fontId="91" fillId="7" borderId="7" xfId="1" applyNumberFormat="1" applyFont="1" applyFill="1" applyBorder="1" applyAlignment="1">
      <alignment horizontal="center"/>
    </xf>
    <xf numFmtId="0" fontId="164" fillId="8" borderId="0" xfId="4" applyFont="1" applyFill="1" applyBorder="1"/>
    <xf numFmtId="0" fontId="164" fillId="8" borderId="0" xfId="4" applyFont="1" applyFill="1" applyBorder="1" applyAlignment="1">
      <alignment horizontal="left"/>
    </xf>
    <xf numFmtId="165" fontId="93" fillId="8" borderId="0" xfId="1" applyNumberFormat="1" applyFont="1" applyFill="1" applyBorder="1"/>
    <xf numFmtId="165" fontId="91" fillId="8" borderId="0" xfId="1" applyNumberFormat="1" applyFont="1" applyFill="1" applyBorder="1" applyAlignment="1">
      <alignment horizontal="center"/>
    </xf>
    <xf numFmtId="37" fontId="93" fillId="8" borderId="0" xfId="4" applyNumberFormat="1" applyFont="1" applyFill="1" applyBorder="1" applyAlignment="1">
      <alignment horizontal="center"/>
    </xf>
    <xf numFmtId="0" fontId="93" fillId="8" borderId="0" xfId="4" applyFont="1" applyFill="1" applyBorder="1"/>
    <xf numFmtId="1" fontId="93" fillId="3" borderId="0" xfId="5" applyNumberFormat="1" applyFont="1" applyFill="1" applyBorder="1" applyAlignment="1">
      <alignment horizontal="right"/>
    </xf>
    <xf numFmtId="166" fontId="93" fillId="3" borderId="0" xfId="5" applyFont="1" applyFill="1" applyBorder="1"/>
    <xf numFmtId="1" fontId="91" fillId="3" borderId="0" xfId="5" applyNumberFormat="1" applyFont="1" applyFill="1" applyBorder="1" applyAlignment="1">
      <alignment horizontal="right"/>
    </xf>
    <xf numFmtId="165" fontId="91" fillId="3" borderId="0" xfId="1" applyNumberFormat="1" applyFont="1" applyFill="1" applyBorder="1"/>
    <xf numFmtId="165" fontId="93" fillId="3" borderId="0" xfId="6" applyNumberFormat="1" applyFont="1" applyFill="1" applyBorder="1" applyAlignment="1">
      <alignment horizontal="center"/>
    </xf>
    <xf numFmtId="1" fontId="164" fillId="8" borderId="0" xfId="4" applyNumberFormat="1" applyFont="1" applyFill="1" applyBorder="1" applyAlignment="1">
      <alignment horizontal="right"/>
    </xf>
    <xf numFmtId="1" fontId="89" fillId="3" borderId="0" xfId="7" quotePrefix="1" applyNumberFormat="1" applyFont="1" applyFill="1" applyBorder="1" applyAlignment="1">
      <alignment horizontal="right"/>
    </xf>
    <xf numFmtId="165" fontId="91" fillId="3" borderId="0" xfId="1" applyNumberFormat="1" applyFont="1" applyFill="1" applyBorder="1" applyAlignment="1">
      <alignment horizontal="right"/>
    </xf>
    <xf numFmtId="1" fontId="91" fillId="3" borderId="0" xfId="4" applyNumberFormat="1" applyFont="1" applyFill="1" applyBorder="1" applyAlignment="1">
      <alignment horizontal="right"/>
    </xf>
    <xf numFmtId="165" fontId="91" fillId="3" borderId="7" xfId="1" applyNumberFormat="1" applyFont="1" applyFill="1" applyBorder="1" applyAlignment="1">
      <alignment horizontal="right"/>
    </xf>
    <xf numFmtId="165" fontId="91" fillId="8" borderId="0" xfId="1" applyNumberFormat="1" applyFont="1" applyFill="1" applyBorder="1"/>
    <xf numFmtId="165" fontId="93" fillId="8" borderId="0" xfId="1" applyNumberFormat="1" applyFont="1" applyFill="1" applyBorder="1" applyAlignment="1">
      <alignment horizontal="right"/>
    </xf>
    <xf numFmtId="165" fontId="91" fillId="8" borderId="0" xfId="1" applyNumberFormat="1" applyFont="1" applyFill="1" applyBorder="1" applyAlignment="1">
      <alignment horizontal="right"/>
    </xf>
    <xf numFmtId="0" fontId="93" fillId="3" borderId="7" xfId="4" applyFont="1" applyFill="1" applyBorder="1"/>
    <xf numFmtId="166" fontId="91" fillId="3" borderId="0" xfId="5" applyFont="1" applyFill="1" applyBorder="1"/>
    <xf numFmtId="1" fontId="89" fillId="3" borderId="0" xfId="7" applyNumberFormat="1" applyFont="1" applyFill="1" applyBorder="1" applyAlignment="1">
      <alignment horizontal="right"/>
    </xf>
    <xf numFmtId="165" fontId="93" fillId="3" borderId="0" xfId="3" applyNumberFormat="1" applyFont="1" applyFill="1" applyBorder="1"/>
    <xf numFmtId="1" fontId="164" fillId="8" borderId="0" xfId="5" applyNumberFormat="1" applyFont="1" applyFill="1" applyBorder="1" applyAlignment="1">
      <alignment horizontal="right"/>
    </xf>
    <xf numFmtId="1" fontId="93" fillId="8" borderId="0" xfId="4" applyNumberFormat="1" applyFont="1" applyFill="1" applyBorder="1" applyAlignment="1">
      <alignment horizontal="right"/>
    </xf>
    <xf numFmtId="1" fontId="93" fillId="0" borderId="0" xfId="4" applyNumberFormat="1" applyFont="1" applyFill="1" applyBorder="1" applyAlignment="1">
      <alignment horizontal="right"/>
    </xf>
    <xf numFmtId="0" fontId="93" fillId="0" borderId="0" xfId="4" applyFont="1" applyFill="1" applyBorder="1"/>
    <xf numFmtId="165" fontId="93" fillId="0" borderId="0" xfId="1" applyNumberFormat="1" applyFont="1" applyFill="1" applyBorder="1" applyAlignment="1">
      <alignment horizontal="center"/>
    </xf>
    <xf numFmtId="165" fontId="91" fillId="0" borderId="0" xfId="1" applyNumberFormat="1" applyFont="1" applyFill="1" applyBorder="1" applyAlignment="1">
      <alignment horizontal="center"/>
    </xf>
    <xf numFmtId="1" fontId="89" fillId="0" borderId="0" xfId="7" quotePrefix="1" applyNumberFormat="1" applyFont="1" applyFill="1" applyBorder="1" applyAlignment="1">
      <alignment horizontal="right"/>
    </xf>
    <xf numFmtId="165" fontId="91" fillId="3" borderId="0" xfId="6" applyNumberFormat="1" applyFont="1" applyFill="1" applyBorder="1"/>
    <xf numFmtId="1" fontId="85" fillId="3" borderId="0" xfId="7" quotePrefix="1" applyNumberFormat="1" applyFont="1" applyFill="1" applyBorder="1" applyAlignment="1">
      <alignment horizontal="right"/>
    </xf>
    <xf numFmtId="165" fontId="91" fillId="3" borderId="7" xfId="1" applyNumberFormat="1" applyFont="1" applyFill="1" applyBorder="1" applyAlignment="1">
      <alignment horizontal="center"/>
    </xf>
    <xf numFmtId="165" fontId="96" fillId="0" borderId="0" xfId="1" applyNumberFormat="1" applyFont="1" applyFill="1" applyBorder="1" applyAlignment="1">
      <alignment horizontal="left"/>
    </xf>
    <xf numFmtId="165" fontId="93" fillId="3" borderId="7" xfId="6" applyNumberFormat="1" applyFont="1" applyFill="1" applyBorder="1" applyAlignment="1">
      <alignment horizontal="center"/>
    </xf>
    <xf numFmtId="3" fontId="93" fillId="3" borderId="7" xfId="4" applyNumberFormat="1" applyFont="1" applyFill="1" applyBorder="1"/>
    <xf numFmtId="165" fontId="91" fillId="3" borderId="7" xfId="6" applyNumberFormat="1" applyFont="1" applyFill="1" applyBorder="1"/>
    <xf numFmtId="1" fontId="92" fillId="3" borderId="0" xfId="4" applyNumberFormat="1" applyFont="1" applyFill="1" applyBorder="1" applyAlignment="1">
      <alignment horizontal="right"/>
    </xf>
    <xf numFmtId="37" fontId="93" fillId="0" borderId="0" xfId="4" applyNumberFormat="1" applyFont="1" applyFill="1" applyBorder="1" applyAlignment="1">
      <alignment horizontal="center"/>
    </xf>
    <xf numFmtId="37" fontId="96" fillId="0" borderId="0" xfId="4" applyNumberFormat="1" applyFont="1" applyFill="1" applyBorder="1" applyAlignment="1">
      <alignment horizontal="left"/>
    </xf>
    <xf numFmtId="10" fontId="91" fillId="3" borderId="7" xfId="4" applyNumberFormat="1" applyFont="1" applyFill="1" applyBorder="1"/>
    <xf numFmtId="37" fontId="91" fillId="3" borderId="7" xfId="4" applyNumberFormat="1" applyFont="1" applyFill="1" applyBorder="1" applyAlignment="1">
      <alignment horizontal="center"/>
    </xf>
    <xf numFmtId="37" fontId="93" fillId="3" borderId="7" xfId="4" applyNumberFormat="1" applyFont="1" applyFill="1" applyBorder="1" applyAlignment="1">
      <alignment horizontal="center"/>
    </xf>
    <xf numFmtId="164" fontId="91" fillId="3" borderId="8" xfId="2" applyNumberFormat="1" applyFont="1" applyFill="1" applyBorder="1"/>
    <xf numFmtId="164" fontId="93" fillId="3" borderId="8" xfId="2" applyNumberFormat="1" applyFont="1" applyFill="1" applyBorder="1" applyAlignment="1">
      <alignment horizontal="center"/>
    </xf>
    <xf numFmtId="164" fontId="91" fillId="3" borderId="8" xfId="2" applyNumberFormat="1" applyFont="1" applyFill="1" applyBorder="1" applyAlignment="1">
      <alignment horizontal="center"/>
    </xf>
    <xf numFmtId="164" fontId="93" fillId="3" borderId="8" xfId="2" applyNumberFormat="1" applyFont="1" applyFill="1" applyBorder="1"/>
    <xf numFmtId="164" fontId="91" fillId="3" borderId="7" xfId="2" applyNumberFormat="1" applyFont="1" applyFill="1" applyBorder="1"/>
    <xf numFmtId="164" fontId="93" fillId="3" borderId="7" xfId="2" applyNumberFormat="1" applyFont="1" applyFill="1" applyBorder="1" applyAlignment="1">
      <alignment horizontal="center"/>
    </xf>
    <xf numFmtId="164" fontId="91" fillId="3" borderId="7" xfId="2" applyNumberFormat="1" applyFont="1" applyFill="1" applyBorder="1" applyAlignment="1">
      <alignment horizontal="center"/>
    </xf>
    <xf numFmtId="9" fontId="93" fillId="3" borderId="0" xfId="8" applyFont="1" applyFill="1" applyBorder="1"/>
    <xf numFmtId="37" fontId="93" fillId="3" borderId="0" xfId="8" applyNumberFormat="1" applyFont="1" applyFill="1" applyBorder="1"/>
    <xf numFmtId="3" fontId="93" fillId="3" borderId="0" xfId="0" applyNumberFormat="1" applyFont="1" applyFill="1" applyBorder="1"/>
    <xf numFmtId="10" fontId="93" fillId="3" borderId="0" xfId="4" applyNumberFormat="1" applyFont="1" applyFill="1" applyBorder="1"/>
    <xf numFmtId="37" fontId="93" fillId="3" borderId="0" xfId="4" applyNumberFormat="1" applyFont="1" applyFill="1" applyBorder="1" applyAlignment="1">
      <alignment horizontal="right"/>
    </xf>
    <xf numFmtId="37" fontId="91" fillId="3" borderId="0" xfId="4" applyNumberFormat="1" applyFont="1" applyFill="1" applyBorder="1" applyAlignment="1">
      <alignment horizontal="right"/>
    </xf>
    <xf numFmtId="165" fontId="96" fillId="3" borderId="0" xfId="1" applyNumberFormat="1" applyFont="1" applyFill="1" applyBorder="1" applyAlignment="1">
      <alignment horizontal="left"/>
    </xf>
    <xf numFmtId="165" fontId="96" fillId="3" borderId="0" xfId="1" applyNumberFormat="1" applyFont="1" applyFill="1" applyBorder="1" applyAlignment="1"/>
    <xf numFmtId="165" fontId="96" fillId="0" borderId="0" xfId="1" applyNumberFormat="1" applyFont="1" applyFill="1" applyBorder="1" applyAlignment="1"/>
    <xf numFmtId="0" fontId="3" fillId="93" borderId="0" xfId="315" applyFill="1"/>
    <xf numFmtId="0" fontId="3" fillId="0" borderId="0" xfId="315"/>
    <xf numFmtId="0" fontId="3" fillId="0" borderId="0" xfId="315" applyFont="1"/>
    <xf numFmtId="0" fontId="73" fillId="0" borderId="0" xfId="315" applyFont="1"/>
    <xf numFmtId="0" fontId="3" fillId="0" borderId="0" xfId="315" applyAlignment="1">
      <alignment horizontal="right"/>
    </xf>
    <xf numFmtId="0" fontId="3" fillId="0" borderId="0" xfId="315" applyAlignment="1">
      <alignment horizontal="left"/>
    </xf>
    <xf numFmtId="0" fontId="165" fillId="0" borderId="0" xfId="315" applyFont="1"/>
    <xf numFmtId="0" fontId="166" fillId="0" borderId="0" xfId="315" applyFont="1"/>
    <xf numFmtId="0" fontId="155" fillId="0" borderId="0" xfId="315" applyFont="1" applyAlignment="1">
      <alignment horizontal="right" vertical="top"/>
    </xf>
    <xf numFmtId="0" fontId="167" fillId="0" borderId="0" xfId="315" applyFont="1"/>
    <xf numFmtId="0" fontId="73" fillId="93" borderId="12" xfId="315" applyFont="1" applyFill="1" applyBorder="1" applyAlignment="1">
      <alignment horizontal="centerContinuous"/>
    </xf>
    <xf numFmtId="0" fontId="73" fillId="45" borderId="12" xfId="315" applyFont="1" applyFill="1" applyBorder="1" applyAlignment="1">
      <alignment horizontal="centerContinuous"/>
    </xf>
    <xf numFmtId="0" fontId="3" fillId="45" borderId="12" xfId="315" applyFill="1" applyBorder="1" applyAlignment="1">
      <alignment horizontal="centerContinuous"/>
    </xf>
    <xf numFmtId="0" fontId="73" fillId="0" borderId="0" xfId="315" applyFont="1" applyAlignment="1">
      <alignment horizontal="right"/>
    </xf>
    <xf numFmtId="49" fontId="168" fillId="0" borderId="0" xfId="315" applyNumberFormat="1" applyFont="1" applyAlignment="1">
      <alignment horizontal="left"/>
    </xf>
    <xf numFmtId="0" fontId="3" fillId="0" borderId="0" xfId="315" applyFont="1" applyAlignment="1">
      <alignment horizontal="right"/>
    </xf>
    <xf numFmtId="0" fontId="168" fillId="0" borderId="0" xfId="315" applyFont="1"/>
    <xf numFmtId="39" fontId="168" fillId="0" borderId="0" xfId="134" applyNumberFormat="1" applyFont="1" applyAlignment="1">
      <alignment horizontal="left"/>
    </xf>
    <xf numFmtId="0" fontId="3" fillId="0" borderId="0" xfId="315" applyAlignment="1"/>
    <xf numFmtId="0" fontId="168" fillId="0" borderId="0" xfId="315" applyFont="1" applyAlignment="1">
      <alignment horizontal="left"/>
    </xf>
    <xf numFmtId="0" fontId="73" fillId="43" borderId="0" xfId="315" applyFont="1" applyFill="1"/>
    <xf numFmtId="0" fontId="3" fillId="43" borderId="0" xfId="315" applyFill="1"/>
    <xf numFmtId="40" fontId="73" fillId="43" borderId="0" xfId="134" applyNumberFormat="1" applyFont="1" applyFill="1"/>
    <xf numFmtId="0" fontId="3" fillId="0" borderId="0" xfId="315" applyAlignment="1">
      <alignment horizontal="left" indent="1"/>
    </xf>
    <xf numFmtId="38" fontId="73" fillId="43" borderId="0" xfId="134" applyNumberFormat="1" applyFont="1" applyFill="1"/>
    <xf numFmtId="0" fontId="3" fillId="0" borderId="0" xfId="315" applyNumberFormat="1" applyAlignment="1">
      <alignment horizontal="left"/>
    </xf>
    <xf numFmtId="186" fontId="3" fillId="0" borderId="0" xfId="315" applyNumberFormat="1"/>
    <xf numFmtId="0" fontId="3" fillId="45" borderId="6" xfId="315" applyFont="1" applyFill="1" applyBorder="1" applyAlignment="1">
      <alignment horizontal="centerContinuous"/>
    </xf>
    <xf numFmtId="0" fontId="3" fillId="45" borderId="7" xfId="315" applyFont="1" applyFill="1" applyBorder="1" applyAlignment="1">
      <alignment horizontal="centerContinuous"/>
    </xf>
    <xf numFmtId="0" fontId="3" fillId="45" borderId="75" xfId="315" applyFont="1" applyFill="1" applyBorder="1" applyAlignment="1">
      <alignment horizontal="centerContinuous"/>
    </xf>
    <xf numFmtId="0" fontId="3" fillId="43" borderId="29" xfId="315" applyFill="1" applyBorder="1" applyAlignment="1">
      <alignment vertical="top"/>
    </xf>
    <xf numFmtId="0" fontId="3" fillId="43" borderId="29" xfId="315" applyFill="1" applyBorder="1" applyAlignment="1">
      <alignment horizontal="center" vertical="top"/>
    </xf>
    <xf numFmtId="0" fontId="73" fillId="43" borderId="29" xfId="315" applyFont="1" applyFill="1" applyBorder="1" applyAlignment="1">
      <alignment horizontal="center" vertical="top" wrapText="1"/>
    </xf>
    <xf numFmtId="0" fontId="169" fillId="43" borderId="29" xfId="315" applyFont="1" applyFill="1" applyBorder="1" applyAlignment="1">
      <alignment vertical="top"/>
    </xf>
    <xf numFmtId="186" fontId="3" fillId="43" borderId="29" xfId="315" applyNumberFormat="1" applyFill="1" applyBorder="1" applyAlignment="1">
      <alignment vertical="top"/>
    </xf>
    <xf numFmtId="0" fontId="3" fillId="43" borderId="29" xfId="315" applyFill="1" applyBorder="1" applyAlignment="1">
      <alignment horizontal="left" vertical="top" wrapText="1"/>
    </xf>
    <xf numFmtId="0" fontId="3" fillId="43" borderId="78" xfId="315" applyFont="1" applyFill="1" applyBorder="1" applyAlignment="1">
      <alignment horizontal="center" vertical="top"/>
    </xf>
    <xf numFmtId="0" fontId="3" fillId="0" borderId="0" xfId="315" applyAlignment="1">
      <alignment vertical="top"/>
    </xf>
    <xf numFmtId="14" fontId="3" fillId="0" borderId="0" xfId="315" applyNumberFormat="1"/>
    <xf numFmtId="40" fontId="73" fillId="0" borderId="0" xfId="315" applyNumberFormat="1" applyFont="1"/>
    <xf numFmtId="40" fontId="73" fillId="0" borderId="0" xfId="315" applyNumberFormat="1" applyFont="1" applyAlignment="1">
      <alignment horizontal="center"/>
    </xf>
    <xf numFmtId="0" fontId="3" fillId="0" borderId="0" xfId="315" applyAlignment="1">
      <alignment horizontal="center"/>
    </xf>
    <xf numFmtId="17" fontId="3" fillId="0" borderId="0" xfId="315" applyNumberFormat="1" applyAlignment="1">
      <alignment horizontal="left"/>
    </xf>
    <xf numFmtId="40" fontId="3" fillId="0" borderId="0" xfId="134" applyNumberFormat="1"/>
    <xf numFmtId="0" fontId="3" fillId="0" borderId="36" xfId="315" applyBorder="1"/>
    <xf numFmtId="40" fontId="3" fillId="0" borderId="36" xfId="134" applyNumberFormat="1" applyBorder="1"/>
    <xf numFmtId="0" fontId="3" fillId="0" borderId="36" xfId="315" applyBorder="1" applyAlignment="1">
      <alignment horizontal="right"/>
    </xf>
    <xf numFmtId="0" fontId="3" fillId="0" borderId="0" xfId="315" applyBorder="1"/>
    <xf numFmtId="0" fontId="3" fillId="0" borderId="0" xfId="315" applyFill="1"/>
    <xf numFmtId="43" fontId="3" fillId="0" borderId="0" xfId="315" applyNumberFormat="1"/>
    <xf numFmtId="165" fontId="0" fillId="0" borderId="0" xfId="134" applyNumberFormat="1" applyFont="1"/>
    <xf numFmtId="43" fontId="0" fillId="0" borderId="0" xfId="134" applyFont="1" applyFill="1"/>
    <xf numFmtId="0" fontId="3" fillId="0" borderId="0" xfId="315" applyFont="1" applyFill="1"/>
    <xf numFmtId="43" fontId="3" fillId="0" borderId="0" xfId="134" applyFont="1" applyFill="1"/>
    <xf numFmtId="165" fontId="73" fillId="0" borderId="0" xfId="134" applyNumberFormat="1" applyFont="1"/>
    <xf numFmtId="165" fontId="3" fillId="0" borderId="0" xfId="315" applyNumberFormat="1"/>
    <xf numFmtId="168" fontId="119" fillId="0" borderId="0" xfId="392" applyNumberFormat="1" applyFont="1" applyFill="1" applyBorder="1" applyProtection="1"/>
    <xf numFmtId="17" fontId="3" fillId="0" borderId="0" xfId="628" applyNumberFormat="1" applyFont="1" applyFill="1"/>
    <xf numFmtId="0" fontId="26" fillId="0" borderId="0" xfId="956" applyFont="1"/>
    <xf numFmtId="37" fontId="170" fillId="44" borderId="0" xfId="628" applyFont="1" applyFill="1"/>
    <xf numFmtId="37" fontId="170" fillId="0" borderId="0" xfId="628" applyFont="1" applyFill="1"/>
    <xf numFmtId="0" fontId="26" fillId="0" borderId="0" xfId="956" applyFont="1" applyAlignment="1">
      <alignment horizontal="left"/>
    </xf>
    <xf numFmtId="0" fontId="26" fillId="0" borderId="0" xfId="956" quotePrefix="1" applyFont="1" applyAlignment="1">
      <alignment horizontal="left"/>
    </xf>
    <xf numFmtId="165" fontId="26" fillId="44" borderId="0" xfId="6" applyNumberFormat="1" applyFont="1" applyFill="1"/>
    <xf numFmtId="165" fontId="26" fillId="0" borderId="0" xfId="6" applyNumberFormat="1" applyFont="1" applyFill="1"/>
    <xf numFmtId="0" fontId="22" fillId="0" borderId="0" xfId="956" applyFont="1"/>
    <xf numFmtId="14" fontId="171" fillId="0" borderId="0" xfId="628" applyNumberFormat="1" applyFont="1" applyFill="1"/>
    <xf numFmtId="0" fontId="68" fillId="0" borderId="0" xfId="956" applyNumberFormat="1" applyFont="1"/>
    <xf numFmtId="0" fontId="67" fillId="0" borderId="0" xfId="956" applyNumberFormat="1" applyFont="1"/>
    <xf numFmtId="0" fontId="68" fillId="0" borderId="0" xfId="956" applyNumberFormat="1" applyFont="1" applyAlignment="1">
      <alignment horizontal="right"/>
    </xf>
    <xf numFmtId="0" fontId="69" fillId="0" borderId="0" xfId="956" applyNumberFormat="1" applyFont="1" applyAlignment="1">
      <alignment horizontal="left"/>
    </xf>
    <xf numFmtId="0" fontId="67" fillId="0" borderId="0" xfId="956" applyNumberFormat="1" applyFont="1" applyAlignment="1">
      <alignment horizontal="centerContinuous"/>
    </xf>
    <xf numFmtId="0" fontId="172" fillId="0" borderId="0" xfId="956" applyNumberFormat="1" applyFont="1"/>
    <xf numFmtId="37" fontId="53" fillId="0" borderId="0" xfId="628" applyFont="1" applyFill="1"/>
    <xf numFmtId="0" fontId="77" fillId="0" borderId="0" xfId="956" applyNumberFormat="1" applyFont="1"/>
    <xf numFmtId="49" fontId="69" fillId="0" borderId="0" xfId="956" applyNumberFormat="1" applyFont="1" applyAlignment="1">
      <alignment horizontal="left"/>
    </xf>
    <xf numFmtId="49" fontId="71" fillId="0" borderId="0" xfId="956" applyNumberFormat="1" applyFont="1"/>
    <xf numFmtId="0" fontId="26" fillId="0" borderId="0" xfId="956" applyNumberFormat="1" applyFont="1" applyAlignment="1">
      <alignment horizontal="center"/>
    </xf>
    <xf numFmtId="0" fontId="67" fillId="0" borderId="0" xfId="956" applyNumberFormat="1" applyFont="1" applyAlignment="1">
      <alignment horizontal="center"/>
    </xf>
    <xf numFmtId="171" fontId="173" fillId="0" borderId="0" xfId="956" quotePrefix="1" applyNumberFormat="1" applyFont="1" applyAlignment="1">
      <alignment horizontal="left"/>
    </xf>
    <xf numFmtId="0" fontId="26" fillId="0" borderId="0" xfId="956" applyNumberFormat="1" applyFont="1"/>
    <xf numFmtId="0" fontId="174" fillId="44" borderId="12" xfId="956" applyNumberFormat="1" applyFont="1" applyFill="1" applyBorder="1" applyAlignment="1">
      <alignment horizontal="centerContinuous"/>
    </xf>
    <xf numFmtId="0" fontId="22" fillId="0" borderId="0" xfId="956" applyNumberFormat="1" applyFont="1"/>
    <xf numFmtId="165" fontId="170" fillId="45" borderId="0" xfId="6" applyNumberFormat="1" applyFont="1" applyFill="1" applyBorder="1" applyAlignment="1">
      <alignment horizontal="centerContinuous"/>
    </xf>
    <xf numFmtId="165" fontId="175" fillId="0" borderId="12" xfId="6" applyNumberFormat="1" applyFont="1" applyBorder="1" applyAlignment="1">
      <alignment horizontal="centerContinuous"/>
    </xf>
    <xf numFmtId="0" fontId="26" fillId="0" borderId="12" xfId="956" applyNumberFormat="1" applyFont="1" applyBorder="1" applyAlignment="1">
      <alignment horizontal="centerContinuous"/>
    </xf>
    <xf numFmtId="165" fontId="175" fillId="45" borderId="0" xfId="6" applyNumberFormat="1" applyFont="1" applyFill="1" applyBorder="1" applyAlignment="1">
      <alignment horizontal="centerContinuous"/>
    </xf>
    <xf numFmtId="165" fontId="170" fillId="0" borderId="0" xfId="956" applyNumberFormat="1" applyFont="1" applyAlignment="1">
      <alignment horizontal="center"/>
    </xf>
    <xf numFmtId="165" fontId="175" fillId="45" borderId="0" xfId="956" applyNumberFormat="1" applyFont="1" applyFill="1" applyAlignment="1">
      <alignment horizontal="center"/>
    </xf>
    <xf numFmtId="0" fontId="174" fillId="0" borderId="0" xfId="956" applyNumberFormat="1" applyFont="1" applyAlignment="1">
      <alignment horizontal="center"/>
    </xf>
    <xf numFmtId="165" fontId="175" fillId="45" borderId="29" xfId="6" applyNumberFormat="1" applyFont="1" applyFill="1" applyBorder="1" applyAlignment="1">
      <alignment horizontal="centerContinuous"/>
    </xf>
    <xf numFmtId="165" fontId="175" fillId="0" borderId="29" xfId="6" applyNumberFormat="1" applyFont="1" applyBorder="1" applyAlignment="1">
      <alignment horizontal="centerContinuous"/>
    </xf>
    <xf numFmtId="17" fontId="174" fillId="0" borderId="29" xfId="956" applyNumberFormat="1" applyFont="1" applyBorder="1" applyAlignment="1">
      <alignment horizontal="center"/>
    </xf>
    <xf numFmtId="0" fontId="176" fillId="0" borderId="0" xfId="956" applyNumberFormat="1" applyFont="1"/>
    <xf numFmtId="37" fontId="170" fillId="0" borderId="0" xfId="628" applyFont="1" applyFill="1" applyBorder="1"/>
    <xf numFmtId="0" fontId="26" fillId="0" borderId="12" xfId="956" applyFont="1" applyBorder="1"/>
    <xf numFmtId="165" fontId="26" fillId="43" borderId="0" xfId="6" applyNumberFormat="1" applyFont="1" applyFill="1" applyBorder="1"/>
    <xf numFmtId="165" fontId="26" fillId="0" borderId="0" xfId="6" applyNumberFormat="1" applyFont="1" applyFill="1" applyBorder="1"/>
    <xf numFmtId="165" fontId="26" fillId="0" borderId="12" xfId="6" applyNumberFormat="1" applyFont="1" applyBorder="1"/>
    <xf numFmtId="165" fontId="26" fillId="0" borderId="12" xfId="6" applyNumberFormat="1" applyFont="1" applyFill="1" applyBorder="1"/>
    <xf numFmtId="0" fontId="26" fillId="0" borderId="0" xfId="956" applyFont="1" applyBorder="1"/>
    <xf numFmtId="165" fontId="26" fillId="0" borderId="0" xfId="6" applyNumberFormat="1" applyFont="1"/>
    <xf numFmtId="0" fontId="174" fillId="0" borderId="0" xfId="956" applyFont="1" applyAlignment="1">
      <alignment horizontal="left"/>
    </xf>
    <xf numFmtId="165" fontId="26" fillId="43" borderId="7" xfId="6" applyNumberFormat="1" applyFont="1" applyFill="1" applyBorder="1"/>
    <xf numFmtId="165" fontId="26" fillId="0" borderId="7" xfId="6" applyNumberFormat="1" applyFont="1" applyFill="1" applyBorder="1"/>
    <xf numFmtId="0" fontId="26" fillId="0" borderId="0" xfId="956" quotePrefix="1" applyFont="1"/>
    <xf numFmtId="0" fontId="26" fillId="0" borderId="0" xfId="956" applyFont="1" applyFill="1"/>
    <xf numFmtId="0" fontId="174" fillId="0" borderId="0" xfId="956" applyFont="1"/>
    <xf numFmtId="165" fontId="26" fillId="43" borderId="8" xfId="6" applyNumberFormat="1" applyFont="1" applyFill="1" applyBorder="1"/>
    <xf numFmtId="165" fontId="26" fillId="0" borderId="8" xfId="6" applyNumberFormat="1" applyFont="1" applyFill="1" applyBorder="1"/>
    <xf numFmtId="0" fontId="170" fillId="0" borderId="0" xfId="4" applyFont="1" applyFill="1"/>
    <xf numFmtId="0" fontId="7" fillId="0" borderId="0" xfId="956" applyFont="1"/>
    <xf numFmtId="165" fontId="170" fillId="0" borderId="0" xfId="174" applyNumberFormat="1" applyFont="1" applyFill="1"/>
    <xf numFmtId="165" fontId="3" fillId="0" borderId="0" xfId="174" applyNumberFormat="1" applyFont="1" applyFill="1"/>
    <xf numFmtId="165" fontId="170" fillId="0" borderId="0" xfId="6" applyNumberFormat="1" applyFont="1" applyFill="1"/>
    <xf numFmtId="165" fontId="26" fillId="3" borderId="0" xfId="6" applyNumberFormat="1" applyFont="1" applyFill="1" applyBorder="1"/>
    <xf numFmtId="0" fontId="26" fillId="3" borderId="0" xfId="956" applyFont="1" applyFill="1"/>
    <xf numFmtId="0" fontId="3" fillId="0" borderId="0" xfId="4" applyFont="1" applyFill="1"/>
    <xf numFmtId="37" fontId="170" fillId="3" borderId="0" xfId="628" applyFont="1" applyFill="1" applyBorder="1"/>
    <xf numFmtId="37" fontId="170" fillId="3" borderId="0" xfId="628" applyFont="1" applyFill="1"/>
    <xf numFmtId="37" fontId="85" fillId="3" borderId="0" xfId="0" applyNumberFormat="1" applyFont="1" applyFill="1" applyAlignment="1">
      <alignment horizontal="center" wrapText="1"/>
    </xf>
    <xf numFmtId="0" fontId="101" fillId="0" borderId="0" xfId="0" applyFont="1"/>
    <xf numFmtId="1" fontId="101" fillId="0" borderId="0" xfId="0" applyNumberFormat="1" applyFont="1"/>
    <xf numFmtId="0" fontId="100" fillId="0" borderId="0" xfId="0" applyFont="1" applyAlignment="1">
      <alignment wrapText="1"/>
    </xf>
    <xf numFmtId="164" fontId="101" fillId="0" borderId="0" xfId="2" applyNumberFormat="1" applyFont="1" applyFill="1"/>
    <xf numFmtId="0" fontId="96" fillId="0" borderId="0" xfId="0" applyFont="1" applyFill="1"/>
    <xf numFmtId="0" fontId="100" fillId="0" borderId="0" xfId="0" applyFont="1" applyAlignment="1">
      <alignment vertical="top" wrapText="1"/>
    </xf>
    <xf numFmtId="14" fontId="100" fillId="0" borderId="0" xfId="0" applyNumberFormat="1" applyFont="1" applyAlignment="1">
      <alignment vertical="top"/>
    </xf>
    <xf numFmtId="0" fontId="100" fillId="0" borderId="0" xfId="0" pivotButton="1" applyFont="1"/>
    <xf numFmtId="0" fontId="101" fillId="0" borderId="12" xfId="0" pivotButton="1" applyFont="1" applyBorder="1" applyAlignment="1">
      <alignment horizontal="center" wrapText="1"/>
    </xf>
    <xf numFmtId="0" fontId="101" fillId="0" borderId="12" xfId="0" applyFont="1" applyBorder="1" applyAlignment="1">
      <alignment horizontal="center" wrapText="1"/>
    </xf>
    <xf numFmtId="0" fontId="100" fillId="0" borderId="0" xfId="0" applyFont="1" applyAlignment="1">
      <alignment horizontal="left"/>
    </xf>
    <xf numFmtId="43" fontId="100" fillId="0" borderId="0" xfId="0" applyNumberFormat="1" applyFont="1"/>
    <xf numFmtId="43" fontId="101" fillId="0" borderId="0" xfId="0" applyNumberFormat="1" applyFont="1"/>
    <xf numFmtId="0" fontId="100" fillId="0" borderId="12" xfId="0" applyFont="1" applyBorder="1"/>
    <xf numFmtId="43" fontId="100" fillId="0" borderId="12" xfId="0" applyNumberFormat="1" applyFont="1" applyBorder="1"/>
    <xf numFmtId="0" fontId="179" fillId="0" borderId="0" xfId="0" applyFont="1" applyBorder="1" applyAlignment="1">
      <alignment vertical="center"/>
    </xf>
    <xf numFmtId="164" fontId="179" fillId="0" borderId="29" xfId="2" applyNumberFormat="1" applyFont="1" applyBorder="1" applyAlignment="1">
      <alignment vertical="center"/>
    </xf>
    <xf numFmtId="164" fontId="179" fillId="0" borderId="0" xfId="2" applyNumberFormat="1" applyFont="1" applyAlignment="1">
      <alignment vertical="center"/>
    </xf>
    <xf numFmtId="165" fontId="85" fillId="0" borderId="8" xfId="0" applyNumberFormat="1" applyFont="1" applyFill="1" applyBorder="1"/>
    <xf numFmtId="164" fontId="91" fillId="3" borderId="0" xfId="2" applyNumberFormat="1" applyFont="1" applyFill="1"/>
    <xf numFmtId="44" fontId="100" fillId="0" borderId="0" xfId="0" applyNumberFormat="1" applyFont="1"/>
    <xf numFmtId="44" fontId="102" fillId="0" borderId="0" xfId="2" applyFont="1" applyBorder="1"/>
    <xf numFmtId="165" fontId="102" fillId="0" borderId="0" xfId="958" applyNumberFormat="1" applyFont="1" applyBorder="1"/>
    <xf numFmtId="164" fontId="102" fillId="0" borderId="0" xfId="2" applyNumberFormat="1" applyFont="1" applyBorder="1"/>
    <xf numFmtId="43" fontId="91" fillId="3" borderId="0" xfId="1" applyNumberFormat="1" applyFont="1" applyFill="1" applyBorder="1"/>
    <xf numFmtId="166" fontId="164" fillId="3" borderId="7" xfId="392" applyFont="1" applyFill="1" applyBorder="1" applyAlignment="1">
      <alignment horizontal="center"/>
    </xf>
    <xf numFmtId="187" fontId="91" fillId="3" borderId="0" xfId="392" applyNumberFormat="1" applyFont="1" applyFill="1" applyBorder="1"/>
    <xf numFmtId="166" fontId="93" fillId="3" borderId="0" xfId="392" applyFont="1" applyFill="1" applyBorder="1"/>
    <xf numFmtId="187" fontId="93" fillId="3" borderId="0" xfId="392" applyNumberFormat="1" applyFont="1" applyFill="1" applyBorder="1"/>
    <xf numFmtId="37" fontId="93" fillId="3" borderId="0" xfId="392" applyNumberFormat="1" applyFont="1" applyFill="1" applyBorder="1"/>
    <xf numFmtId="44" fontId="93" fillId="3" borderId="0" xfId="392" applyNumberFormat="1" applyFont="1" applyFill="1" applyBorder="1"/>
    <xf numFmtId="166" fontId="93" fillId="3" borderId="0" xfId="392" quotePrefix="1" applyFont="1" applyFill="1" applyBorder="1"/>
    <xf numFmtId="37" fontId="93" fillId="3" borderId="0" xfId="392" applyNumberFormat="1" applyFont="1" applyFill="1"/>
    <xf numFmtId="44" fontId="93" fillId="3" borderId="0" xfId="392" applyNumberFormat="1" applyFont="1" applyFill="1"/>
    <xf numFmtId="182" fontId="93" fillId="3" borderId="0" xfId="392" quotePrefix="1" applyNumberFormat="1" applyFont="1" applyFill="1"/>
    <xf numFmtId="166" fontId="164" fillId="3" borderId="12" xfId="392" applyFont="1" applyFill="1" applyBorder="1" applyAlignment="1">
      <alignment horizontal="center"/>
    </xf>
    <xf numFmtId="166" fontId="164" fillId="3" borderId="36" xfId="392" applyFont="1" applyFill="1" applyBorder="1" applyAlignment="1">
      <alignment horizontal="center"/>
    </xf>
    <xf numFmtId="165" fontId="91" fillId="0" borderId="0" xfId="958" applyNumberFormat="1" applyFont="1"/>
    <xf numFmtId="164" fontId="91" fillId="0" borderId="0" xfId="2" applyNumberFormat="1" applyFont="1" applyFill="1"/>
    <xf numFmtId="0" fontId="91" fillId="0" borderId="0" xfId="958" applyFont="1" applyAlignment="1">
      <alignment horizontal="right"/>
    </xf>
    <xf numFmtId="44" fontId="91" fillId="0" borderId="0" xfId="2" applyFont="1"/>
    <xf numFmtId="164" fontId="91" fillId="0" borderId="0" xfId="2" applyNumberFormat="1" applyFont="1"/>
    <xf numFmtId="44" fontId="93" fillId="0" borderId="12" xfId="2" applyFont="1" applyBorder="1"/>
    <xf numFmtId="165" fontId="93" fillId="0" borderId="12" xfId="958" applyNumberFormat="1" applyFont="1" applyBorder="1"/>
    <xf numFmtId="164" fontId="93" fillId="0" borderId="12" xfId="2" applyNumberFormat="1" applyFont="1" applyBorder="1"/>
    <xf numFmtId="44" fontId="93" fillId="0" borderId="0" xfId="2" applyFont="1"/>
    <xf numFmtId="165" fontId="93" fillId="0" borderId="0" xfId="958" applyNumberFormat="1" applyFont="1"/>
    <xf numFmtId="164" fontId="93" fillId="0" borderId="0" xfId="2" applyNumberFormat="1" applyFont="1"/>
    <xf numFmtId="17" fontId="93" fillId="0" borderId="0" xfId="958" applyNumberFormat="1" applyFont="1"/>
    <xf numFmtId="0" fontId="90" fillId="94" borderId="0" xfId="958" applyFont="1" applyFill="1" applyAlignment="1">
      <alignment horizontal="center"/>
    </xf>
    <xf numFmtId="0" fontId="99" fillId="94" borderId="0" xfId="958" applyFont="1" applyFill="1"/>
    <xf numFmtId="0" fontId="93" fillId="0" borderId="0" xfId="958" applyFont="1"/>
    <xf numFmtId="0" fontId="91" fillId="0" borderId="0" xfId="958" applyFont="1"/>
    <xf numFmtId="165" fontId="91" fillId="0" borderId="0" xfId="1" applyNumberFormat="1" applyFont="1"/>
    <xf numFmtId="0" fontId="178" fillId="94" borderId="0" xfId="958" applyFont="1" applyFill="1"/>
    <xf numFmtId="0" fontId="79" fillId="95" borderId="12" xfId="0" applyFont="1" applyFill="1" applyBorder="1" applyAlignment="1">
      <alignment horizontal="center"/>
    </xf>
    <xf numFmtId="0" fontId="79" fillId="95" borderId="6" xfId="0" applyFont="1" applyFill="1" applyBorder="1" applyAlignment="1">
      <alignment horizontal="center"/>
    </xf>
    <xf numFmtId="0" fontId="79" fillId="95" borderId="7" xfId="0" applyFont="1" applyFill="1" applyBorder="1" applyAlignment="1">
      <alignment horizontal="center"/>
    </xf>
    <xf numFmtId="0" fontId="79" fillId="3" borderId="0" xfId="0" applyFont="1" applyFill="1"/>
    <xf numFmtId="0" fontId="0" fillId="3" borderId="0" xfId="0" applyFill="1"/>
    <xf numFmtId="0" fontId="0" fillId="3" borderId="0" xfId="0" applyFill="1" applyBorder="1"/>
    <xf numFmtId="0" fontId="0" fillId="3" borderId="0" xfId="0" applyFill="1" applyAlignment="1">
      <alignment horizontal="right"/>
    </xf>
    <xf numFmtId="0" fontId="100" fillId="0" borderId="0" xfId="0" applyFont="1"/>
    <xf numFmtId="0" fontId="79" fillId="3" borderId="0" xfId="0" applyFont="1" applyFill="1" applyAlignment="1">
      <alignment horizontal="center"/>
    </xf>
    <xf numFmtId="0" fontId="0" fillId="3" borderId="12" xfId="0" applyFill="1" applyBorder="1" applyAlignment="1">
      <alignment horizontal="center"/>
    </xf>
    <xf numFmtId="0" fontId="0" fillId="3" borderId="0" xfId="0" applyFill="1" applyAlignment="1">
      <alignment horizontal="center"/>
    </xf>
    <xf numFmtId="0" fontId="0" fillId="3" borderId="79" xfId="0" applyFill="1" applyBorder="1"/>
    <xf numFmtId="9" fontId="0" fillId="3" borderId="36" xfId="3" applyFont="1" applyFill="1" applyBorder="1"/>
    <xf numFmtId="0" fontId="0" fillId="3" borderId="80" xfId="0" applyFill="1" applyBorder="1"/>
    <xf numFmtId="9" fontId="0" fillId="3" borderId="0" xfId="3" applyFont="1" applyFill="1" applyBorder="1"/>
    <xf numFmtId="0" fontId="0" fillId="3" borderId="81" xfId="0" applyFill="1" applyBorder="1"/>
    <xf numFmtId="9" fontId="0" fillId="3" borderId="12" xfId="3" applyFont="1" applyFill="1" applyBorder="1"/>
    <xf numFmtId="164" fontId="79" fillId="3" borderId="29" xfId="2" applyNumberFormat="1" applyFont="1" applyFill="1" applyBorder="1"/>
    <xf numFmtId="9" fontId="79" fillId="3" borderId="29" xfId="3" applyFont="1" applyFill="1" applyBorder="1"/>
    <xf numFmtId="44" fontId="0" fillId="3" borderId="0" xfId="2" applyFont="1" applyFill="1"/>
    <xf numFmtId="0" fontId="159" fillId="0" borderId="0" xfId="315" applyFont="1"/>
    <xf numFmtId="43" fontId="73" fillId="0" borderId="0" xfId="315" applyNumberFormat="1" applyFont="1"/>
    <xf numFmtId="3" fontId="106" fillId="0" borderId="0" xfId="0" applyNumberFormat="1" applyFont="1" applyFill="1"/>
    <xf numFmtId="43" fontId="123" fillId="0" borderId="0" xfId="1" applyFont="1" applyFill="1"/>
    <xf numFmtId="43" fontId="88" fillId="0" borderId="36" xfId="0" applyNumberFormat="1" applyFont="1" applyFill="1" applyBorder="1"/>
    <xf numFmtId="10" fontId="91" fillId="3" borderId="0" xfId="3" applyNumberFormat="1" applyFont="1" applyFill="1" applyBorder="1"/>
    <xf numFmtId="44" fontId="123" fillId="0" borderId="0" xfId="0" applyNumberFormat="1" applyFont="1" applyFill="1" applyBorder="1"/>
    <xf numFmtId="164" fontId="102" fillId="0" borderId="0" xfId="0" applyNumberFormat="1" applyFont="1"/>
    <xf numFmtId="0" fontId="102" fillId="0" borderId="0" xfId="0" applyFont="1" applyFill="1"/>
    <xf numFmtId="43" fontId="123" fillId="0" borderId="0" xfId="0" applyNumberFormat="1" applyFont="1" applyFill="1"/>
    <xf numFmtId="164" fontId="131" fillId="0" borderId="0" xfId="0" applyNumberFormat="1" applyFont="1" applyFill="1"/>
    <xf numFmtId="37" fontId="123" fillId="0" borderId="0" xfId="0" applyNumberFormat="1" applyFont="1" applyFill="1"/>
    <xf numFmtId="43" fontId="123" fillId="0" borderId="0" xfId="0" applyNumberFormat="1" applyFont="1"/>
    <xf numFmtId="165" fontId="123" fillId="0" borderId="0" xfId="0" applyNumberFormat="1" applyFont="1"/>
    <xf numFmtId="43" fontId="3" fillId="0" borderId="0" xfId="134" applyFont="1"/>
    <xf numFmtId="43" fontId="73" fillId="0" borderId="0" xfId="134" applyFont="1"/>
    <xf numFmtId="43" fontId="3" fillId="0" borderId="12" xfId="315" applyNumberFormat="1" applyBorder="1"/>
    <xf numFmtId="44" fontId="102" fillId="0" borderId="0" xfId="0" applyNumberFormat="1" applyFont="1" applyFill="1"/>
    <xf numFmtId="0" fontId="101" fillId="0" borderId="0" xfId="0" applyFont="1" applyAlignment="1">
      <alignment horizontal="right"/>
    </xf>
    <xf numFmtId="10" fontId="79" fillId="0" borderId="0" xfId="0" applyNumberFormat="1" applyFont="1"/>
    <xf numFmtId="10" fontId="79" fillId="0" borderId="0" xfId="3" applyNumberFormat="1" applyFont="1"/>
    <xf numFmtId="3" fontId="85" fillId="3" borderId="0" xfId="0" applyNumberFormat="1" applyFont="1" applyFill="1"/>
    <xf numFmtId="0" fontId="0" fillId="0" borderId="0" xfId="0" pivotButton="1"/>
    <xf numFmtId="0" fontId="0" fillId="0" borderId="0" xfId="0" applyAlignment="1">
      <alignment horizontal="left"/>
    </xf>
    <xf numFmtId="43" fontId="0" fillId="0" borderId="0" xfId="0" applyNumberFormat="1"/>
    <xf numFmtId="43" fontId="0" fillId="3" borderId="0" xfId="1" applyFont="1" applyFill="1"/>
    <xf numFmtId="43" fontId="93" fillId="0" borderId="0" xfId="1" applyFont="1" applyFill="1" applyBorder="1"/>
    <xf numFmtId="0" fontId="159" fillId="0" borderId="0" xfId="315" applyFont="1" applyFill="1"/>
    <xf numFmtId="0" fontId="180" fillId="0" borderId="0" xfId="315" applyFont="1"/>
    <xf numFmtId="165" fontId="73" fillId="0" borderId="0" xfId="315" applyNumberFormat="1" applyFont="1"/>
    <xf numFmtId="166" fontId="182" fillId="0" borderId="0" xfId="392" applyFont="1"/>
    <xf numFmtId="44" fontId="119" fillId="0" borderId="0" xfId="2" applyFont="1"/>
    <xf numFmtId="164" fontId="119" fillId="0" borderId="0" xfId="2" applyNumberFormat="1" applyFont="1"/>
    <xf numFmtId="164" fontId="119" fillId="0" borderId="12" xfId="2" applyNumberFormat="1" applyFont="1" applyBorder="1"/>
    <xf numFmtId="166" fontId="119" fillId="0" borderId="0" xfId="392" applyFont="1" applyAlignment="1">
      <alignment horizontal="right"/>
    </xf>
    <xf numFmtId="166" fontId="181" fillId="0" borderId="0" xfId="392" applyFont="1" applyAlignment="1">
      <alignment horizontal="right"/>
    </xf>
    <xf numFmtId="164" fontId="181" fillId="0" borderId="0" xfId="2" applyNumberFormat="1" applyFont="1"/>
    <xf numFmtId="10" fontId="181" fillId="0" borderId="0" xfId="3" applyNumberFormat="1" applyFont="1"/>
    <xf numFmtId="37" fontId="162" fillId="0" borderId="0" xfId="4" applyNumberFormat="1" applyFont="1" applyFill="1" applyBorder="1" applyAlignment="1">
      <alignment horizontal="left"/>
    </xf>
    <xf numFmtId="37" fontId="91" fillId="0" borderId="0" xfId="4" applyNumberFormat="1" applyFont="1" applyFill="1" applyBorder="1" applyAlignment="1">
      <alignment horizontal="center"/>
    </xf>
    <xf numFmtId="188" fontId="123" fillId="3" borderId="0" xfId="1" applyNumberFormat="1" applyFont="1" applyFill="1"/>
    <xf numFmtId="43" fontId="100" fillId="0" borderId="0" xfId="1" applyFont="1"/>
    <xf numFmtId="165" fontId="100" fillId="0" borderId="0" xfId="1" applyNumberFormat="1" applyFont="1"/>
    <xf numFmtId="17" fontId="73" fillId="0" borderId="0" xfId="173" applyNumberFormat="1" applyFont="1" applyFill="1" applyBorder="1" applyAlignment="1">
      <alignment horizontal="centerContinuous" wrapText="1"/>
    </xf>
    <xf numFmtId="0" fontId="4" fillId="0" borderId="0" xfId="392" applyNumberFormat="1" applyFont="1" applyAlignment="1">
      <alignment horizontal="left"/>
    </xf>
    <xf numFmtId="166" fontId="5" fillId="0" borderId="0" xfId="392" applyFont="1"/>
    <xf numFmtId="166" fontId="4" fillId="0" borderId="0" xfId="392" applyFont="1"/>
    <xf numFmtId="166" fontId="5" fillId="0" borderId="0" xfId="392" applyFont="1" applyAlignment="1">
      <alignment horizontal="left"/>
    </xf>
    <xf numFmtId="166" fontId="5" fillId="0" borderId="0" xfId="392" applyFont="1" applyFill="1" applyAlignment="1">
      <alignment horizontal="left"/>
    </xf>
    <xf numFmtId="165" fontId="5" fillId="0" borderId="0" xfId="134" applyNumberFormat="1" applyFont="1"/>
    <xf numFmtId="3" fontId="5" fillId="0" borderId="0" xfId="392" applyNumberFormat="1" applyFont="1"/>
    <xf numFmtId="189" fontId="5" fillId="0" borderId="0" xfId="392" applyNumberFormat="1" applyFont="1"/>
    <xf numFmtId="168" fontId="5" fillId="0" borderId="0" xfId="392" applyNumberFormat="1" applyFont="1"/>
    <xf numFmtId="3" fontId="5" fillId="0" borderId="0" xfId="392" applyNumberFormat="1" applyFont="1" applyAlignment="1">
      <alignment horizontal="right"/>
    </xf>
    <xf numFmtId="10" fontId="5" fillId="0" borderId="0" xfId="392" applyNumberFormat="1" applyFont="1"/>
    <xf numFmtId="0" fontId="183" fillId="0" borderId="0" xfId="356" applyFont="1"/>
    <xf numFmtId="9" fontId="5" fillId="0" borderId="0" xfId="940" applyFont="1"/>
    <xf numFmtId="166" fontId="5" fillId="0" borderId="0" xfId="392" applyFont="1" applyBorder="1"/>
    <xf numFmtId="166" fontId="5" fillId="0" borderId="0" xfId="392" applyFont="1" applyBorder="1" applyAlignment="1">
      <alignment horizontal="left"/>
    </xf>
    <xf numFmtId="166" fontId="5" fillId="0" borderId="0" xfId="392" applyFont="1" applyFill="1" applyBorder="1" applyAlignment="1">
      <alignment horizontal="left"/>
    </xf>
    <xf numFmtId="166" fontId="185" fillId="0" borderId="29" xfId="392" applyFont="1" applyBorder="1"/>
    <xf numFmtId="166" fontId="5" fillId="0" borderId="29" xfId="392" applyFont="1" applyBorder="1"/>
    <xf numFmtId="166" fontId="5" fillId="0" borderId="29" xfId="392" applyFont="1" applyBorder="1" applyAlignment="1">
      <alignment horizontal="left"/>
    </xf>
    <xf numFmtId="166" fontId="5" fillId="0" borderId="29" xfId="392" applyFont="1" applyFill="1" applyBorder="1" applyAlignment="1">
      <alignment horizontal="left"/>
    </xf>
    <xf numFmtId="166" fontId="5" fillId="0" borderId="0" xfId="392" applyFont="1" applyFill="1" applyAlignment="1">
      <alignment horizontal="right"/>
    </xf>
    <xf numFmtId="14" fontId="5" fillId="0" borderId="0" xfId="392" applyNumberFormat="1" applyFont="1" applyFill="1" applyAlignment="1">
      <alignment horizontal="center"/>
    </xf>
    <xf numFmtId="4" fontId="5" fillId="0" borderId="0" xfId="392" applyNumberFormat="1" applyFont="1"/>
    <xf numFmtId="166" fontId="5" fillId="7" borderId="0" xfId="392" applyFont="1" applyFill="1" applyAlignment="1">
      <alignment horizontal="left"/>
    </xf>
    <xf numFmtId="166" fontId="4" fillId="7" borderId="37" xfId="392" applyFont="1" applyFill="1" applyBorder="1" applyAlignment="1">
      <alignment horizontal="center"/>
    </xf>
    <xf numFmtId="166" fontId="4" fillId="7" borderId="0" xfId="392" applyFont="1" applyFill="1" applyBorder="1" applyAlignment="1">
      <alignment horizontal="center"/>
    </xf>
    <xf numFmtId="166" fontId="5" fillId="0" borderId="39" xfId="392" applyFont="1" applyFill="1" applyBorder="1" applyAlignment="1">
      <alignment horizontal="left"/>
    </xf>
    <xf numFmtId="166" fontId="4" fillId="7" borderId="40" xfId="392" applyFont="1" applyFill="1" applyBorder="1" applyAlignment="1">
      <alignment horizontal="center"/>
    </xf>
    <xf numFmtId="166" fontId="4" fillId="0" borderId="41" xfId="392" applyFont="1" applyFill="1" applyBorder="1" applyAlignment="1">
      <alignment horizontal="center"/>
    </xf>
    <xf numFmtId="166" fontId="4" fillId="0" borderId="0" xfId="392" quotePrefix="1" applyFont="1" applyAlignment="1">
      <alignment horizontal="center"/>
    </xf>
    <xf numFmtId="166" fontId="4" fillId="0" borderId="0" xfId="392" applyFont="1" applyAlignment="1">
      <alignment horizontal="center"/>
    </xf>
    <xf numFmtId="166" fontId="5" fillId="0" borderId="0" xfId="392" applyFont="1" applyFill="1" applyAlignment="1">
      <alignment horizontal="center"/>
    </xf>
    <xf numFmtId="166" fontId="5" fillId="0" borderId="0" xfId="392" applyFont="1" applyFill="1"/>
    <xf numFmtId="166" fontId="4" fillId="0" borderId="82" xfId="392" applyFont="1" applyBorder="1" applyAlignment="1">
      <alignment horizontal="center"/>
    </xf>
    <xf numFmtId="166" fontId="4" fillId="7" borderId="29" xfId="392" applyFont="1" applyFill="1" applyBorder="1" applyAlignment="1">
      <alignment horizontal="center"/>
    </xf>
    <xf numFmtId="166" fontId="4" fillId="7" borderId="42" xfId="392" applyFont="1" applyFill="1" applyBorder="1" applyAlignment="1">
      <alignment horizontal="center"/>
    </xf>
    <xf numFmtId="166" fontId="4" fillId="0" borderId="43" xfId="392" applyFont="1" applyFill="1" applyBorder="1" applyAlignment="1">
      <alignment horizontal="center" wrapText="1"/>
    </xf>
    <xf numFmtId="165" fontId="4" fillId="0" borderId="0" xfId="134" applyNumberFormat="1" applyFont="1" applyAlignment="1">
      <alignment horizontal="center" wrapText="1"/>
    </xf>
    <xf numFmtId="3" fontId="4" fillId="0" borderId="0" xfId="392" applyNumberFormat="1" applyFont="1" applyAlignment="1">
      <alignment horizontal="center" wrapText="1"/>
    </xf>
    <xf numFmtId="189" fontId="4" fillId="0" borderId="0" xfId="392" applyNumberFormat="1" applyFont="1" applyAlignment="1">
      <alignment horizontal="center"/>
    </xf>
    <xf numFmtId="168" fontId="4" fillId="0" borderId="0" xfId="392" applyNumberFormat="1" applyFont="1" applyAlignment="1">
      <alignment horizontal="center"/>
    </xf>
    <xf numFmtId="3" fontId="4" fillId="0" borderId="0" xfId="392" applyNumberFormat="1" applyFont="1" applyAlignment="1">
      <alignment horizontal="center"/>
    </xf>
    <xf numFmtId="10" fontId="4" fillId="0" borderId="0" xfId="392" applyNumberFormat="1" applyFont="1" applyAlignment="1">
      <alignment horizontal="center"/>
    </xf>
    <xf numFmtId="166" fontId="4" fillId="0" borderId="0" xfId="392" applyFont="1" applyBorder="1" applyAlignment="1">
      <alignment horizontal="center"/>
    </xf>
    <xf numFmtId="166" fontId="4" fillId="0" borderId="41" xfId="392" applyFont="1" applyFill="1" applyBorder="1" applyAlignment="1">
      <alignment horizontal="center" wrapText="1"/>
    </xf>
    <xf numFmtId="166" fontId="4" fillId="92" borderId="83" xfId="392" applyFont="1" applyFill="1" applyBorder="1" applyAlignment="1">
      <alignment horizontal="centerContinuous"/>
    </xf>
    <xf numFmtId="166" fontId="4" fillId="92" borderId="83" xfId="392" applyFont="1" applyFill="1" applyBorder="1" applyAlignment="1">
      <alignment horizontal="center"/>
    </xf>
    <xf numFmtId="166" fontId="5" fillId="92" borderId="83" xfId="392" applyFont="1" applyFill="1" applyBorder="1" applyAlignment="1">
      <alignment horizontal="centerContinuous"/>
    </xf>
    <xf numFmtId="166" fontId="5" fillId="92" borderId="83" xfId="392" applyFont="1" applyFill="1" applyBorder="1" applyAlignment="1">
      <alignment horizontal="left"/>
    </xf>
    <xf numFmtId="166" fontId="4" fillId="96" borderId="0" xfId="392" applyFont="1" applyFill="1" applyBorder="1" applyAlignment="1">
      <alignment horizontal="left"/>
    </xf>
    <xf numFmtId="1" fontId="5" fillId="96" borderId="0" xfId="392" applyNumberFormat="1" applyFont="1" applyFill="1" applyBorder="1" applyAlignment="1">
      <alignment horizontal="right"/>
    </xf>
    <xf numFmtId="166" fontId="5" fillId="96" borderId="0" xfId="392" applyFont="1" applyFill="1"/>
    <xf numFmtId="166" fontId="4" fillId="96" borderId="0" xfId="392" applyFont="1" applyFill="1" applyBorder="1" applyAlignment="1">
      <alignment horizontal="center"/>
    </xf>
    <xf numFmtId="165" fontId="5" fillId="7" borderId="0" xfId="134" applyNumberFormat="1" applyFont="1" applyFill="1"/>
    <xf numFmtId="165" fontId="5" fillId="7" borderId="40" xfId="134" applyNumberFormat="1" applyFont="1" applyFill="1" applyBorder="1"/>
    <xf numFmtId="165" fontId="5" fillId="0" borderId="41" xfId="134" applyNumberFormat="1" applyFont="1" applyFill="1" applyBorder="1"/>
    <xf numFmtId="165" fontId="5" fillId="0" borderId="0" xfId="134" applyNumberFormat="1" applyFont="1" applyBorder="1" applyAlignment="1">
      <alignment horizontal="center"/>
    </xf>
    <xf numFmtId="3" fontId="5" fillId="0" borderId="0" xfId="134" applyNumberFormat="1" applyFont="1"/>
    <xf numFmtId="43" fontId="5" fillId="0" borderId="0" xfId="134" applyFont="1"/>
    <xf numFmtId="165" fontId="5" fillId="0" borderId="0" xfId="134" applyNumberFormat="1" applyFont="1" applyAlignment="1">
      <alignment horizontal="center"/>
    </xf>
    <xf numFmtId="14" fontId="5" fillId="0" borderId="0" xfId="392" applyNumberFormat="1" applyFont="1" applyFill="1" applyBorder="1" applyAlignment="1">
      <alignment horizontal="center"/>
    </xf>
    <xf numFmtId="168" fontId="5" fillId="0" borderId="0" xfId="940" applyNumberFormat="1" applyFont="1" applyFill="1" applyBorder="1" applyAlignment="1">
      <alignment horizontal="center"/>
    </xf>
    <xf numFmtId="43" fontId="186" fillId="0" borderId="0" xfId="134" applyFont="1" applyBorder="1"/>
    <xf numFmtId="166" fontId="4" fillId="0" borderId="0" xfId="392" applyFont="1" applyFill="1" applyBorder="1" applyAlignment="1">
      <alignment horizontal="center"/>
    </xf>
    <xf numFmtId="1" fontId="5" fillId="0" borderId="0" xfId="315" applyNumberFormat="1" applyFont="1"/>
    <xf numFmtId="166" fontId="5" fillId="0" borderId="0" xfId="392" applyFont="1" applyFill="1" applyBorder="1" applyAlignment="1">
      <alignment horizontal="center"/>
    </xf>
    <xf numFmtId="9" fontId="5" fillId="0" borderId="0" xfId="940" applyFont="1" applyFill="1" applyBorder="1" applyAlignment="1">
      <alignment horizontal="center"/>
    </xf>
    <xf numFmtId="165" fontId="5" fillId="0" borderId="0" xfId="134" applyNumberFormat="1" applyFont="1" applyFill="1" applyAlignment="1">
      <alignment horizontal="center"/>
    </xf>
    <xf numFmtId="166" fontId="5" fillId="0" borderId="0" xfId="392" applyFont="1" applyFill="1" applyBorder="1" applyAlignment="1">
      <alignment horizontal="right"/>
    </xf>
    <xf numFmtId="1" fontId="5" fillId="0" borderId="0" xfId="392" applyNumberFormat="1" applyFont="1" applyFill="1" applyBorder="1" applyAlignment="1">
      <alignment horizontal="right"/>
    </xf>
    <xf numFmtId="165" fontId="5" fillId="7" borderId="41" xfId="134" applyNumberFormat="1" applyFont="1" applyFill="1" applyBorder="1"/>
    <xf numFmtId="165" fontId="5" fillId="7" borderId="0" xfId="134" applyNumberFormat="1" applyFont="1" applyFill="1" applyBorder="1"/>
    <xf numFmtId="168" fontId="5" fillId="0" borderId="0" xfId="940" applyNumberFormat="1" applyFont="1"/>
    <xf numFmtId="14" fontId="5" fillId="0" borderId="0" xfId="315" applyNumberFormat="1" applyFont="1"/>
    <xf numFmtId="10" fontId="5" fillId="0" borderId="0" xfId="940" applyNumberFormat="1" applyFont="1"/>
    <xf numFmtId="166" fontId="186" fillId="0" borderId="0" xfId="392" applyFont="1" applyFill="1"/>
    <xf numFmtId="165" fontId="5" fillId="7" borderId="7" xfId="134" applyNumberFormat="1" applyFont="1" applyFill="1" applyBorder="1"/>
    <xf numFmtId="165" fontId="5" fillId="7" borderId="84" xfId="134" applyNumberFormat="1" applyFont="1" applyFill="1" applyBorder="1"/>
    <xf numFmtId="165" fontId="5" fillId="0" borderId="84" xfId="134" applyNumberFormat="1" applyFont="1" applyFill="1" applyBorder="1"/>
    <xf numFmtId="165" fontId="5" fillId="0" borderId="7" xfId="134" applyNumberFormat="1" applyFont="1" applyFill="1" applyBorder="1"/>
    <xf numFmtId="1" fontId="5" fillId="0" borderId="0" xfId="392" applyNumberFormat="1" applyFont="1" applyFill="1" applyBorder="1" applyAlignment="1">
      <alignment horizontal="left"/>
    </xf>
    <xf numFmtId="166" fontId="4" fillId="0" borderId="0" xfId="392" applyFont="1" applyFill="1"/>
    <xf numFmtId="165" fontId="5" fillId="0" borderId="0" xfId="134" applyNumberFormat="1" applyFont="1" applyFill="1" applyBorder="1"/>
    <xf numFmtId="165" fontId="5" fillId="0" borderId="85" xfId="134" applyNumberFormat="1" applyFont="1" applyFill="1" applyBorder="1"/>
    <xf numFmtId="165" fontId="5" fillId="0" borderId="36" xfId="134" applyNumberFormat="1" applyFont="1" applyFill="1" applyBorder="1"/>
    <xf numFmtId="166" fontId="186" fillId="96" borderId="0" xfId="392" applyFont="1" applyFill="1"/>
    <xf numFmtId="166" fontId="4" fillId="0" borderId="0" xfId="392" applyFont="1" applyFill="1" applyBorder="1" applyAlignment="1">
      <alignment horizontal="left"/>
    </xf>
    <xf numFmtId="165" fontId="5" fillId="7" borderId="86" xfId="134" applyNumberFormat="1" applyFont="1" applyFill="1" applyBorder="1"/>
    <xf numFmtId="43" fontId="5" fillId="0" borderId="7" xfId="134" applyFont="1" applyFill="1" applyBorder="1"/>
    <xf numFmtId="165" fontId="5" fillId="0" borderId="12" xfId="134" applyNumberFormat="1" applyFont="1" applyFill="1" applyBorder="1"/>
    <xf numFmtId="166" fontId="186" fillId="0" borderId="0" xfId="392" applyFont="1" applyAlignment="1">
      <alignment horizontal="left"/>
    </xf>
    <xf numFmtId="165" fontId="5" fillId="0" borderId="0" xfId="134" applyNumberFormat="1" applyFont="1" applyFill="1"/>
    <xf numFmtId="165" fontId="5" fillId="0" borderId="40" xfId="134" applyNumberFormat="1" applyFont="1" applyFill="1" applyBorder="1"/>
    <xf numFmtId="165" fontId="5" fillId="0" borderId="0" xfId="134" applyNumberFormat="1" applyFont="1" applyFill="1" applyBorder="1" applyAlignment="1">
      <alignment horizontal="center"/>
    </xf>
    <xf numFmtId="3" fontId="5" fillId="0" borderId="0" xfId="134" applyNumberFormat="1" applyFont="1" applyFill="1"/>
    <xf numFmtId="43" fontId="5" fillId="0" borderId="0" xfId="134" applyFont="1" applyFill="1"/>
    <xf numFmtId="14" fontId="5" fillId="0" borderId="0" xfId="315" applyNumberFormat="1" applyFont="1" applyFill="1"/>
    <xf numFmtId="168" fontId="5" fillId="0" borderId="0" xfId="940" applyNumberFormat="1" applyFont="1" applyFill="1"/>
    <xf numFmtId="43" fontId="186" fillId="0" borderId="0" xfId="134" applyFont="1" applyFill="1" applyBorder="1"/>
    <xf numFmtId="10" fontId="5" fillId="0" borderId="0" xfId="940" applyNumberFormat="1" applyFont="1" applyFill="1"/>
    <xf numFmtId="166" fontId="4" fillId="92" borderId="83" xfId="392" applyFont="1" applyFill="1" applyBorder="1" applyAlignment="1">
      <alignment horizontal="left"/>
    </xf>
    <xf numFmtId="166" fontId="187" fillId="0" borderId="0" xfId="392" applyFont="1" applyFill="1" applyBorder="1" applyAlignment="1">
      <alignment horizontal="center"/>
    </xf>
    <xf numFmtId="166" fontId="188" fillId="0" borderId="0" xfId="392" applyFont="1" applyFill="1" applyBorder="1" applyAlignment="1">
      <alignment horizontal="center"/>
    </xf>
    <xf numFmtId="165" fontId="188" fillId="0" borderId="0" xfId="134" applyNumberFormat="1" applyFont="1" applyAlignment="1">
      <alignment horizontal="center"/>
    </xf>
    <xf numFmtId="43" fontId="187" fillId="0" borderId="0" xfId="134" applyFont="1" applyBorder="1"/>
    <xf numFmtId="166" fontId="188" fillId="0" borderId="0" xfId="392" applyFont="1"/>
    <xf numFmtId="166" fontId="5" fillId="92" borderId="87" xfId="392" applyFont="1" applyFill="1" applyBorder="1" applyAlignment="1">
      <alignment horizontal="centerContinuous"/>
    </xf>
    <xf numFmtId="166" fontId="5" fillId="92" borderId="87" xfId="392" applyFont="1" applyFill="1" applyBorder="1" applyAlignment="1">
      <alignment horizontal="center"/>
    </xf>
    <xf numFmtId="166" fontId="4" fillId="92" borderId="87" xfId="392" applyFont="1" applyFill="1" applyBorder="1" applyAlignment="1">
      <alignment horizontal="centerContinuous"/>
    </xf>
    <xf numFmtId="166" fontId="5" fillId="92" borderId="87" xfId="392" applyFont="1" applyFill="1" applyBorder="1" applyAlignment="1">
      <alignment horizontal="left"/>
    </xf>
    <xf numFmtId="165" fontId="5" fillId="7" borderId="7" xfId="134" applyNumberFormat="1" applyFont="1" applyFill="1" applyBorder="1" applyAlignment="1">
      <alignment horizontal="center"/>
    </xf>
    <xf numFmtId="165" fontId="5" fillId="0" borderId="84" xfId="134" applyNumberFormat="1" applyFont="1" applyFill="1" applyBorder="1" applyAlignment="1">
      <alignment horizontal="center" wrapText="1"/>
    </xf>
    <xf numFmtId="165" fontId="5" fillId="0" borderId="7" xfId="134" applyNumberFormat="1" applyFont="1" applyBorder="1" applyAlignment="1">
      <alignment horizontal="center" wrapText="1"/>
    </xf>
    <xf numFmtId="43" fontId="4" fillId="0" borderId="41" xfId="134" applyFont="1" applyFill="1" applyBorder="1" applyAlignment="1">
      <alignment horizontal="center" wrapText="1"/>
    </xf>
    <xf numFmtId="165" fontId="5" fillId="0" borderId="0" xfId="392" applyNumberFormat="1" applyFont="1" applyBorder="1" applyAlignment="1">
      <alignment horizontal="left"/>
    </xf>
    <xf numFmtId="165" fontId="5" fillId="0" borderId="0" xfId="392" applyNumberFormat="1" applyFont="1" applyAlignment="1">
      <alignment horizontal="left"/>
    </xf>
    <xf numFmtId="166" fontId="5" fillId="0" borderId="0" xfId="392" applyFont="1" applyBorder="1" applyAlignment="1">
      <alignment horizontal="center"/>
    </xf>
    <xf numFmtId="166" fontId="5" fillId="47" borderId="0" xfId="392" applyFont="1" applyFill="1" applyAlignment="1">
      <alignment horizontal="left"/>
    </xf>
    <xf numFmtId="166" fontId="5" fillId="47" borderId="0" xfId="392" applyFont="1" applyFill="1" applyBorder="1" applyAlignment="1">
      <alignment horizontal="left"/>
    </xf>
    <xf numFmtId="166" fontId="5" fillId="0" borderId="12" xfId="392" applyFont="1" applyBorder="1" applyAlignment="1">
      <alignment horizontal="left"/>
    </xf>
    <xf numFmtId="165" fontId="4" fillId="0" borderId="0" xfId="134" applyNumberFormat="1" applyFont="1"/>
    <xf numFmtId="165" fontId="185" fillId="0" borderId="0" xfId="134" applyNumberFormat="1" applyFont="1"/>
    <xf numFmtId="166" fontId="4" fillId="97" borderId="7" xfId="392" applyFont="1" applyFill="1" applyBorder="1"/>
    <xf numFmtId="166" fontId="4" fillId="97" borderId="7" xfId="392" applyFont="1" applyFill="1" applyBorder="1" applyAlignment="1">
      <alignment horizontal="right"/>
    </xf>
    <xf numFmtId="166" fontId="4" fillId="97" borderId="7" xfId="392" applyFont="1" applyFill="1" applyBorder="1" applyAlignment="1">
      <alignment horizontal="left"/>
    </xf>
    <xf numFmtId="164" fontId="4" fillId="97" borderId="7" xfId="220" applyNumberFormat="1" applyFont="1" applyFill="1" applyBorder="1" applyAlignment="1">
      <alignment horizontal="left"/>
    </xf>
    <xf numFmtId="165" fontId="4" fillId="0" borderId="0" xfId="134" applyNumberFormat="1" applyFont="1" applyFill="1" applyBorder="1"/>
    <xf numFmtId="43" fontId="5" fillId="0" borderId="0" xfId="134" applyNumberFormat="1" applyFont="1"/>
    <xf numFmtId="3" fontId="5" fillId="0" borderId="0" xfId="392" applyNumberFormat="1" applyFont="1" applyFill="1" applyBorder="1"/>
    <xf numFmtId="166" fontId="5" fillId="0" borderId="0" xfId="392" applyFont="1" applyFill="1" applyBorder="1"/>
    <xf numFmtId="189" fontId="5" fillId="0" borderId="0" xfId="392" applyNumberFormat="1" applyFont="1" applyFill="1" applyBorder="1"/>
    <xf numFmtId="168" fontId="5" fillId="0" borderId="0" xfId="392" applyNumberFormat="1" applyFont="1" applyFill="1" applyBorder="1"/>
    <xf numFmtId="3" fontId="5" fillId="0" borderId="0" xfId="392" applyNumberFormat="1" applyFont="1" applyFill="1" applyBorder="1" applyAlignment="1">
      <alignment horizontal="right"/>
    </xf>
    <xf numFmtId="10" fontId="5" fillId="0" borderId="0" xfId="392" applyNumberFormat="1" applyFont="1" applyFill="1" applyBorder="1"/>
    <xf numFmtId="3" fontId="5" fillId="0" borderId="0" xfId="392" applyNumberFormat="1" applyFont="1" applyBorder="1"/>
    <xf numFmtId="10" fontId="4" fillId="0" borderId="0" xfId="392" applyNumberFormat="1" applyFont="1" applyFill="1" applyBorder="1" applyAlignment="1">
      <alignment horizontal="center"/>
    </xf>
    <xf numFmtId="166" fontId="5" fillId="0" borderId="0" xfId="392" applyFont="1" applyAlignment="1">
      <alignment horizontal="right"/>
    </xf>
    <xf numFmtId="164" fontId="5" fillId="51" borderId="0" xfId="220" applyNumberFormat="1" applyFont="1" applyFill="1" applyAlignment="1">
      <alignment horizontal="left"/>
    </xf>
    <xf numFmtId="4" fontId="4" fillId="0" borderId="0" xfId="392" applyNumberFormat="1" applyFont="1" applyFill="1" applyBorder="1" applyAlignment="1">
      <alignment horizontal="center"/>
    </xf>
    <xf numFmtId="168" fontId="4" fillId="0" borderId="0" xfId="392" applyNumberFormat="1" applyFont="1" applyFill="1" applyBorder="1" applyAlignment="1">
      <alignment horizontal="center"/>
    </xf>
    <xf numFmtId="164" fontId="5" fillId="0" borderId="0" xfId="220" applyNumberFormat="1" applyFont="1" applyFill="1" applyAlignment="1">
      <alignment horizontal="left"/>
    </xf>
    <xf numFmtId="165" fontId="5" fillId="0" borderId="0" xfId="134" applyNumberFormat="1" applyFont="1" applyFill="1" applyBorder="1" applyAlignment="1">
      <alignment horizontal="right"/>
    </xf>
    <xf numFmtId="10" fontId="5" fillId="0" borderId="0" xfId="940" applyNumberFormat="1" applyFont="1" applyFill="1" applyBorder="1"/>
    <xf numFmtId="43" fontId="5" fillId="0" borderId="0" xfId="134" applyNumberFormat="1" applyFont="1" applyFill="1" applyBorder="1" applyAlignment="1">
      <alignment horizontal="right"/>
    </xf>
    <xf numFmtId="165" fontId="4" fillId="0" borderId="12" xfId="134" applyNumberFormat="1" applyFont="1" applyFill="1" applyBorder="1" applyAlignment="1">
      <alignment horizontal="center"/>
    </xf>
    <xf numFmtId="168" fontId="5" fillId="0" borderId="0" xfId="134" applyNumberFormat="1" applyFont="1" applyFill="1" applyBorder="1"/>
    <xf numFmtId="0" fontId="5" fillId="0" borderId="0" xfId="956" quotePrefix="1" applyFont="1" applyAlignment="1">
      <alignment horizontal="right"/>
    </xf>
    <xf numFmtId="0" fontId="5" fillId="0" borderId="0" xfId="956" quotePrefix="1" applyFont="1" applyBorder="1" applyAlignment="1">
      <alignment horizontal="left"/>
    </xf>
    <xf numFmtId="9" fontId="5" fillId="0" borderId="0" xfId="940" applyFont="1" applyFill="1" applyBorder="1"/>
    <xf numFmtId="0" fontId="5" fillId="0" borderId="0" xfId="956" applyFont="1" applyAlignment="1">
      <alignment horizontal="right"/>
    </xf>
    <xf numFmtId="168" fontId="4" fillId="0" borderId="0" xfId="134" applyNumberFormat="1" applyFont="1" applyFill="1" applyBorder="1"/>
    <xf numFmtId="165" fontId="5" fillId="0" borderId="0" xfId="392" applyNumberFormat="1" applyFont="1" applyFill="1" applyBorder="1"/>
    <xf numFmtId="0" fontId="5" fillId="0" borderId="0" xfId="956" quotePrefix="1" applyFont="1" applyAlignment="1">
      <alignment horizontal="left"/>
    </xf>
    <xf numFmtId="43" fontId="5" fillId="0" borderId="0" xfId="134" applyFont="1" applyFill="1" applyBorder="1"/>
    <xf numFmtId="165" fontId="5" fillId="0" borderId="0" xfId="134" quotePrefix="1" applyNumberFormat="1" applyFont="1" applyFill="1" applyBorder="1" applyAlignment="1">
      <alignment horizontal="left"/>
    </xf>
    <xf numFmtId="165" fontId="4" fillId="0" borderId="0" xfId="392" applyNumberFormat="1" applyFont="1" applyFill="1" applyBorder="1" applyAlignment="1">
      <alignment horizontal="center"/>
    </xf>
    <xf numFmtId="0" fontId="5" fillId="0" borderId="0" xfId="956" applyFont="1" applyBorder="1" applyAlignment="1">
      <alignment horizontal="left"/>
    </xf>
    <xf numFmtId="0" fontId="187" fillId="0" borderId="0" xfId="956" applyFont="1" applyBorder="1" applyAlignment="1">
      <alignment horizontal="right"/>
    </xf>
    <xf numFmtId="164" fontId="5" fillId="0" borderId="0" xfId="220" applyNumberFormat="1" applyFont="1" applyFill="1" applyBorder="1"/>
    <xf numFmtId="168" fontId="5" fillId="0" borderId="0" xfId="940" applyNumberFormat="1" applyFont="1" applyFill="1" applyBorder="1"/>
    <xf numFmtId="165" fontId="5" fillId="0" borderId="12" xfId="134" applyNumberFormat="1" applyFont="1" applyBorder="1"/>
    <xf numFmtId="166" fontId="4" fillId="44" borderId="7" xfId="392" applyFont="1" applyFill="1" applyBorder="1"/>
    <xf numFmtId="166" fontId="4" fillId="44" borderId="7" xfId="392" applyFont="1" applyFill="1" applyBorder="1" applyAlignment="1">
      <alignment horizontal="right"/>
    </xf>
    <xf numFmtId="166" fontId="4" fillId="44" borderId="7" xfId="392" applyFont="1" applyFill="1" applyBorder="1" applyAlignment="1">
      <alignment horizontal="left"/>
    </xf>
    <xf numFmtId="165" fontId="4" fillId="44" borderId="7" xfId="134" applyNumberFormat="1" applyFont="1" applyFill="1" applyBorder="1" applyAlignment="1">
      <alignment horizontal="right"/>
    </xf>
    <xf numFmtId="165" fontId="4" fillId="0" borderId="0" xfId="134" applyNumberFormat="1" applyFont="1" applyFill="1" applyBorder="1" applyAlignment="1">
      <alignment horizontal="right"/>
    </xf>
    <xf numFmtId="43" fontId="5" fillId="0" borderId="0" xfId="134" applyFont="1" applyFill="1" applyBorder="1" applyAlignment="1">
      <alignment horizontal="right"/>
    </xf>
    <xf numFmtId="189" fontId="5" fillId="0" borderId="0" xfId="392" applyNumberFormat="1" applyFont="1" applyFill="1" applyBorder="1" applyAlignment="1">
      <alignment horizontal="right"/>
    </xf>
    <xf numFmtId="0" fontId="5" fillId="0" borderId="0" xfId="956" applyFont="1" applyAlignment="1">
      <alignment horizontal="left"/>
    </xf>
    <xf numFmtId="10" fontId="4" fillId="0" borderId="0" xfId="940" applyNumberFormat="1" applyFont="1" applyFill="1" applyBorder="1"/>
    <xf numFmtId="166" fontId="5" fillId="98" borderId="7" xfId="392" applyFont="1" applyFill="1" applyBorder="1"/>
    <xf numFmtId="166" fontId="4" fillId="98" borderId="7" xfId="392" applyFont="1" applyFill="1" applyBorder="1" applyAlignment="1">
      <alignment horizontal="center"/>
    </xf>
    <xf numFmtId="166" fontId="5" fillId="98" borderId="7" xfId="392" applyFont="1" applyFill="1" applyBorder="1" applyAlignment="1">
      <alignment horizontal="left"/>
    </xf>
    <xf numFmtId="164" fontId="4" fillId="98" borderId="7" xfId="220" applyNumberFormat="1" applyFont="1" applyFill="1" applyBorder="1" applyAlignment="1">
      <alignment horizontal="left"/>
    </xf>
    <xf numFmtId="3" fontId="4" fillId="0" borderId="0" xfId="392" applyNumberFormat="1" applyFont="1" applyFill="1" applyBorder="1"/>
    <xf numFmtId="189" fontId="5" fillId="0" borderId="0" xfId="392" applyNumberFormat="1" applyFont="1" applyFill="1"/>
    <xf numFmtId="168" fontId="5" fillId="0" borderId="0" xfId="392" applyNumberFormat="1" applyFont="1" applyFill="1"/>
    <xf numFmtId="3" fontId="5" fillId="0" borderId="0" xfId="392" applyNumberFormat="1" applyFont="1" applyFill="1" applyAlignment="1">
      <alignment horizontal="right"/>
    </xf>
    <xf numFmtId="3" fontId="5" fillId="0" borderId="0" xfId="392" applyNumberFormat="1" applyFont="1" applyFill="1"/>
    <xf numFmtId="10" fontId="5" fillId="0" borderId="0" xfId="392" applyNumberFormat="1" applyFont="1" applyFill="1"/>
    <xf numFmtId="166" fontId="4" fillId="0" borderId="7" xfId="392" applyFont="1" applyFill="1" applyBorder="1" applyAlignment="1">
      <alignment horizontal="left"/>
    </xf>
    <xf numFmtId="3" fontId="4" fillId="0" borderId="0" xfId="392" applyNumberFormat="1" applyFont="1" applyFill="1" applyBorder="1" applyAlignment="1">
      <alignment horizontal="right"/>
    </xf>
    <xf numFmtId="166" fontId="4" fillId="0" borderId="0" xfId="392" applyFont="1" applyFill="1" applyBorder="1"/>
    <xf numFmtId="168" fontId="5" fillId="0" borderId="0" xfId="392" applyNumberFormat="1" applyFont="1" applyBorder="1"/>
    <xf numFmtId="189" fontId="5" fillId="0" borderId="0" xfId="392" applyNumberFormat="1" applyFont="1" applyBorder="1" applyAlignment="1">
      <alignment horizontal="right"/>
    </xf>
    <xf numFmtId="189" fontId="5" fillId="0" borderId="0" xfId="392" applyNumberFormat="1" applyFont="1" applyBorder="1"/>
    <xf numFmtId="189" fontId="5" fillId="0" borderId="0" xfId="392" applyNumberFormat="1" applyFont="1" applyAlignment="1">
      <alignment horizontal="right"/>
    </xf>
    <xf numFmtId="0" fontId="5" fillId="0" borderId="0" xfId="956" quotePrefix="1" applyFont="1" applyFill="1" applyAlignment="1">
      <alignment horizontal="left"/>
    </xf>
    <xf numFmtId="0" fontId="5" fillId="0" borderId="0" xfId="956" applyFont="1" applyFill="1" applyAlignment="1">
      <alignment horizontal="left"/>
    </xf>
    <xf numFmtId="166" fontId="5" fillId="98" borderId="0" xfId="392" applyFont="1" applyFill="1"/>
    <xf numFmtId="166" fontId="185" fillId="0" borderId="0" xfId="392" applyFont="1" applyAlignment="1">
      <alignment horizontal="right"/>
    </xf>
    <xf numFmtId="166" fontId="5" fillId="0" borderId="0" xfId="392" applyFont="1" applyAlignment="1">
      <alignment horizontal="center"/>
    </xf>
    <xf numFmtId="3" fontId="5" fillId="0" borderId="0" xfId="392" applyNumberFormat="1" applyFont="1" applyFill="1" applyBorder="1" applyAlignment="1">
      <alignment horizontal="center"/>
    </xf>
    <xf numFmtId="189" fontId="5" fillId="0" borderId="0" xfId="392" applyNumberFormat="1" applyFont="1" applyFill="1" applyAlignment="1">
      <alignment horizontal="center"/>
    </xf>
    <xf numFmtId="168" fontId="5" fillId="0" borderId="0" xfId="392" applyNumberFormat="1" applyFont="1" applyFill="1" applyAlignment="1">
      <alignment horizontal="center"/>
    </xf>
    <xf numFmtId="3" fontId="5" fillId="0" borderId="0" xfId="392" applyNumberFormat="1" applyFont="1" applyFill="1" applyAlignment="1">
      <alignment horizontal="center"/>
    </xf>
    <xf numFmtId="10" fontId="5" fillId="0" borderId="0" xfId="392" applyNumberFormat="1" applyFont="1" applyFill="1" applyAlignment="1">
      <alignment horizontal="center"/>
    </xf>
    <xf numFmtId="9" fontId="4" fillId="0" borderId="0" xfId="940" applyFont="1" applyFill="1" applyBorder="1"/>
    <xf numFmtId="165" fontId="190" fillId="0" borderId="0" xfId="134" quotePrefix="1" applyNumberFormat="1" applyFont="1" applyFill="1" applyBorder="1" applyAlignment="1">
      <alignment horizontal="right"/>
    </xf>
    <xf numFmtId="43" fontId="5" fillId="0" borderId="0" xfId="134" applyNumberFormat="1" applyFont="1" applyFill="1" applyBorder="1"/>
    <xf numFmtId="44" fontId="5" fillId="0" borderId="0" xfId="220" applyNumberFormat="1" applyFont="1" applyFill="1" applyBorder="1"/>
    <xf numFmtId="3" fontId="185" fillId="0" borderId="0" xfId="392" applyNumberFormat="1" applyFont="1"/>
    <xf numFmtId="166" fontId="4" fillId="0" borderId="0" xfId="392" applyFont="1" applyAlignment="1">
      <alignment horizontal="right"/>
    </xf>
    <xf numFmtId="43" fontId="4" fillId="0" borderId="0" xfId="134" applyFont="1" applyFill="1"/>
    <xf numFmtId="10" fontId="4" fillId="0" borderId="0" xfId="940" applyNumberFormat="1" applyFont="1" applyFill="1"/>
    <xf numFmtId="166" fontId="187" fillId="0" borderId="0" xfId="392" applyFont="1" applyAlignment="1">
      <alignment horizontal="right"/>
    </xf>
    <xf numFmtId="165" fontId="5" fillId="48" borderId="0" xfId="134" applyNumberFormat="1" applyFont="1" applyFill="1" applyBorder="1"/>
    <xf numFmtId="165" fontId="5" fillId="48" borderId="12" xfId="134" applyNumberFormat="1" applyFont="1" applyFill="1" applyBorder="1"/>
    <xf numFmtId="165" fontId="5" fillId="48" borderId="0" xfId="134" applyNumberFormat="1" applyFont="1" applyFill="1" applyBorder="1" applyAlignment="1">
      <alignment horizontal="right"/>
    </xf>
    <xf numFmtId="165" fontId="5" fillId="48" borderId="12" xfId="134" applyNumberFormat="1" applyFont="1" applyFill="1" applyBorder="1" applyAlignment="1">
      <alignment horizontal="right"/>
    </xf>
    <xf numFmtId="165" fontId="5" fillId="48" borderId="36" xfId="134" applyNumberFormat="1" applyFont="1" applyFill="1" applyBorder="1"/>
    <xf numFmtId="43" fontId="89" fillId="3" borderId="0" xfId="0" applyNumberFormat="1" applyFont="1" applyFill="1"/>
    <xf numFmtId="174" fontId="80" fillId="0" borderId="0" xfId="0" applyNumberFormat="1" applyFont="1" applyFill="1" applyBorder="1"/>
    <xf numFmtId="174" fontId="80" fillId="0" borderId="12" xfId="0" applyNumberFormat="1" applyFont="1" applyFill="1" applyBorder="1"/>
    <xf numFmtId="3" fontId="80" fillId="40" borderId="48" xfId="0" applyNumberFormat="1" applyFont="1" applyFill="1" applyBorder="1" applyAlignment="1">
      <alignment horizontal="center"/>
    </xf>
    <xf numFmtId="0" fontId="191" fillId="53" borderId="40" xfId="639" applyFont="1" applyFill="1" applyBorder="1"/>
    <xf numFmtId="1" fontId="81" fillId="0" borderId="0" xfId="0" applyNumberFormat="1" applyFont="1"/>
    <xf numFmtId="43" fontId="102" fillId="0" borderId="0" xfId="134" applyFont="1" applyFill="1" applyAlignment="1">
      <alignment horizontal="center"/>
    </xf>
    <xf numFmtId="43" fontId="123" fillId="3" borderId="0" xfId="1" applyFont="1" applyFill="1" applyBorder="1"/>
    <xf numFmtId="43" fontId="123" fillId="3" borderId="0" xfId="0" applyNumberFormat="1" applyFont="1" applyFill="1" applyBorder="1"/>
    <xf numFmtId="43" fontId="123" fillId="3" borderId="0" xfId="1" applyFont="1" applyFill="1" applyBorder="1" applyAlignment="1">
      <alignment horizontal="right"/>
    </xf>
    <xf numFmtId="0" fontId="74" fillId="0" borderId="0" xfId="7" applyNumberFormat="1" applyFont="1"/>
    <xf numFmtId="49" fontId="28" fillId="0" borderId="0" xfId="7" applyNumberFormat="1" applyFont="1"/>
    <xf numFmtId="4" fontId="107" fillId="54" borderId="0" xfId="636" quotePrefix="1" applyNumberFormat="1" applyFont="1" applyFill="1" applyBorder="1" applyAlignment="1">
      <alignment horizontal="center"/>
    </xf>
    <xf numFmtId="10" fontId="4" fillId="0" borderId="0" xfId="392" applyNumberFormat="1" applyFont="1" applyFill="1" applyBorder="1" applyAlignment="1"/>
    <xf numFmtId="166" fontId="5" fillId="0" borderId="0" xfId="392" applyFont="1" applyAlignment="1">
      <alignment wrapText="1"/>
    </xf>
    <xf numFmtId="0" fontId="120" fillId="53" borderId="41" xfId="639" applyFont="1" applyFill="1" applyBorder="1" applyAlignment="1">
      <alignment horizontal="center"/>
    </xf>
    <xf numFmtId="14" fontId="120" fillId="53" borderId="41" xfId="639" quotePrefix="1" applyNumberFormat="1" applyFont="1" applyFill="1" applyBorder="1" applyAlignment="1">
      <alignment horizontal="center"/>
    </xf>
    <xf numFmtId="165" fontId="122" fillId="53" borderId="41" xfId="134" applyNumberFormat="1" applyFont="1" applyFill="1" applyBorder="1"/>
    <xf numFmtId="165" fontId="120" fillId="53" borderId="41" xfId="134" applyNumberFormat="1" applyFont="1" applyFill="1" applyBorder="1"/>
    <xf numFmtId="165" fontId="48" fillId="53" borderId="41" xfId="134" applyNumberFormat="1" applyFont="1" applyFill="1" applyBorder="1"/>
    <xf numFmtId="165" fontId="122" fillId="53" borderId="43" xfId="134" applyNumberFormat="1" applyFont="1" applyFill="1" applyBorder="1"/>
    <xf numFmtId="43" fontId="154" fillId="90" borderId="76" xfId="1" applyFont="1" applyFill="1" applyBorder="1" applyAlignment="1">
      <alignment horizontal="center" wrapText="1"/>
    </xf>
    <xf numFmtId="0" fontId="154" fillId="90" borderId="0" xfId="0" applyFont="1" applyFill="1" applyBorder="1" applyAlignment="1">
      <alignment horizontal="center" wrapText="1"/>
    </xf>
    <xf numFmtId="43" fontId="102" fillId="0" borderId="0" xfId="134" applyNumberFormat="1" applyFont="1" applyFill="1" applyAlignment="1">
      <alignment horizontal="center"/>
    </xf>
    <xf numFmtId="0" fontId="0" fillId="0" borderId="0" xfId="0" applyFont="1" applyBorder="1" applyAlignment="1">
      <alignment wrapText="1"/>
    </xf>
    <xf numFmtId="0" fontId="192" fillId="0" borderId="0" xfId="7" applyNumberFormat="1" applyFont="1" applyAlignment="1">
      <alignment horizontal="left" wrapText="1"/>
    </xf>
    <xf numFmtId="0" fontId="83" fillId="0" borderId="44" xfId="0" applyFont="1" applyBorder="1" applyAlignment="1">
      <alignment horizontal="left"/>
    </xf>
    <xf numFmtId="0" fontId="83" fillId="0" borderId="45" xfId="0" applyFont="1" applyBorder="1" applyAlignment="1">
      <alignment horizontal="left"/>
    </xf>
    <xf numFmtId="0" fontId="83" fillId="0" borderId="46" xfId="0" applyFont="1" applyBorder="1" applyAlignment="1">
      <alignment horizontal="left"/>
    </xf>
    <xf numFmtId="0" fontId="124" fillId="23" borderId="0" xfId="103" applyFont="1" applyAlignment="1">
      <alignment horizontal="center"/>
    </xf>
    <xf numFmtId="0" fontId="126" fillId="0" borderId="0" xfId="0" applyFont="1" applyFill="1" applyAlignment="1">
      <alignment horizontal="center" wrapText="1"/>
    </xf>
    <xf numFmtId="0" fontId="88" fillId="0" borderId="0" xfId="0" applyFont="1" applyFill="1" applyBorder="1" applyAlignment="1">
      <alignment horizontal="center"/>
    </xf>
    <xf numFmtId="0" fontId="89" fillId="3" borderId="0" xfId="0" applyFont="1" applyFill="1" applyAlignment="1">
      <alignment horizontal="left" wrapText="1"/>
    </xf>
    <xf numFmtId="0" fontId="95" fillId="3" borderId="0" xfId="0" applyFont="1" applyFill="1" applyAlignment="1">
      <alignment horizontal="left" wrapText="1"/>
    </xf>
    <xf numFmtId="0" fontId="88" fillId="3" borderId="12" xfId="0" applyFont="1" applyFill="1" applyBorder="1" applyAlignment="1">
      <alignment horizontal="center" wrapText="1"/>
    </xf>
    <xf numFmtId="0" fontId="130" fillId="3" borderId="0" xfId="0" applyFont="1" applyFill="1" applyAlignment="1">
      <alignment horizontal="left" vertical="top" wrapText="1"/>
    </xf>
    <xf numFmtId="0" fontId="0" fillId="0" borderId="0" xfId="0" applyAlignment="1">
      <alignment horizontal="left" wrapText="1"/>
    </xf>
    <xf numFmtId="10" fontId="73" fillId="92" borderId="29" xfId="392" applyNumberFormat="1" applyFont="1" applyFill="1" applyBorder="1" applyAlignment="1">
      <alignment horizontal="center"/>
    </xf>
    <xf numFmtId="166" fontId="184" fillId="46" borderId="12" xfId="392" applyFont="1" applyFill="1" applyBorder="1" applyAlignment="1">
      <alignment horizontal="center"/>
    </xf>
    <xf numFmtId="166" fontId="5" fillId="0" borderId="0" xfId="392" applyFont="1" applyAlignment="1">
      <alignment horizontal="left" wrapText="1"/>
    </xf>
    <xf numFmtId="166" fontId="189" fillId="47" borderId="0" xfId="392" applyFont="1" applyFill="1" applyAlignment="1">
      <alignment horizontal="center"/>
    </xf>
    <xf numFmtId="0" fontId="120" fillId="7" borderId="40" xfId="639" applyFont="1" applyFill="1" applyBorder="1" applyAlignment="1">
      <alignment horizontal="center"/>
    </xf>
    <xf numFmtId="0" fontId="120" fillId="7" borderId="0" xfId="639" applyFont="1" applyFill="1" applyBorder="1" applyAlignment="1">
      <alignment horizontal="center"/>
    </xf>
    <xf numFmtId="0" fontId="129" fillId="0" borderId="0" xfId="0" applyFont="1" applyAlignment="1">
      <alignment horizontal="center" wrapText="1"/>
    </xf>
    <xf numFmtId="0" fontId="130" fillId="0" borderId="0" xfId="0" applyFont="1" applyAlignment="1">
      <alignment horizontal="left" wrapText="1"/>
    </xf>
    <xf numFmtId="0" fontId="0" fillId="91" borderId="6" xfId="0" applyFont="1" applyFill="1" applyBorder="1" applyAlignment="1">
      <alignment horizontal="center"/>
    </xf>
    <xf numFmtId="0" fontId="0" fillId="91" borderId="7" xfId="0" applyFont="1" applyFill="1" applyBorder="1" applyAlignment="1">
      <alignment horizontal="center"/>
    </xf>
    <xf numFmtId="0" fontId="0" fillId="91" borderId="75" xfId="0" applyFont="1" applyFill="1" applyBorder="1" applyAlignment="1">
      <alignment horizontal="center"/>
    </xf>
    <xf numFmtId="0" fontId="0" fillId="0" borderId="6" xfId="0" applyFont="1" applyBorder="1" applyAlignment="1">
      <alignment horizontal="center"/>
    </xf>
    <xf numFmtId="0" fontId="0" fillId="0" borderId="7" xfId="0" applyFont="1" applyBorder="1" applyAlignment="1">
      <alignment horizontal="center"/>
    </xf>
    <xf numFmtId="0" fontId="0" fillId="0" borderId="75" xfId="0" applyFont="1" applyBorder="1" applyAlignment="1">
      <alignment horizontal="center"/>
    </xf>
    <xf numFmtId="166" fontId="91" fillId="51" borderId="0" xfId="392" applyFont="1" applyFill="1" applyBorder="1" applyAlignment="1">
      <alignment horizontal="center"/>
    </xf>
    <xf numFmtId="0" fontId="80" fillId="3" borderId="0" xfId="397" applyFont="1" applyFill="1" applyAlignment="1">
      <alignment horizontal="left" wrapText="1"/>
    </xf>
    <xf numFmtId="0" fontId="123" fillId="51" borderId="0" xfId="0" applyFont="1" applyFill="1" applyAlignment="1">
      <alignment horizontal="center"/>
    </xf>
    <xf numFmtId="0" fontId="123" fillId="3" borderId="0" xfId="0" applyFont="1" applyFill="1" applyAlignment="1">
      <alignment horizontal="center" wrapText="1"/>
    </xf>
  </cellXfs>
  <cellStyles count="1040">
    <cellStyle name="20% - Accent1 2" xfId="9"/>
    <cellStyle name="20% - Accent1 2 2" xfId="10"/>
    <cellStyle name="20% - Accent1 2 3" xfId="11"/>
    <cellStyle name="20% - Accent1 2 4" xfId="669"/>
    <cellStyle name="20% - Accent1 3" xfId="12"/>
    <cellStyle name="20% - Accent1 3 2" xfId="13"/>
    <cellStyle name="20% - Accent1 3 3" xfId="14"/>
    <cellStyle name="20% - Accent1 4" xfId="15"/>
    <cellStyle name="20% - Accent1 4 2" xfId="670"/>
    <cellStyle name="20% - Accent1 5" xfId="671"/>
    <cellStyle name="20% - Accent2 2" xfId="16"/>
    <cellStyle name="20% - Accent2 3" xfId="17"/>
    <cellStyle name="20% - Accent2 3 2" xfId="18"/>
    <cellStyle name="20% - Accent2 4" xfId="672"/>
    <cellStyle name="20% - Accent2 5" xfId="673"/>
    <cellStyle name="20% - Accent3 2" xfId="19"/>
    <cellStyle name="20% - Accent3 3" xfId="20"/>
    <cellStyle name="20% - Accent3 3 2" xfId="21"/>
    <cellStyle name="20% - Accent3 4" xfId="674"/>
    <cellStyle name="20% - Accent3 5" xfId="675"/>
    <cellStyle name="20% - Accent4 2" xfId="22"/>
    <cellStyle name="20% - Accent4 2 2" xfId="23"/>
    <cellStyle name="20% - Accent4 2 3" xfId="24"/>
    <cellStyle name="20% - Accent4 3" xfId="25"/>
    <cellStyle name="20% - Accent4 3 2" xfId="26"/>
    <cellStyle name="20% - Accent4 3 3" xfId="27"/>
    <cellStyle name="20% - Accent4 4" xfId="28"/>
    <cellStyle name="20% - Accent4 4 2" xfId="676"/>
    <cellStyle name="20% - Accent4 5" xfId="677"/>
    <cellStyle name="20% - Accent5 2" xfId="29"/>
    <cellStyle name="20% - Accent5 3" xfId="30"/>
    <cellStyle name="20% - Accent5 4" xfId="678"/>
    <cellStyle name="20% - Accent5 5" xfId="679"/>
    <cellStyle name="20% - Accent6 2" xfId="31"/>
    <cellStyle name="20% - Accent6 3" xfId="32"/>
    <cellStyle name="20% - Accent6 3 2" xfId="33"/>
    <cellStyle name="20% - Accent6 4" xfId="680"/>
    <cellStyle name="20% - Accent6 5" xfId="681"/>
    <cellStyle name="40% - Accent1 2" xfId="34"/>
    <cellStyle name="40% - Accent1 2 2" xfId="641"/>
    <cellStyle name="40% - Accent1 2 3" xfId="682"/>
    <cellStyle name="40% - Accent1 3" xfId="35"/>
    <cellStyle name="40% - Accent1 3 2" xfId="36"/>
    <cellStyle name="40% - Accent1 3 3" xfId="37"/>
    <cellStyle name="40% - Accent1 4" xfId="38"/>
    <cellStyle name="40% - Accent1 4 2" xfId="683"/>
    <cellStyle name="40% - Accent1 5" xfId="684"/>
    <cellStyle name="40% - Accent2 2" xfId="39"/>
    <cellStyle name="40% - Accent2 3" xfId="40"/>
    <cellStyle name="40% - Accent2 4" xfId="685"/>
    <cellStyle name="40% - Accent2 5" xfId="686"/>
    <cellStyle name="40% - Accent3 2" xfId="41"/>
    <cellStyle name="40% - Accent3 3" xfId="42"/>
    <cellStyle name="40% - Accent3 3 2" xfId="43"/>
    <cellStyle name="40% - Accent3 4" xfId="687"/>
    <cellStyle name="40% - Accent3 5" xfId="688"/>
    <cellStyle name="40% - Accent4 2" xfId="44"/>
    <cellStyle name="40% - Accent4 2 2" xfId="642"/>
    <cellStyle name="40% - Accent4 2 3" xfId="689"/>
    <cellStyle name="40% - Accent4 3" xfId="45"/>
    <cellStyle name="40% - Accent4 3 2" xfId="46"/>
    <cellStyle name="40% - Accent4 3 3" xfId="47"/>
    <cellStyle name="40% - Accent4 4" xfId="48"/>
    <cellStyle name="40% - Accent4 4 2" xfId="690"/>
    <cellStyle name="40% - Accent4 5" xfId="691"/>
    <cellStyle name="40% - Accent5 2" xfId="49"/>
    <cellStyle name="40% - Accent5 2 2" xfId="643"/>
    <cellStyle name="40% - Accent5 2 3" xfId="692"/>
    <cellStyle name="40% - Accent5 3" xfId="50"/>
    <cellStyle name="40% - Accent5 3 2" xfId="51"/>
    <cellStyle name="40% - Accent5 4" xfId="693"/>
    <cellStyle name="40% - Accent5 5" xfId="694"/>
    <cellStyle name="40% - Accent6 2" xfId="52"/>
    <cellStyle name="40% - Accent6 2 2" xfId="644"/>
    <cellStyle name="40% - Accent6 2 3" xfId="695"/>
    <cellStyle name="40% - Accent6 3" xfId="53"/>
    <cellStyle name="40% - Accent6 3 2" xfId="54"/>
    <cellStyle name="40% - Accent6 3 3" xfId="55"/>
    <cellStyle name="40% - Accent6 4" xfId="56"/>
    <cellStyle name="40% - Accent6 4 2" xfId="696"/>
    <cellStyle name="40% - Accent6 5" xfId="697"/>
    <cellStyle name="60% - Accent1 2" xfId="57"/>
    <cellStyle name="60% - Accent1 2 2" xfId="58"/>
    <cellStyle name="60% - Accent1 2 3" xfId="59"/>
    <cellStyle name="60% - Accent1 2 4" xfId="698"/>
    <cellStyle name="60% - Accent1 3" xfId="60"/>
    <cellStyle name="60% - Accent1 3 2" xfId="61"/>
    <cellStyle name="60% - Accent1 3 3" xfId="62"/>
    <cellStyle name="60% - Accent1 4" xfId="63"/>
    <cellStyle name="60% - Accent1 4 2" xfId="699"/>
    <cellStyle name="60% - Accent2 2" xfId="64"/>
    <cellStyle name="60% - Accent2 2 2" xfId="645"/>
    <cellStyle name="60% - Accent2 2 3" xfId="700"/>
    <cellStyle name="60% - Accent2 3" xfId="65"/>
    <cellStyle name="60% - Accent2 3 2" xfId="66"/>
    <cellStyle name="60% - Accent2 4" xfId="701"/>
    <cellStyle name="60% - Accent3 2" xfId="67"/>
    <cellStyle name="60% - Accent3 2 2" xfId="646"/>
    <cellStyle name="60% - Accent3 2 3" xfId="702"/>
    <cellStyle name="60% - Accent3 3" xfId="68"/>
    <cellStyle name="60% - Accent3 3 2" xfId="69"/>
    <cellStyle name="60% - Accent3 3 3" xfId="70"/>
    <cellStyle name="60% - Accent3 4" xfId="71"/>
    <cellStyle name="60% - Accent3 4 2" xfId="703"/>
    <cellStyle name="60% - Accent4 2" xfId="72"/>
    <cellStyle name="60% - Accent4 2 2" xfId="647"/>
    <cellStyle name="60% - Accent4 2 3" xfId="704"/>
    <cellStyle name="60% - Accent4 3" xfId="73"/>
    <cellStyle name="60% - Accent4 3 2" xfId="74"/>
    <cellStyle name="60% - Accent4 3 3" xfId="75"/>
    <cellStyle name="60% - Accent4 4" xfId="76"/>
    <cellStyle name="60% - Accent4 4 2" xfId="705"/>
    <cellStyle name="60% - Accent5 2" xfId="77"/>
    <cellStyle name="60% - Accent5 2 2" xfId="78"/>
    <cellStyle name="60% - Accent5 2 3" xfId="79"/>
    <cellStyle name="60% - Accent5 2 4" xfId="706"/>
    <cellStyle name="60% - Accent5 3" xfId="80"/>
    <cellStyle name="60% - Accent5 3 2" xfId="81"/>
    <cellStyle name="60% - Accent5 4" xfId="707"/>
    <cellStyle name="60% - Accent6 2" xfId="82"/>
    <cellStyle name="60% - Accent6 3" xfId="83"/>
    <cellStyle name="60% - Accent6 3 2" xfId="84"/>
    <cellStyle name="60% - Accent6 4" xfId="708"/>
    <cellStyle name="Accent1 2" xfId="85"/>
    <cellStyle name="Accent1 2 2" xfId="86"/>
    <cellStyle name="Accent1 2 3" xfId="87"/>
    <cellStyle name="Accent1 2 4" xfId="709"/>
    <cellStyle name="Accent1 3" xfId="88"/>
    <cellStyle name="Accent1 3 2" xfId="89"/>
    <cellStyle name="Accent1 3 3" xfId="90"/>
    <cellStyle name="Accent1 4" xfId="91"/>
    <cellStyle name="Accent1 4 2" xfId="710"/>
    <cellStyle name="Accent2 2" xfId="92"/>
    <cellStyle name="Accent2 2 2" xfId="648"/>
    <cellStyle name="Accent2 2 3" xfId="711"/>
    <cellStyle name="Accent2 3" xfId="93"/>
    <cellStyle name="Accent2 3 2" xfId="94"/>
    <cellStyle name="Accent2 4" xfId="712"/>
    <cellStyle name="Accent3 2" xfId="95"/>
    <cellStyle name="Accent3 2 2" xfId="96"/>
    <cellStyle name="Accent3 2 3" xfId="97"/>
    <cellStyle name="Accent3 2 4" xfId="713"/>
    <cellStyle name="Accent3 3" xfId="98"/>
    <cellStyle name="Accent3 3 2" xfId="99"/>
    <cellStyle name="Accent3 4" xfId="714"/>
    <cellStyle name="Accent4 2" xfId="100"/>
    <cellStyle name="Accent4 2 2" xfId="716"/>
    <cellStyle name="Accent4 2 3" xfId="715"/>
    <cellStyle name="Accent4 3" xfId="101"/>
    <cellStyle name="Accent4 3 2" xfId="102"/>
    <cellStyle name="Accent4 4" xfId="717"/>
    <cellStyle name="Accent5 2" xfId="103"/>
    <cellStyle name="Accent5 2 2" xfId="719"/>
    <cellStyle name="Accent5 2 3" xfId="718"/>
    <cellStyle name="Accent5 3" xfId="104"/>
    <cellStyle name="Accent5 4" xfId="720"/>
    <cellStyle name="Accent6 2" xfId="105"/>
    <cellStyle name="Accent6 2 2" xfId="106"/>
    <cellStyle name="Accent6 2 3" xfId="107"/>
    <cellStyle name="Accent6 2 4" xfId="721"/>
    <cellStyle name="Accent6 3" xfId="108"/>
    <cellStyle name="Accent6 3 2" xfId="109"/>
    <cellStyle name="Accent6 4" xfId="722"/>
    <cellStyle name="Accounting" xfId="110"/>
    <cellStyle name="Accounting 2" xfId="111"/>
    <cellStyle name="Accounting 3" xfId="112"/>
    <cellStyle name="Accounting_2011-11" xfId="113"/>
    <cellStyle name="APS" xfId="114"/>
    <cellStyle name="APSLabels" xfId="115"/>
    <cellStyle name="Bad 2" xfId="116"/>
    <cellStyle name="Bad 2 2" xfId="649"/>
    <cellStyle name="Bad 2 3" xfId="723"/>
    <cellStyle name="Bad 3" xfId="117"/>
    <cellStyle name="Bad 3 2" xfId="118"/>
    <cellStyle name="Bad 4" xfId="724"/>
    <cellStyle name="Budget" xfId="119"/>
    <cellStyle name="Budget 2" xfId="120"/>
    <cellStyle name="Budget 3" xfId="121"/>
    <cellStyle name="Budget_2011-11" xfId="122"/>
    <cellStyle name="Calculation 2" xfId="123"/>
    <cellStyle name="Calculation 2 2" xfId="124"/>
    <cellStyle name="Calculation 2 3" xfId="125"/>
    <cellStyle name="Calculation 2 4" xfId="725"/>
    <cellStyle name="Calculation 3" xfId="126"/>
    <cellStyle name="Calculation 3 2" xfId="127"/>
    <cellStyle name="Calculation 3 3" xfId="128"/>
    <cellStyle name="Calculation 4" xfId="129"/>
    <cellStyle name="Calculation 4 2" xfId="726"/>
    <cellStyle name="Check Cell 2" xfId="130"/>
    <cellStyle name="Check Cell 2 2" xfId="728"/>
    <cellStyle name="Check Cell 2 3" xfId="727"/>
    <cellStyle name="Check Cell 3" xfId="131"/>
    <cellStyle name="Check Cell 4" xfId="729"/>
    <cellStyle name="Color" xfId="132"/>
    <cellStyle name="combo" xfId="133"/>
    <cellStyle name="Comma" xfId="1" builtinId="3"/>
    <cellStyle name="Comma 10" xfId="134"/>
    <cellStyle name="Comma 10 2" xfId="135"/>
    <cellStyle name="Comma 11" xfId="136"/>
    <cellStyle name="Comma 11 2" xfId="137"/>
    <cellStyle name="Comma 11 2 2" xfId="960"/>
    <cellStyle name="Comma 11 3" xfId="961"/>
    <cellStyle name="Comma 12" xfId="138"/>
    <cellStyle name="Comma 12 2" xfId="139"/>
    <cellStyle name="Comma 12 2 2" xfId="140"/>
    <cellStyle name="Comma 12 3" xfId="141"/>
    <cellStyle name="Comma 12 4" xfId="142"/>
    <cellStyle name="Comma 12 5" xfId="143"/>
    <cellStyle name="Comma 13" xfId="144"/>
    <cellStyle name="Comma 13 2" xfId="145"/>
    <cellStyle name="Comma 13 3" xfId="146"/>
    <cellStyle name="Comma 14" xfId="147"/>
    <cellStyle name="Comma 15" xfId="148"/>
    <cellStyle name="Comma 15 2" xfId="149"/>
    <cellStyle name="Comma 15 3" xfId="150"/>
    <cellStyle name="Comma 16" xfId="151"/>
    <cellStyle name="Comma 16 2" xfId="730"/>
    <cellStyle name="Comma 16 3" xfId="731"/>
    <cellStyle name="Comma 17" xfId="152"/>
    <cellStyle name="Comma 17 2" xfId="153"/>
    <cellStyle name="Comma 17 3" xfId="154"/>
    <cellStyle name="Comma 17 4" xfId="932"/>
    <cellStyle name="Comma 18" xfId="155"/>
    <cellStyle name="Comma 18 2" xfId="156"/>
    <cellStyle name="Comma 18 3" xfId="157"/>
    <cellStyle name="Comma 18 4" xfId="923"/>
    <cellStyle name="Comma 19" xfId="158"/>
    <cellStyle name="Comma 2" xfId="6"/>
    <cellStyle name="Comma 2 2" xfId="159"/>
    <cellStyle name="Comma 2 2 2" xfId="160"/>
    <cellStyle name="Comma 2 2 2 2" xfId="161"/>
    <cellStyle name="Comma 2 2 3" xfId="162"/>
    <cellStyle name="Comma 2 3" xfId="163"/>
    <cellStyle name="Comma 2 4" xfId="164"/>
    <cellStyle name="Comma 2 4 2" xfId="165"/>
    <cellStyle name="Comma 2 4 2 2" xfId="732"/>
    <cellStyle name="Comma 2 4 3" xfId="166"/>
    <cellStyle name="Comma 2 4 4" xfId="922"/>
    <cellStyle name="Comma 2 5" xfId="167"/>
    <cellStyle name="Comma 2 5 2" xfId="733"/>
    <cellStyle name="Comma 2 6" xfId="168"/>
    <cellStyle name="Comma 2 6 2" xfId="169"/>
    <cellStyle name="Comma 2 6 2 2" xfId="735"/>
    <cellStyle name="Comma 2 6 3" xfId="734"/>
    <cellStyle name="Comma 2 7" xfId="650"/>
    <cellStyle name="Comma 2 7 2" xfId="736"/>
    <cellStyle name="Comma 2 8" xfId="651"/>
    <cellStyle name="Comma 20" xfId="170"/>
    <cellStyle name="Comma 20 2" xfId="737"/>
    <cellStyle name="Comma 21" xfId="171"/>
    <cellStyle name="Comma 21 2" xfId="172"/>
    <cellStyle name="Comma 22" xfId="662"/>
    <cellStyle name="Comma 23" xfId="663"/>
    <cellStyle name="Comma 3" xfId="173"/>
    <cellStyle name="Comma 3 2" xfId="174"/>
    <cellStyle name="Comma 3 2 2" xfId="175"/>
    <cellStyle name="Comma 3 3" xfId="176"/>
    <cellStyle name="Comma 3 4" xfId="177"/>
    <cellStyle name="Comma 4" xfId="178"/>
    <cellStyle name="Comma 4 2" xfId="179"/>
    <cellStyle name="Comma 4 2 2" xfId="180"/>
    <cellStyle name="Comma 4 2 2 2" xfId="739"/>
    <cellStyle name="Comma 4 2 3" xfId="181"/>
    <cellStyle name="Comma 4 2 4" xfId="182"/>
    <cellStyle name="Comma 4 2 5" xfId="738"/>
    <cellStyle name="Comma 4 3" xfId="183"/>
    <cellStyle name="Comma 4 3 2" xfId="184"/>
    <cellStyle name="Comma 4 3 3" xfId="185"/>
    <cellStyle name="Comma 4 4" xfId="186"/>
    <cellStyle name="Comma 4 4 2" xfId="187"/>
    <cellStyle name="Comma 4 4 3" xfId="188"/>
    <cellStyle name="Comma 4 5" xfId="189"/>
    <cellStyle name="Comma 4 5 2" xfId="190"/>
    <cellStyle name="Comma 4 6" xfId="191"/>
    <cellStyle name="Comma 4 6 2" xfId="740"/>
    <cellStyle name="Comma 5" xfId="192"/>
    <cellStyle name="Comma 5 2" xfId="193"/>
    <cellStyle name="Comma 5 2 2" xfId="194"/>
    <cellStyle name="Comma 5 2 2 2" xfId="962"/>
    <cellStyle name="Comma 5 2 3" xfId="741"/>
    <cellStyle name="Comma 5 3" xfId="195"/>
    <cellStyle name="Comma 5 3 2" xfId="963"/>
    <cellStyle name="Comma 5 4" xfId="196"/>
    <cellStyle name="Comma 5 4 2" xfId="964"/>
    <cellStyle name="Comma 5 5" xfId="197"/>
    <cellStyle name="Comma 6" xfId="198"/>
    <cellStyle name="Comma 6 2" xfId="199"/>
    <cellStyle name="Comma 6 2 2" xfId="200"/>
    <cellStyle name="Comma 6 2 2 2" xfId="743"/>
    <cellStyle name="Comma 6 2 3" xfId="742"/>
    <cellStyle name="Comma 6 3" xfId="201"/>
    <cellStyle name="Comma 6 3 2" xfId="965"/>
    <cellStyle name="Comma 6 4" xfId="202"/>
    <cellStyle name="Comma 6 4 2" xfId="966"/>
    <cellStyle name="Comma 6 5" xfId="967"/>
    <cellStyle name="Comma 7" xfId="203"/>
    <cellStyle name="Comma 7 2" xfId="204"/>
    <cellStyle name="Comma 7 2 2" xfId="205"/>
    <cellStyle name="Comma 7 2 2 2" xfId="968"/>
    <cellStyle name="Comma 7 2 3" xfId="744"/>
    <cellStyle name="Comma 7 3" xfId="206"/>
    <cellStyle name="Comma 7 3 2" xfId="969"/>
    <cellStyle name="Comma 7 4" xfId="949"/>
    <cellStyle name="Comma 7 4 2" xfId="970"/>
    <cellStyle name="Comma 7 5" xfId="971"/>
    <cellStyle name="Comma 8" xfId="207"/>
    <cellStyle name="Comma 8 2" xfId="208"/>
    <cellStyle name="Comma 8 2 2" xfId="209"/>
    <cellStyle name="Comma 8 2 2 2" xfId="747"/>
    <cellStyle name="Comma 8 2 2 3" xfId="746"/>
    <cellStyle name="Comma 8 2 3" xfId="745"/>
    <cellStyle name="Comma 8 3" xfId="210"/>
    <cellStyle name="Comma 8 3 2" xfId="972"/>
    <cellStyle name="Comma 8 4" xfId="211"/>
    <cellStyle name="Comma 9" xfId="212"/>
    <cellStyle name="Comma 9 2" xfId="213"/>
    <cellStyle name="Comma(2)" xfId="214"/>
    <cellStyle name="Comma0" xfId="215"/>
    <cellStyle name="Comma0 - Style2" xfId="216"/>
    <cellStyle name="Comma1 - Style1" xfId="217"/>
    <cellStyle name="Comments" xfId="218"/>
    <cellStyle name="Currency" xfId="2" builtinId="4"/>
    <cellStyle name="Currency 10" xfId="219"/>
    <cellStyle name="Currency 10 2" xfId="973"/>
    <cellStyle name="Currency 11" xfId="220"/>
    <cellStyle name="Currency 11 2" xfId="748"/>
    <cellStyle name="Currency 12" xfId="221"/>
    <cellStyle name="Currency 13" xfId="222"/>
    <cellStyle name="Currency 14" xfId="664"/>
    <cellStyle name="Currency 15" xfId="665"/>
    <cellStyle name="Currency 2" xfId="223"/>
    <cellStyle name="Currency 2 2" xfId="224"/>
    <cellStyle name="Currency 2 2 2" xfId="225"/>
    <cellStyle name="Currency 2 2 3" xfId="226"/>
    <cellStyle name="Currency 2 2 3 2" xfId="749"/>
    <cellStyle name="Currency 2 2 4" xfId="227"/>
    <cellStyle name="Currency 2 3" xfId="228"/>
    <cellStyle name="Currency 2 3 2" xfId="229"/>
    <cellStyle name="Currency 2 3 3" xfId="230"/>
    <cellStyle name="Currency 2 4" xfId="231"/>
    <cellStyle name="Currency 2 4 2" xfId="751"/>
    <cellStyle name="Currency 2 4 3" xfId="750"/>
    <cellStyle name="Currency 2 5" xfId="652"/>
    <cellStyle name="Currency 2 5 2" xfId="752"/>
    <cellStyle name="Currency 2 6" xfId="232"/>
    <cellStyle name="Currency 2 6 2" xfId="233"/>
    <cellStyle name="Currency 2 6 3" xfId="753"/>
    <cellStyle name="Currency 2 7" xfId="754"/>
    <cellStyle name="Currency 3" xfId="234"/>
    <cellStyle name="Currency 3 2" xfId="235"/>
    <cellStyle name="Currency 3 2 2" xfId="236"/>
    <cellStyle name="Currency 3 2 2 2" xfId="974"/>
    <cellStyle name="Currency 3 2 3" xfId="975"/>
    <cellStyle name="Currency 3 3" xfId="237"/>
    <cellStyle name="Currency 3 3 2" xfId="238"/>
    <cellStyle name="Currency 3 4" xfId="239"/>
    <cellStyle name="Currency 3 4 2" xfId="976"/>
    <cellStyle name="Currency 3 5" xfId="240"/>
    <cellStyle name="Currency 4" xfId="241"/>
    <cellStyle name="Currency 4 2" xfId="242"/>
    <cellStyle name="Currency 4 2 2" xfId="243"/>
    <cellStyle name="Currency 4 2 2 2" xfId="977"/>
    <cellStyle name="Currency 4 2 3" xfId="978"/>
    <cellStyle name="Currency 4 3" xfId="244"/>
    <cellStyle name="Currency 4 3 2" xfId="979"/>
    <cellStyle name="Currency 4 4" xfId="245"/>
    <cellStyle name="Currency 4 4 2" xfId="980"/>
    <cellStyle name="Currency 4 5" xfId="981"/>
    <cellStyle name="Currency 5" xfId="246"/>
    <cellStyle name="Currency 5 2" xfId="247"/>
    <cellStyle name="Currency 5 2 2" xfId="982"/>
    <cellStyle name="Currency 5 3" xfId="248"/>
    <cellStyle name="Currency 5 3 2" xfId="983"/>
    <cellStyle name="Currency 5 4" xfId="984"/>
    <cellStyle name="Currency 6" xfId="249"/>
    <cellStyle name="Currency 7" xfId="250"/>
    <cellStyle name="Currency 8" xfId="251"/>
    <cellStyle name="Currency 8 2" xfId="252"/>
    <cellStyle name="Currency 8 2 2" xfId="985"/>
    <cellStyle name="Currency 8 3" xfId="755"/>
    <cellStyle name="Currency 9" xfId="253"/>
    <cellStyle name="Currency 9 2" xfId="986"/>
    <cellStyle name="Currency0" xfId="254"/>
    <cellStyle name="Data Enter" xfId="255"/>
    <cellStyle name="date" xfId="256"/>
    <cellStyle name="Explanatory Text 2" xfId="257"/>
    <cellStyle name="Explanatory Text 3" xfId="258"/>
    <cellStyle name="Explanatory Text 4" xfId="756"/>
    <cellStyle name="F9ReportControlStyle_ctpInquire" xfId="259"/>
    <cellStyle name="FactSheet" xfId="260"/>
    <cellStyle name="fish" xfId="261"/>
    <cellStyle name="Good" xfId="635" builtinId="26"/>
    <cellStyle name="Good 2" xfId="262"/>
    <cellStyle name="Good 2 2" xfId="653"/>
    <cellStyle name="Good 2 3" xfId="757"/>
    <cellStyle name="Good 3" xfId="263"/>
    <cellStyle name="Good 3 2" xfId="264"/>
    <cellStyle name="Good 4" xfId="265"/>
    <cellStyle name="Good 5" xfId="758"/>
    <cellStyle name="Heading 1 2" xfId="266"/>
    <cellStyle name="Heading 1 2 2" xfId="267"/>
    <cellStyle name="Heading 1 2 3" xfId="268"/>
    <cellStyle name="Heading 1 2 4" xfId="759"/>
    <cellStyle name="Heading 1 3" xfId="269"/>
    <cellStyle name="Heading 1 3 2" xfId="270"/>
    <cellStyle name="Heading 1 3 3" xfId="271"/>
    <cellStyle name="Heading 1 4" xfId="272"/>
    <cellStyle name="Heading 1 4 2" xfId="760"/>
    <cellStyle name="Heading 2 2" xfId="273"/>
    <cellStyle name="Heading 2 2 2" xfId="274"/>
    <cellStyle name="Heading 2 2 3" xfId="275"/>
    <cellStyle name="Heading 2 2 4" xfId="761"/>
    <cellStyle name="Heading 2 3" xfId="276"/>
    <cellStyle name="Heading 2 3 2" xfId="277"/>
    <cellStyle name="Heading 2 3 3" xfId="278"/>
    <cellStyle name="Heading 2 4" xfId="279"/>
    <cellStyle name="Heading 2 4 2" xfId="762"/>
    <cellStyle name="Heading 3 2" xfId="280"/>
    <cellStyle name="Heading 3 2 2" xfId="281"/>
    <cellStyle name="Heading 3 2 3" xfId="282"/>
    <cellStyle name="Heading 3 2 4" xfId="763"/>
    <cellStyle name="Heading 3 3" xfId="283"/>
    <cellStyle name="Heading 3 3 2" xfId="284"/>
    <cellStyle name="Heading 3 3 3" xfId="285"/>
    <cellStyle name="Heading 3 4" xfId="286"/>
    <cellStyle name="Heading 3 4 2" xfId="764"/>
    <cellStyle name="Heading 4 2" xfId="287"/>
    <cellStyle name="Heading 4 2 2" xfId="766"/>
    <cellStyle name="Heading 4 2 3" xfId="765"/>
    <cellStyle name="Heading 4 3" xfId="288"/>
    <cellStyle name="Heading 4 3 2" xfId="289"/>
    <cellStyle name="Heading 4 4" xfId="767"/>
    <cellStyle name="Hyperlink 2" xfId="290"/>
    <cellStyle name="Hyperlink 2 2" xfId="769"/>
    <cellStyle name="Hyperlink 2 3" xfId="768"/>
    <cellStyle name="Hyperlink 3" xfId="291"/>
    <cellStyle name="Hyperlink 3 2" xfId="292"/>
    <cellStyle name="Hyperlink 3 2 2" xfId="771"/>
    <cellStyle name="Hyperlink 3 3" xfId="770"/>
    <cellStyle name="Input 2" xfId="293"/>
    <cellStyle name="Input 2 2" xfId="773"/>
    <cellStyle name="Input 2 3" xfId="772"/>
    <cellStyle name="Input 3" xfId="294"/>
    <cellStyle name="Input 3 2" xfId="295"/>
    <cellStyle name="Input 4" xfId="774"/>
    <cellStyle name="input(0)" xfId="296"/>
    <cellStyle name="Input(2)" xfId="297"/>
    <cellStyle name="Labels" xfId="298"/>
    <cellStyle name="Linked Cell 2" xfId="299"/>
    <cellStyle name="Linked Cell 2 2" xfId="300"/>
    <cellStyle name="Linked Cell 2 3" xfId="301"/>
    <cellStyle name="Linked Cell 2 4" xfId="775"/>
    <cellStyle name="Linked Cell 3" xfId="302"/>
    <cellStyle name="Linked Cell 3 2" xfId="303"/>
    <cellStyle name="Linked Cell 4" xfId="776"/>
    <cellStyle name="Neutral 2" xfId="304"/>
    <cellStyle name="Neutral 2 2" xfId="305"/>
    <cellStyle name="Neutral 2 3" xfId="306"/>
    <cellStyle name="Neutral 2 4" xfId="777"/>
    <cellStyle name="Neutral 3" xfId="307"/>
    <cellStyle name="Neutral 3 2" xfId="308"/>
    <cellStyle name="Neutral 4" xfId="778"/>
    <cellStyle name="New_normal" xfId="309"/>
    <cellStyle name="Normal" xfId="0" builtinId="0"/>
    <cellStyle name="Normal - Style1" xfId="310"/>
    <cellStyle name="Normal - Style2" xfId="311"/>
    <cellStyle name="Normal - Style3" xfId="312"/>
    <cellStyle name="Normal - Style4" xfId="313"/>
    <cellStyle name="Normal - Style5" xfId="314"/>
    <cellStyle name="Normal 10" xfId="315"/>
    <cellStyle name="Normal 10 2" xfId="316"/>
    <cellStyle name="Normal 10 2 2" xfId="317"/>
    <cellStyle name="Normal 10 2 2 2" xfId="987"/>
    <cellStyle name="Normal 10 2 3" xfId="318"/>
    <cellStyle name="Normal 10 2 4" xfId="319"/>
    <cellStyle name="Normal 10 2 5" xfId="320"/>
    <cellStyle name="Normal 10 3" xfId="321"/>
    <cellStyle name="Normal 10 3 2" xfId="988"/>
    <cellStyle name="Normal 10 4" xfId="950"/>
    <cellStyle name="Normal 10 4 2" xfId="989"/>
    <cellStyle name="Normal 10 5" xfId="990"/>
    <cellStyle name="Normal 10_2112 DF Schedule" xfId="322"/>
    <cellStyle name="Normal 100" xfId="323"/>
    <cellStyle name="Normal 100 2" xfId="779"/>
    <cellStyle name="Normal 101" xfId="324"/>
    <cellStyle name="Normal 101 2" xfId="780"/>
    <cellStyle name="Normal 102" xfId="325"/>
    <cellStyle name="Normal 102 2" xfId="781"/>
    <cellStyle name="Normal 103" xfId="326"/>
    <cellStyle name="Normal 103 2" xfId="782"/>
    <cellStyle name="Normal 104" xfId="327"/>
    <cellStyle name="Normal 104 2" xfId="783"/>
    <cellStyle name="Normal 105" xfId="328"/>
    <cellStyle name="Normal 105 2" xfId="784"/>
    <cellStyle name="Normal 106" xfId="329"/>
    <cellStyle name="Normal 107" xfId="330"/>
    <cellStyle name="Normal 107 2" xfId="785"/>
    <cellStyle name="Normal 108" xfId="331"/>
    <cellStyle name="Normal 108 2" xfId="786"/>
    <cellStyle name="Normal 109" xfId="332"/>
    <cellStyle name="Normal 109 2" xfId="333"/>
    <cellStyle name="Normal 109 3" xfId="787"/>
    <cellStyle name="Normal 11" xfId="334"/>
    <cellStyle name="Normal 11 2" xfId="335"/>
    <cellStyle name="Normal 11 2 2" xfId="336"/>
    <cellStyle name="Normal 11 2 2 2" xfId="991"/>
    <cellStyle name="Normal 11 2 3" xfId="337"/>
    <cellStyle name="Normal 11 3" xfId="338"/>
    <cellStyle name="Normal 11 3 2" xfId="992"/>
    <cellStyle name="Normal 11 4" xfId="951"/>
    <cellStyle name="Normal 11 4 2" xfId="993"/>
    <cellStyle name="Normal 11 5" xfId="994"/>
    <cellStyle name="Normal 110" xfId="339"/>
    <cellStyle name="Normal 110 2" xfId="788"/>
    <cellStyle name="Normal 111" xfId="340"/>
    <cellStyle name="Normal 111 2" xfId="789"/>
    <cellStyle name="Normal 112" xfId="341"/>
    <cellStyle name="Normal 112 2" xfId="790"/>
    <cellStyle name="Normal 113" xfId="666"/>
    <cellStyle name="Normal 113 2" xfId="667"/>
    <cellStyle name="Normal 113 3" xfId="791"/>
    <cellStyle name="Normal 114" xfId="792"/>
    <cellStyle name="Normal 115" xfId="793"/>
    <cellStyle name="Normal 116" xfId="668"/>
    <cellStyle name="Normal 12" xfId="342"/>
    <cellStyle name="Normal 12 2" xfId="343"/>
    <cellStyle name="Normal 12 2 2" xfId="344"/>
    <cellStyle name="Normal 12 2 2 2" xfId="995"/>
    <cellStyle name="Normal 12 2 3" xfId="996"/>
    <cellStyle name="Normal 12 3" xfId="345"/>
    <cellStyle name="Normal 12 3 2" xfId="794"/>
    <cellStyle name="Normal 12 4" xfId="346"/>
    <cellStyle name="Normal 12 4 2" xfId="997"/>
    <cellStyle name="Normal 12 5" xfId="347"/>
    <cellStyle name="Normal 12 6" xfId="921"/>
    <cellStyle name="Normal 12_Sheet1" xfId="348"/>
    <cellStyle name="Normal 13" xfId="349"/>
    <cellStyle name="Normal 13 2" xfId="350"/>
    <cellStyle name="Normal 13 2 2" xfId="351"/>
    <cellStyle name="Normal 13 2 2 2" xfId="998"/>
    <cellStyle name="Normal 13 2 3" xfId="999"/>
    <cellStyle name="Normal 13 3" xfId="352"/>
    <cellStyle name="Normal 13 3 2" xfId="1000"/>
    <cellStyle name="Normal 13 4" xfId="353"/>
    <cellStyle name="Normal 13 4 2" xfId="1001"/>
    <cellStyle name="Normal 13 5" xfId="354"/>
    <cellStyle name="Normal 13 6" xfId="795"/>
    <cellStyle name="Normal 13_Sheet1" xfId="355"/>
    <cellStyle name="Normal 14" xfId="356"/>
    <cellStyle name="Normal 14 2" xfId="357"/>
    <cellStyle name="Normal 14 2 2" xfId="1002"/>
    <cellStyle name="Normal 14 3" xfId="358"/>
    <cellStyle name="Normal 14 3 2" xfId="1003"/>
    <cellStyle name="Normal 14 4" xfId="359"/>
    <cellStyle name="Normal 14 5" xfId="796"/>
    <cellStyle name="Normal 14_Sheet1" xfId="360"/>
    <cellStyle name="Normal 15" xfId="361"/>
    <cellStyle name="Normal 15 2" xfId="362"/>
    <cellStyle name="Normal 15 3" xfId="363"/>
    <cellStyle name="Normal 15 4" xfId="364"/>
    <cellStyle name="Normal 15 5" xfId="797"/>
    <cellStyle name="Normal 16" xfId="365"/>
    <cellStyle name="Normal 16 2" xfId="366"/>
    <cellStyle name="Normal 16 3" xfId="367"/>
    <cellStyle name="Normal 16 3 2" xfId="1004"/>
    <cellStyle name="Normal 16 4" xfId="798"/>
    <cellStyle name="Normal 17" xfId="368"/>
    <cellStyle name="Normal 17 2" xfId="369"/>
    <cellStyle name="Normal 17 3" xfId="370"/>
    <cellStyle name="Normal 17 4" xfId="799"/>
    <cellStyle name="Normal 18" xfId="371"/>
    <cellStyle name="Normal 18 2" xfId="372"/>
    <cellStyle name="Normal 18 2 2" xfId="1005"/>
    <cellStyle name="Normal 18 3" xfId="373"/>
    <cellStyle name="Normal 18 3 2" xfId="1006"/>
    <cellStyle name="Normal 18 4" xfId="800"/>
    <cellStyle name="Normal 18 5" xfId="1007"/>
    <cellStyle name="Normal 19" xfId="374"/>
    <cellStyle name="Normal 19 2" xfId="375"/>
    <cellStyle name="Normal 19 3" xfId="376"/>
    <cellStyle name="Normal 19 4" xfId="801"/>
    <cellStyle name="Normal 2" xfId="4"/>
    <cellStyle name="Normal 2 10" xfId="377"/>
    <cellStyle name="Normal 2 11" xfId="378"/>
    <cellStyle name="Normal 2 2" xfId="379"/>
    <cellStyle name="Normal 2 2 2" xfId="380"/>
    <cellStyle name="Normal 2 2 2 2" xfId="381"/>
    <cellStyle name="Normal 2 2 2_JE_IS11" xfId="382"/>
    <cellStyle name="Normal 2 2 3" xfId="383"/>
    <cellStyle name="Normal 2 2 4" xfId="384"/>
    <cellStyle name="Normal 2 2_4MthProj2" xfId="385"/>
    <cellStyle name="Normal 2 3" xfId="386"/>
    <cellStyle name="Normal 2 3 2" xfId="387"/>
    <cellStyle name="Normal 2 3 2 2" xfId="388"/>
    <cellStyle name="Normal 2 3 2 3" xfId="389"/>
    <cellStyle name="Normal 2 3 3" xfId="390"/>
    <cellStyle name="Normal 2 3 3 2" xfId="804"/>
    <cellStyle name="Normal 2 3 3 3" xfId="803"/>
    <cellStyle name="Normal 2 3 4" xfId="654"/>
    <cellStyle name="Normal 2 3 4 2" xfId="959"/>
    <cellStyle name="Normal 2 3 5" xfId="802"/>
    <cellStyle name="Normal 2 3_4MthProj2" xfId="391"/>
    <cellStyle name="Normal 2 4" xfId="392"/>
    <cellStyle name="Normal 2 4 2" xfId="393"/>
    <cellStyle name="Normal 2 4 3" xfId="394"/>
    <cellStyle name="Normal 2 5" xfId="395"/>
    <cellStyle name="Normal 2 5 2" xfId="806"/>
    <cellStyle name="Normal 2 5 3" xfId="805"/>
    <cellStyle name="Normal 2 6" xfId="396"/>
    <cellStyle name="Normal 2 6 2" xfId="808"/>
    <cellStyle name="Normal 2 6 3" xfId="807"/>
    <cellStyle name="Normal 2 7" xfId="397"/>
    <cellStyle name="Normal 2 7 2" xfId="809"/>
    <cellStyle name="Normal 2 8" xfId="398"/>
    <cellStyle name="Normal 2 9" xfId="399"/>
    <cellStyle name="Normal 2_2009 Regulated Price Out" xfId="400"/>
    <cellStyle name="Normal 20" xfId="401"/>
    <cellStyle name="Normal 20 2" xfId="402"/>
    <cellStyle name="Normal 20 2 2" xfId="811"/>
    <cellStyle name="Normal 20 3" xfId="403"/>
    <cellStyle name="Normal 20 4" xfId="404"/>
    <cellStyle name="Normal 20 5" xfId="634"/>
    <cellStyle name="Normal 20 6" xfId="810"/>
    <cellStyle name="Normal 21" xfId="405"/>
    <cellStyle name="Normal 21 2" xfId="406"/>
    <cellStyle name="Normal 21 2 2" xfId="813"/>
    <cellStyle name="Normal 21 3" xfId="407"/>
    <cellStyle name="Normal 21 4" xfId="812"/>
    <cellStyle name="Normal 22" xfId="408"/>
    <cellStyle name="Normal 22 2" xfId="409"/>
    <cellStyle name="Normal 22 2 2" xfId="815"/>
    <cellStyle name="Normal 22 3" xfId="410"/>
    <cellStyle name="Normal 22 4" xfId="814"/>
    <cellStyle name="Normal 23" xfId="411"/>
    <cellStyle name="Normal 23 2" xfId="412"/>
    <cellStyle name="Normal 23 2 2" xfId="817"/>
    <cellStyle name="Normal 23 3" xfId="413"/>
    <cellStyle name="Normal 23 3 2" xfId="818"/>
    <cellStyle name="Normal 23 4" xfId="816"/>
    <cellStyle name="Normal 24" xfId="414"/>
    <cellStyle name="Normal 24 2" xfId="415"/>
    <cellStyle name="Normal 24 2 2" xfId="820"/>
    <cellStyle name="Normal 24 3" xfId="821"/>
    <cellStyle name="Normal 24 4" xfId="819"/>
    <cellStyle name="Normal 25" xfId="416"/>
    <cellStyle name="Normal 25 2" xfId="655"/>
    <cellStyle name="Normal 25 3" xfId="823"/>
    <cellStyle name="Normal 25 4" xfId="822"/>
    <cellStyle name="Normal 26" xfId="417"/>
    <cellStyle name="Normal 26 2" xfId="656"/>
    <cellStyle name="Normal 26 2 2" xfId="824"/>
    <cellStyle name="Normal 26 3" xfId="657"/>
    <cellStyle name="Normal 26 4" xfId="658"/>
    <cellStyle name="Normal 27" xfId="418"/>
    <cellStyle name="Normal 27 2" xfId="419"/>
    <cellStyle name="Normal 27 2 2" xfId="825"/>
    <cellStyle name="Normal 27 3" xfId="420"/>
    <cellStyle name="Normal 27 3 2" xfId="826"/>
    <cellStyle name="Normal 27 4" xfId="640"/>
    <cellStyle name="Normal 27 5" xfId="920"/>
    <cellStyle name="Normal 28" xfId="421"/>
    <cellStyle name="Normal 28 2" xfId="631"/>
    <cellStyle name="Normal 28 2 2" xfId="828"/>
    <cellStyle name="Normal 28 3" xfId="829"/>
    <cellStyle name="Normal 28 4" xfId="827"/>
    <cellStyle name="Normal 29" xfId="422"/>
    <cellStyle name="Normal 29 2" xfId="659"/>
    <cellStyle name="Normal 29 3" xfId="831"/>
    <cellStyle name="Normal 29 4" xfId="830"/>
    <cellStyle name="Normal 3" xfId="423"/>
    <cellStyle name="Normal 3 2" xfId="424"/>
    <cellStyle name="Normal 3 2 2" xfId="425"/>
    <cellStyle name="Normal 3 2 2 2" xfId="833"/>
    <cellStyle name="Normal 3 2 3" xfId="832"/>
    <cellStyle name="Normal 3 3" xfId="426"/>
    <cellStyle name="Normal 3 3 2" xfId="427"/>
    <cellStyle name="Normal 3 3 3" xfId="428"/>
    <cellStyle name="Normal 3 3 4" xfId="834"/>
    <cellStyle name="Normal 3 4" xfId="429"/>
    <cellStyle name="Normal 3_2012 PR" xfId="430"/>
    <cellStyle name="Normal 30" xfId="431"/>
    <cellStyle name="Normal 30 2" xfId="660"/>
    <cellStyle name="Normal 30 3" xfId="836"/>
    <cellStyle name="Normal 30 4" xfId="835"/>
    <cellStyle name="Normal 31" xfId="432"/>
    <cellStyle name="Normal 31 2" xfId="433"/>
    <cellStyle name="Normal 31 2 2" xfId="838"/>
    <cellStyle name="Normal 31 3" xfId="434"/>
    <cellStyle name="Normal 31 3 2" xfId="839"/>
    <cellStyle name="Normal 31 4" xfId="837"/>
    <cellStyle name="Normal 32" xfId="435"/>
    <cellStyle name="Normal 32 2" xfId="436"/>
    <cellStyle name="Normal 32 2 2" xfId="1008"/>
    <cellStyle name="Normal 32 3" xfId="841"/>
    <cellStyle name="Normal 32 4" xfId="840"/>
    <cellStyle name="Normal 33" xfId="437"/>
    <cellStyle name="Normal 33 2" xfId="843"/>
    <cellStyle name="Normal 33 3" xfId="842"/>
    <cellStyle name="Normal 34" xfId="438"/>
    <cellStyle name="Normal 34 2" xfId="845"/>
    <cellStyle name="Normal 34 3" xfId="844"/>
    <cellStyle name="Normal 35" xfId="439"/>
    <cellStyle name="Normal 35 2" xfId="847"/>
    <cellStyle name="Normal 35 3" xfId="846"/>
    <cellStyle name="Normal 36" xfId="440"/>
    <cellStyle name="Normal 36 2" xfId="849"/>
    <cellStyle name="Normal 36 3" xfId="848"/>
    <cellStyle name="Normal 37" xfId="441"/>
    <cellStyle name="Normal 37 2" xfId="851"/>
    <cellStyle name="Normal 37 3" xfId="850"/>
    <cellStyle name="Normal 38" xfId="442"/>
    <cellStyle name="Normal 38 2" xfId="853"/>
    <cellStyle name="Normal 38 3" xfId="852"/>
    <cellStyle name="Normal 39" xfId="443"/>
    <cellStyle name="Normal 39 2" xfId="855"/>
    <cellStyle name="Normal 39 3" xfId="854"/>
    <cellStyle name="Normal 4" xfId="444"/>
    <cellStyle name="Normal 4 2" xfId="445"/>
    <cellStyle name="Normal 4 2 2" xfId="446"/>
    <cellStyle name="Normal 4 2 3" xfId="447"/>
    <cellStyle name="Normal 4 2 4" xfId="856"/>
    <cellStyle name="Normal 4 3" xfId="448"/>
    <cellStyle name="Normal 4 3 2" xfId="449"/>
    <cellStyle name="Normal 4 3 3" xfId="450"/>
    <cellStyle name="Normal 4 4" xfId="451"/>
    <cellStyle name="Normal 4 5" xfId="452"/>
    <cellStyle name="Normal 4_Consolidated IS" xfId="453"/>
    <cellStyle name="Normal 40" xfId="454"/>
    <cellStyle name="Normal 40 2" xfId="858"/>
    <cellStyle name="Normal 40 3" xfId="857"/>
    <cellStyle name="Normal 41" xfId="455"/>
    <cellStyle name="Normal 41 2" xfId="860"/>
    <cellStyle name="Normal 41 3" xfId="859"/>
    <cellStyle name="Normal 42" xfId="456"/>
    <cellStyle name="Normal 42 2" xfId="862"/>
    <cellStyle name="Normal 42 3" xfId="861"/>
    <cellStyle name="Normal 43" xfId="457"/>
    <cellStyle name="Normal 43 2" xfId="864"/>
    <cellStyle name="Normal 43 3" xfId="863"/>
    <cellStyle name="Normal 44" xfId="458"/>
    <cellStyle name="Normal 44 2" xfId="866"/>
    <cellStyle name="Normal 44 3" xfId="865"/>
    <cellStyle name="Normal 45" xfId="459"/>
    <cellStyle name="Normal 45 2" xfId="868"/>
    <cellStyle name="Normal 45 3" xfId="867"/>
    <cellStyle name="Normal 46" xfId="460"/>
    <cellStyle name="Normal 46 2" xfId="870"/>
    <cellStyle name="Normal 46 3" xfId="869"/>
    <cellStyle name="Normal 47" xfId="461"/>
    <cellStyle name="Normal 47 2" xfId="872"/>
    <cellStyle name="Normal 47 3" xfId="871"/>
    <cellStyle name="Normal 48" xfId="462"/>
    <cellStyle name="Normal 48 2" xfId="874"/>
    <cellStyle name="Normal 48 3" xfId="873"/>
    <cellStyle name="Normal 49" xfId="463"/>
    <cellStyle name="Normal 49 2" xfId="876"/>
    <cellStyle name="Normal 49 3" xfId="875"/>
    <cellStyle name="Normal 5" xfId="464"/>
    <cellStyle name="Normal 5 2" xfId="465"/>
    <cellStyle name="Normal 5 2 2" xfId="466"/>
    <cellStyle name="Normal 5 2 2 2" xfId="1009"/>
    <cellStyle name="Normal 5 2 3" xfId="1010"/>
    <cellStyle name="Normal 5 3" xfId="467"/>
    <cellStyle name="Normal 5 3 2" xfId="1011"/>
    <cellStyle name="Normal 5 4" xfId="468"/>
    <cellStyle name="Normal 5 4 2" xfId="1012"/>
    <cellStyle name="Normal 5 5" xfId="469"/>
    <cellStyle name="Normal 5_2112 DF Schedule" xfId="470"/>
    <cellStyle name="Normal 50" xfId="471"/>
    <cellStyle name="Normal 50 2" xfId="878"/>
    <cellStyle name="Normal 50 3" xfId="877"/>
    <cellStyle name="Normal 51" xfId="472"/>
    <cellStyle name="Normal 51 2" xfId="880"/>
    <cellStyle name="Normal 51 3" xfId="879"/>
    <cellStyle name="Normal 52" xfId="473"/>
    <cellStyle name="Normal 52 2" xfId="882"/>
    <cellStyle name="Normal 52 3" xfId="881"/>
    <cellStyle name="Normal 53" xfId="474"/>
    <cellStyle name="Normal 53 2" xfId="884"/>
    <cellStyle name="Normal 53 3" xfId="883"/>
    <cellStyle name="Normal 54" xfId="475"/>
    <cellStyle name="Normal 54 2" xfId="886"/>
    <cellStyle name="Normal 54 3" xfId="885"/>
    <cellStyle name="Normal 55" xfId="476"/>
    <cellStyle name="Normal 55 2" xfId="888"/>
    <cellStyle name="Normal 55 3" xfId="887"/>
    <cellStyle name="Normal 56" xfId="477"/>
    <cellStyle name="Normal 56 2" xfId="890"/>
    <cellStyle name="Normal 56 3" xfId="889"/>
    <cellStyle name="Normal 57" xfId="478"/>
    <cellStyle name="Normal 57 2" xfId="892"/>
    <cellStyle name="Normal 57 3" xfId="891"/>
    <cellStyle name="Normal 58" xfId="479"/>
    <cellStyle name="Normal 58 2" xfId="894"/>
    <cellStyle name="Normal 58 3" xfId="893"/>
    <cellStyle name="Normal 59" xfId="480"/>
    <cellStyle name="Normal 59 2" xfId="896"/>
    <cellStyle name="Normal 59 3" xfId="895"/>
    <cellStyle name="Normal 6" xfId="481"/>
    <cellStyle name="Normal 6 2" xfId="482"/>
    <cellStyle name="Normal 6 2 2" xfId="483"/>
    <cellStyle name="Normal 6 2 2 2" xfId="1013"/>
    <cellStyle name="Normal 6 2 3" xfId="484"/>
    <cellStyle name="Normal 6 3" xfId="485"/>
    <cellStyle name="Normal 6 3 2" xfId="1014"/>
    <cellStyle name="Normal 6 4" xfId="952"/>
    <cellStyle name="Normal 6 4 2" xfId="1015"/>
    <cellStyle name="Normal 6 5" xfId="1016"/>
    <cellStyle name="Normal 60" xfId="486"/>
    <cellStyle name="Normal 60 2" xfId="898"/>
    <cellStyle name="Normal 60 3" xfId="897"/>
    <cellStyle name="Normal 61" xfId="487"/>
    <cellStyle name="Normal 61 2" xfId="900"/>
    <cellStyle name="Normal 61 3" xfId="899"/>
    <cellStyle name="Normal 62" xfId="488"/>
    <cellStyle name="Normal 62 2" xfId="902"/>
    <cellStyle name="Normal 62 3" xfId="901"/>
    <cellStyle name="Normal 63" xfId="489"/>
    <cellStyle name="Normal 63 2" xfId="904"/>
    <cellStyle name="Normal 63 3" xfId="903"/>
    <cellStyle name="Normal 64" xfId="490"/>
    <cellStyle name="Normal 64 2" xfId="906"/>
    <cellStyle name="Normal 64 3" xfId="905"/>
    <cellStyle name="Normal 65" xfId="491"/>
    <cellStyle name="Normal 65 2" xfId="908"/>
    <cellStyle name="Normal 65 3" xfId="907"/>
    <cellStyle name="Normal 66" xfId="492"/>
    <cellStyle name="Normal 66 2" xfId="910"/>
    <cellStyle name="Normal 66 3" xfId="909"/>
    <cellStyle name="Normal 67" xfId="493"/>
    <cellStyle name="Normal 67 2" xfId="912"/>
    <cellStyle name="Normal 67 3" xfId="911"/>
    <cellStyle name="Normal 68" xfId="494"/>
    <cellStyle name="Normal 68 2" xfId="914"/>
    <cellStyle name="Normal 68 3" xfId="913"/>
    <cellStyle name="Normal 69" xfId="495"/>
    <cellStyle name="Normal 69 2" xfId="916"/>
    <cellStyle name="Normal 69 3" xfId="915"/>
    <cellStyle name="Normal 7" xfId="496"/>
    <cellStyle name="Normal 7 2" xfId="497"/>
    <cellStyle name="Normal 7 2 2" xfId="498"/>
    <cellStyle name="Normal 7 2 2 2" xfId="499"/>
    <cellStyle name="Normal 7 2 2 2 2" xfId="1017"/>
    <cellStyle name="Normal 7 2 2 3" xfId="1018"/>
    <cellStyle name="Normal 7 2 3" xfId="500"/>
    <cellStyle name="Normal 7 2 3 2" xfId="1019"/>
    <cellStyle name="Normal 7 2 4" xfId="953"/>
    <cellStyle name="Normal 7 2 4 2" xfId="1020"/>
    <cellStyle name="Normal 7 2 5" xfId="1021"/>
    <cellStyle name="Normal 7 3" xfId="501"/>
    <cellStyle name="Normal 7 3 2" xfId="502"/>
    <cellStyle name="Normal 7 3 2 2" xfId="1022"/>
    <cellStyle name="Normal 7 3 3" xfId="1023"/>
    <cellStyle name="Normal 7 4" xfId="503"/>
    <cellStyle name="Normal 7 4 2" xfId="1024"/>
    <cellStyle name="Normal 7 5" xfId="954"/>
    <cellStyle name="Normal 7 5 2" xfId="1025"/>
    <cellStyle name="Normal 7 6" xfId="1026"/>
    <cellStyle name="Normal 70" xfId="504"/>
    <cellStyle name="Normal 70 2" xfId="918"/>
    <cellStyle name="Normal 70 3" xfId="917"/>
    <cellStyle name="Normal 71" xfId="505"/>
    <cellStyle name="Normal 72" xfId="506"/>
    <cellStyle name="Normal 73" xfId="507"/>
    <cellStyle name="Normal 74" xfId="508"/>
    <cellStyle name="Normal 75" xfId="509"/>
    <cellStyle name="Normal 76" xfId="510"/>
    <cellStyle name="Normal 77" xfId="511"/>
    <cellStyle name="Normal 78" xfId="512"/>
    <cellStyle name="Normal 79" xfId="513"/>
    <cellStyle name="Normal 8" xfId="514"/>
    <cellStyle name="Normal 8 2" xfId="515"/>
    <cellStyle name="Normal 8 2 2" xfId="516"/>
    <cellStyle name="Normal 8 2 2 2" xfId="1027"/>
    <cellStyle name="Normal 8 2 3" xfId="517"/>
    <cellStyle name="Normal 8 3" xfId="518"/>
    <cellStyle name="Normal 8 3 2" xfId="1028"/>
    <cellStyle name="Normal 8 4" xfId="519"/>
    <cellStyle name="Normal 8 4 2" xfId="1029"/>
    <cellStyle name="Normal 8 5" xfId="1030"/>
    <cellStyle name="Normal 80" xfId="520"/>
    <cellStyle name="Normal 81" xfId="521"/>
    <cellStyle name="Normal 82" xfId="522"/>
    <cellStyle name="Normal 83" xfId="523"/>
    <cellStyle name="Normal 84" xfId="524"/>
    <cellStyle name="Normal 84 2" xfId="525"/>
    <cellStyle name="Normal 84 3" xfId="526"/>
    <cellStyle name="Normal 85" xfId="527"/>
    <cellStyle name="Normal 85 2" xfId="528"/>
    <cellStyle name="Normal 85 3" xfId="529"/>
    <cellStyle name="Normal 86" xfId="530"/>
    <cellStyle name="Normal 86 2" xfId="919"/>
    <cellStyle name="Normal 87" xfId="531"/>
    <cellStyle name="Normal 88" xfId="532"/>
    <cellStyle name="Normal 89" xfId="533"/>
    <cellStyle name="Normal 9" xfId="534"/>
    <cellStyle name="Normal 9 2" xfId="535"/>
    <cellStyle name="Normal 9 2 2" xfId="536"/>
    <cellStyle name="Normal 9 2 2 2" xfId="1031"/>
    <cellStyle name="Normal 9 2 3" xfId="537"/>
    <cellStyle name="Normal 9 3" xfId="538"/>
    <cellStyle name="Normal 9 3 2" xfId="1032"/>
    <cellStyle name="Normal 9 4" xfId="955"/>
    <cellStyle name="Normal 9 4 2" xfId="1033"/>
    <cellStyle name="Normal 9 5" xfId="1034"/>
    <cellStyle name="Normal 90" xfId="539"/>
    <cellStyle name="Normal 91" xfId="540"/>
    <cellStyle name="Normal 92" xfId="541"/>
    <cellStyle name="Normal 92 2" xfId="924"/>
    <cellStyle name="Normal 93" xfId="542"/>
    <cellStyle name="Normal 93 2" xfId="925"/>
    <cellStyle name="Normal 94" xfId="543"/>
    <cellStyle name="Normal 94 2" xfId="926"/>
    <cellStyle name="Normal 95" xfId="544"/>
    <cellStyle name="Normal 95 2" xfId="927"/>
    <cellStyle name="Normal 96" xfId="545"/>
    <cellStyle name="Normal 96 2" xfId="928"/>
    <cellStyle name="Normal 97" xfId="546"/>
    <cellStyle name="Normal 97 2" xfId="929"/>
    <cellStyle name="Normal 98" xfId="547"/>
    <cellStyle name="Normal 98 2" xfId="930"/>
    <cellStyle name="Normal 99" xfId="548"/>
    <cellStyle name="Normal 99 2" xfId="931"/>
    <cellStyle name="Normal_2183 Regulated Price Out Final 6-7-2012" xfId="632"/>
    <cellStyle name="Normal_Clark County Depr 12-31-10 R" xfId="639"/>
    <cellStyle name="Normal_F9" xfId="638"/>
    <cellStyle name="Normal_Pro Forma Pacific Disposal Roland Heather checked 7-26" xfId="629"/>
    <cellStyle name="Normal_Proforma" xfId="5"/>
    <cellStyle name="Normal_Proforma Yakima UTC-Nicki 2009" xfId="636"/>
    <cellStyle name="Normal_Regulated Price Out 9-6-2011 Final HL" xfId="633"/>
    <cellStyle name="Normal_Regulated-Non-Regulated Revenue" xfId="637"/>
    <cellStyle name="Normal_Report" xfId="628"/>
    <cellStyle name="Normal_Sheet1" xfId="630"/>
    <cellStyle name="Normal_TheTool_Jeff_v5" xfId="956"/>
    <cellStyle name="Normal_TheTool_Jeff_v5 2" xfId="7"/>
    <cellStyle name="Normal_Thurston Fuel 6-13-2012 Heather" xfId="958"/>
    <cellStyle name="Note 2" xfId="549"/>
    <cellStyle name="Note 2 2" xfId="550"/>
    <cellStyle name="Note 2 3" xfId="551"/>
    <cellStyle name="Note 2 4" xfId="933"/>
    <cellStyle name="Note 3" xfId="552"/>
    <cellStyle name="Note 3 2" xfId="553"/>
    <cellStyle name="Note 3 3" xfId="554"/>
    <cellStyle name="Note 3 4" xfId="934"/>
    <cellStyle name="Note 4" xfId="555"/>
    <cellStyle name="Note 4 2" xfId="935"/>
    <cellStyle name="Note 5" xfId="936"/>
    <cellStyle name="Notes" xfId="556"/>
    <cellStyle name="Output 2" xfId="557"/>
    <cellStyle name="Output 2 2" xfId="938"/>
    <cellStyle name="Output 2 3" xfId="937"/>
    <cellStyle name="Output 3" xfId="558"/>
    <cellStyle name="Output 3 2" xfId="559"/>
    <cellStyle name="Output 4" xfId="939"/>
    <cellStyle name="Percent" xfId="3" builtinId="5"/>
    <cellStyle name="Percent 10" xfId="560"/>
    <cellStyle name="Percent 10 2" xfId="940"/>
    <cellStyle name="Percent 2" xfId="561"/>
    <cellStyle name="Percent 2 2" xfId="562"/>
    <cellStyle name="Percent 2 2 2" xfId="563"/>
    <cellStyle name="Percent 2 2 3" xfId="564"/>
    <cellStyle name="Percent 2 3" xfId="565"/>
    <cellStyle name="Percent 2 4" xfId="566"/>
    <cellStyle name="Percent 2 6" xfId="567"/>
    <cellStyle name="Percent 3" xfId="568"/>
    <cellStyle name="Percent 3 2" xfId="569"/>
    <cellStyle name="Percent 3 2 2" xfId="570"/>
    <cellStyle name="Percent 3 2 2 2" xfId="1035"/>
    <cellStyle name="Percent 3 2 3" xfId="1036"/>
    <cellStyle name="Percent 3 3" xfId="571"/>
    <cellStyle name="Percent 3 3 2" xfId="1037"/>
    <cellStyle name="Percent 3 4" xfId="957"/>
    <cellStyle name="Percent 3 4 2" xfId="1038"/>
    <cellStyle name="Percent 3 5" xfId="1039"/>
    <cellStyle name="Percent 4" xfId="572"/>
    <cellStyle name="Percent 4 2" xfId="573"/>
    <cellStyle name="Percent 4 3" xfId="574"/>
    <cellStyle name="Percent 4 4" xfId="575"/>
    <cellStyle name="Percent 4 4 2" xfId="941"/>
    <cellStyle name="Percent 5" xfId="8"/>
    <cellStyle name="Percent 5 2" xfId="576"/>
    <cellStyle name="Percent 5 2 2" xfId="577"/>
    <cellStyle name="Percent 5 3" xfId="578"/>
    <cellStyle name="Percent 5 4" xfId="579"/>
    <cellStyle name="Percent 6" xfId="580"/>
    <cellStyle name="Percent 6 2" xfId="581"/>
    <cellStyle name="Percent 7" xfId="582"/>
    <cellStyle name="Percent 7 2" xfId="583"/>
    <cellStyle name="Percent 7 3" xfId="584"/>
    <cellStyle name="Percent 8" xfId="585"/>
    <cellStyle name="Percent 9" xfId="586"/>
    <cellStyle name="Percent 9 2" xfId="942"/>
    <cellStyle name="Percent(1)" xfId="587"/>
    <cellStyle name="Percent(2)" xfId="588"/>
    <cellStyle name="Posting_Period" xfId="589"/>
    <cellStyle name="PRM" xfId="590"/>
    <cellStyle name="PRM 2" xfId="591"/>
    <cellStyle name="PRM 3" xfId="592"/>
    <cellStyle name="PRM_2011-11" xfId="593"/>
    <cellStyle name="PS_Comma" xfId="594"/>
    <cellStyle name="PSChar" xfId="595"/>
    <cellStyle name="PSDate" xfId="596"/>
    <cellStyle name="PSDec" xfId="597"/>
    <cellStyle name="PSHeading" xfId="598"/>
    <cellStyle name="PSInt" xfId="599"/>
    <cellStyle name="PSSpacer" xfId="600"/>
    <cellStyle name="STYL0 - Style1" xfId="601"/>
    <cellStyle name="STYL1 - Style2" xfId="602"/>
    <cellStyle name="STYL2 - Style3" xfId="603"/>
    <cellStyle name="STYL3 - Style4" xfId="604"/>
    <cellStyle name="STYL4 - Style5" xfId="605"/>
    <cellStyle name="STYL5 - Style6" xfId="606"/>
    <cellStyle name="STYL6 - Style7" xfId="607"/>
    <cellStyle name="STYL7 - Style8" xfId="608"/>
    <cellStyle name="Style 1" xfId="609"/>
    <cellStyle name="Style 1 2" xfId="610"/>
    <cellStyle name="STYLE1" xfId="611"/>
    <cellStyle name="STYLE1 2" xfId="661"/>
    <cellStyle name="sub heading" xfId="612"/>
    <cellStyle name="Tax_Rate" xfId="613"/>
    <cellStyle name="Title 2" xfId="614"/>
    <cellStyle name="Title 2 2" xfId="944"/>
    <cellStyle name="Title 2 3" xfId="943"/>
    <cellStyle name="Title 3" xfId="615"/>
    <cellStyle name="Title 3 2" xfId="616"/>
    <cellStyle name="Title 4" xfId="945"/>
    <cellStyle name="Total 2" xfId="617"/>
    <cellStyle name="Total 2 2" xfId="618"/>
    <cellStyle name="Total 2 3" xfId="619"/>
    <cellStyle name="Total 2 4" xfId="946"/>
    <cellStyle name="Total 3" xfId="620"/>
    <cellStyle name="Total 3 2" xfId="621"/>
    <cellStyle name="Total 3 3" xfId="622"/>
    <cellStyle name="Total 4" xfId="623"/>
    <cellStyle name="Total 4 2" xfId="947"/>
    <cellStyle name="Transcript_Date" xfId="624"/>
    <cellStyle name="Warning Text 2" xfId="625"/>
    <cellStyle name="Warning Text 3" xfId="626"/>
    <cellStyle name="Warning Text 4" xfId="948"/>
    <cellStyle name="WM_STANDARD" xfId="627"/>
  </cellStyles>
  <dxfs count="8">
    <dxf>
      <numFmt numFmtId="35" formatCode="_(* #,##0.00_);_(* \(#,##0.00\);_(* &quot;-&quot;??_);_(@_)"/>
    </dxf>
    <dxf>
      <numFmt numFmtId="35" formatCode="_(* #,##0.00_);_(* \(#,##0.00\);_(* &quot;-&quot;??_);_(@_)"/>
    </dxf>
    <dxf>
      <numFmt numFmtId="165" formatCode="_(* #,##0_);_(* \(#,##0\);_(* &quot;-&quot;??_);_(@_)"/>
    </dxf>
    <dxf>
      <numFmt numFmtId="35" formatCode="_(* #,##0.00_);_(* \(#,##0.00\);_(* &quot;-&quot;??_);_(@_)"/>
    </dxf>
    <dxf>
      <numFmt numFmtId="35" formatCode="_(* #,##0.00_);_(* \(#,##0.00\);_(* &quot;-&quot;??_);_(@_)"/>
    </dxf>
    <dxf>
      <fill>
        <patternFill patternType="solid">
          <fgColor rgb="FFE4DFEC"/>
          <bgColor rgb="FF000000"/>
        </patternFill>
      </fill>
    </dxf>
    <dxf>
      <fill>
        <patternFill>
          <bgColor rgb="FF92D050"/>
        </patternFill>
      </fill>
    </dxf>
    <dxf>
      <fill>
        <patternFill>
          <bgColor rgb="FFFF000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63" Type="http://schemas.openxmlformats.org/officeDocument/2006/relationships/externalLink" Target="externalLinks/externalLink36.xml"/><Relationship Id="rId68" Type="http://schemas.openxmlformats.org/officeDocument/2006/relationships/externalLink" Target="externalLinks/externalLink41.xml"/><Relationship Id="rId84" Type="http://schemas.openxmlformats.org/officeDocument/2006/relationships/externalLink" Target="externalLinks/externalLink57.xml"/><Relationship Id="rId89" Type="http://schemas.openxmlformats.org/officeDocument/2006/relationships/pivotCacheDefinition" Target="pivotCache/pivotCacheDefinition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53" Type="http://schemas.openxmlformats.org/officeDocument/2006/relationships/externalLink" Target="externalLinks/externalLink26.xml"/><Relationship Id="rId58" Type="http://schemas.openxmlformats.org/officeDocument/2006/relationships/externalLink" Target="externalLinks/externalLink31.xml"/><Relationship Id="rId74" Type="http://schemas.openxmlformats.org/officeDocument/2006/relationships/externalLink" Target="externalLinks/externalLink47.xml"/><Relationship Id="rId79" Type="http://schemas.openxmlformats.org/officeDocument/2006/relationships/externalLink" Target="externalLinks/externalLink52.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64" Type="http://schemas.openxmlformats.org/officeDocument/2006/relationships/externalLink" Target="externalLinks/externalLink37.xml"/><Relationship Id="rId69" Type="http://schemas.openxmlformats.org/officeDocument/2006/relationships/externalLink" Target="externalLinks/externalLink42.xml"/><Relationship Id="rId80" Type="http://schemas.openxmlformats.org/officeDocument/2006/relationships/externalLink" Target="externalLinks/externalLink53.xml"/><Relationship Id="rId85" Type="http://schemas.openxmlformats.org/officeDocument/2006/relationships/externalLink" Target="externalLinks/externalLink5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59" Type="http://schemas.openxmlformats.org/officeDocument/2006/relationships/externalLink" Target="externalLinks/externalLink32.xml"/><Relationship Id="rId67" Type="http://schemas.openxmlformats.org/officeDocument/2006/relationships/externalLink" Target="externalLinks/externalLink40.xml"/><Relationship Id="rId20" Type="http://schemas.openxmlformats.org/officeDocument/2006/relationships/worksheet" Target="worksheets/sheet20.xml"/><Relationship Id="rId41" Type="http://schemas.openxmlformats.org/officeDocument/2006/relationships/externalLink" Target="externalLinks/externalLink14.xml"/><Relationship Id="rId54" Type="http://schemas.openxmlformats.org/officeDocument/2006/relationships/externalLink" Target="externalLinks/externalLink27.xml"/><Relationship Id="rId62" Type="http://schemas.openxmlformats.org/officeDocument/2006/relationships/externalLink" Target="externalLinks/externalLink35.xml"/><Relationship Id="rId70" Type="http://schemas.openxmlformats.org/officeDocument/2006/relationships/externalLink" Target="externalLinks/externalLink43.xml"/><Relationship Id="rId75" Type="http://schemas.openxmlformats.org/officeDocument/2006/relationships/externalLink" Target="externalLinks/externalLink48.xml"/><Relationship Id="rId83" Type="http://schemas.openxmlformats.org/officeDocument/2006/relationships/externalLink" Target="externalLinks/externalLink56.xml"/><Relationship Id="rId88" Type="http://schemas.openxmlformats.org/officeDocument/2006/relationships/pivotCacheDefinition" Target="pivotCache/pivotCacheDefinition3.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57" Type="http://schemas.openxmlformats.org/officeDocument/2006/relationships/externalLink" Target="externalLinks/externalLink30.xml"/><Relationship Id="rId10" Type="http://schemas.openxmlformats.org/officeDocument/2006/relationships/worksheet" Target="worksheets/sheet10.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externalLink" Target="externalLinks/externalLink25.xml"/><Relationship Id="rId60" Type="http://schemas.openxmlformats.org/officeDocument/2006/relationships/externalLink" Target="externalLinks/externalLink33.xml"/><Relationship Id="rId65" Type="http://schemas.openxmlformats.org/officeDocument/2006/relationships/externalLink" Target="externalLinks/externalLink38.xml"/><Relationship Id="rId73" Type="http://schemas.openxmlformats.org/officeDocument/2006/relationships/externalLink" Target="externalLinks/externalLink46.xml"/><Relationship Id="rId78" Type="http://schemas.openxmlformats.org/officeDocument/2006/relationships/externalLink" Target="externalLinks/externalLink51.xml"/><Relationship Id="rId81" Type="http://schemas.openxmlformats.org/officeDocument/2006/relationships/externalLink" Target="externalLinks/externalLink54.xml"/><Relationship Id="rId86" Type="http://schemas.openxmlformats.org/officeDocument/2006/relationships/pivotCacheDefinition" Target="pivotCache/pivotCacheDefinition1.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2.xml"/><Relationship Id="rId34" Type="http://schemas.openxmlformats.org/officeDocument/2006/relationships/externalLink" Target="externalLinks/externalLink7.xml"/><Relationship Id="rId50" Type="http://schemas.openxmlformats.org/officeDocument/2006/relationships/externalLink" Target="externalLinks/externalLink23.xml"/><Relationship Id="rId55" Type="http://schemas.openxmlformats.org/officeDocument/2006/relationships/externalLink" Target="externalLinks/externalLink28.xml"/><Relationship Id="rId76" Type="http://schemas.openxmlformats.org/officeDocument/2006/relationships/externalLink" Target="externalLinks/externalLink49.xml"/><Relationship Id="rId97"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externalLink" Target="externalLinks/externalLink44.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externalLink" Target="externalLinks/externalLink2.xml"/><Relationship Id="rId24" Type="http://schemas.openxmlformats.org/officeDocument/2006/relationships/worksheet" Target="worksheets/sheet24.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66" Type="http://schemas.openxmlformats.org/officeDocument/2006/relationships/externalLink" Target="externalLinks/externalLink39.xml"/><Relationship Id="rId87" Type="http://schemas.openxmlformats.org/officeDocument/2006/relationships/pivotCacheDefinition" Target="pivotCache/pivotCacheDefinition2.xml"/><Relationship Id="rId61" Type="http://schemas.openxmlformats.org/officeDocument/2006/relationships/externalLink" Target="externalLinks/externalLink34.xml"/><Relationship Id="rId82" Type="http://schemas.openxmlformats.org/officeDocument/2006/relationships/externalLink" Target="externalLinks/externalLink5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56" Type="http://schemas.openxmlformats.org/officeDocument/2006/relationships/externalLink" Target="externalLinks/externalLink29.xml"/><Relationship Id="rId77" Type="http://schemas.openxmlformats.org/officeDocument/2006/relationships/externalLink" Target="externalLinks/externalLink50.xml"/><Relationship Id="rId8" Type="http://schemas.openxmlformats.org/officeDocument/2006/relationships/worksheet" Target="worksheets/sheet8.xml"/><Relationship Id="rId51" Type="http://schemas.openxmlformats.org/officeDocument/2006/relationships/externalLink" Target="externalLinks/externalLink24.xml"/><Relationship Id="rId72" Type="http://schemas.openxmlformats.org/officeDocument/2006/relationships/externalLink" Target="externalLinks/externalLink45.xml"/><Relationship Id="rId93"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257734</xdr:colOff>
      <xdr:row>362</xdr:row>
      <xdr:rowOff>67237</xdr:rowOff>
    </xdr:from>
    <xdr:to>
      <xdr:col>24</xdr:col>
      <xdr:colOff>571499</xdr:colOff>
      <xdr:row>370</xdr:row>
      <xdr:rowOff>123265</xdr:rowOff>
    </xdr:to>
    <xdr:sp macro="" textlink="">
      <xdr:nvSpPr>
        <xdr:cNvPr id="2" name="TextBox 1"/>
        <xdr:cNvSpPr txBox="1"/>
      </xdr:nvSpPr>
      <xdr:spPr>
        <a:xfrm>
          <a:off x="7485528" y="53194325"/>
          <a:ext cx="3720353" cy="1243852"/>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Raise</a:t>
          </a:r>
          <a:r>
            <a:rPr lang="en-US" sz="1100" baseline="0"/>
            <a:t> Information:   Driver raises are governed by a Union Collective Bargaining Agreement.  </a:t>
          </a:r>
          <a:r>
            <a:rPr lang="en-US" sz="1100"/>
            <a:t>All other raises at 2.0% or 2.5% are the budgeted Corporate approved raise %'s that each employee will receive on their assigned raise date.  Raises greater</a:t>
          </a:r>
          <a:r>
            <a:rPr lang="en-US" sz="1100" baseline="0"/>
            <a:t> than 2%/2.5% </a:t>
          </a:r>
          <a:r>
            <a:rPr lang="en-US" sz="1100"/>
            <a:t>are due to employee promotions/step increases, or wage normalizations.  </a:t>
          </a:r>
          <a:br>
            <a:rPr lang="en-US" sz="1100"/>
          </a:b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269875</xdr:colOff>
      <xdr:row>7</xdr:row>
      <xdr:rowOff>158750</xdr:rowOff>
    </xdr:from>
    <xdr:to>
      <xdr:col>14</xdr:col>
      <xdr:colOff>583404</xdr:colOff>
      <xdr:row>49</xdr:row>
      <xdr:rowOff>75203</xdr:rowOff>
    </xdr:to>
    <xdr:pic>
      <xdr:nvPicPr>
        <xdr:cNvPr id="2" name="Picture 1"/>
        <xdr:cNvPicPr>
          <a:picLocks noChangeAspect="1"/>
        </xdr:cNvPicPr>
      </xdr:nvPicPr>
      <xdr:blipFill>
        <a:blip xmlns:r="http://schemas.openxmlformats.org/officeDocument/2006/relationships" r:embed="rId1"/>
        <a:stretch>
          <a:fillRect/>
        </a:stretch>
      </xdr:blipFill>
      <xdr:spPr>
        <a:xfrm>
          <a:off x="6143625" y="349250"/>
          <a:ext cx="6346029" cy="8012703"/>
        </a:xfrm>
        <a:prstGeom prst="rect">
          <a:avLst/>
        </a:prstGeom>
      </xdr:spPr>
    </xdr:pic>
    <xdr:clientData/>
  </xdr:twoCellAnchor>
  <xdr:twoCellAnchor editAs="oneCell">
    <xdr:from>
      <xdr:col>5</xdr:col>
      <xdr:colOff>317500</xdr:colOff>
      <xdr:row>50</xdr:row>
      <xdr:rowOff>142875</xdr:rowOff>
    </xdr:from>
    <xdr:to>
      <xdr:col>15</xdr:col>
      <xdr:colOff>37298</xdr:colOff>
      <xdr:row>80</xdr:row>
      <xdr:rowOff>170727</xdr:rowOff>
    </xdr:to>
    <xdr:pic>
      <xdr:nvPicPr>
        <xdr:cNvPr id="3" name="Picture 2"/>
        <xdr:cNvPicPr>
          <a:picLocks noChangeAspect="1"/>
        </xdr:cNvPicPr>
      </xdr:nvPicPr>
      <xdr:blipFill>
        <a:blip xmlns:r="http://schemas.openxmlformats.org/officeDocument/2006/relationships" r:embed="rId2"/>
        <a:stretch>
          <a:fillRect/>
        </a:stretch>
      </xdr:blipFill>
      <xdr:spPr>
        <a:xfrm>
          <a:off x="6191250" y="8620125"/>
          <a:ext cx="6355548" cy="58222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c_db5_srv\SRC\User\REPORTS\STANDARD%20REPORTS\CUSTOM%20REPORTS\PL_RollingTrend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LeMay\2183-1%20Pacific%20Disp,%20Butlers%20Cove\Filing%20Possibly%202012\Filing\Audit\Final%20Outcome%208-14-2012\Pro%20Forma%20Pacific%20Disposal_Staf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LeMay\2183-1%20Pacific%20Disp,%20Butlers%20Cove\Filing%20Possibly%202012\Filing\Audit\Final%20Outcome%208-14-2012\Pro%20Forma%20Pacific%20Disposal_Sta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LeMay/2183-1%20Pacific%20Disp,%20Butlers%20Cove/Filing%20Possibly%202012/Filing/Audit/Final%20Outcome%208-14-2012/Pro%20Forma%20Pacific%20Disposal_Sta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home.utc.wa.gov/Mason/Rate%20Increase%201-1-2013/1%20Filing%2011-14-2012/Revised%202-21-2013/staff%20Mason%20Proforma%209-30-2012-Linked%20Cust%20Count%20Fix%2012-2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Mason\Rate%20Increase%201-1-2013\1%20Filing%2011-14-2012\Revised%202-21-2013\staff%20Mason%20Proforma%209-30-2012-Linked%20Cust%20Count%20Fix%2012-2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Mason\Rate%20Increase%201-1-2013\1%20Filing%2011-14-2012\Revised%202-21-2013\staff%20Mason%20Proforma%209-30-2012-Linked%20Cust%20Count%20Fix%2012-2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ason/Rate%20Increase%201-1-2013/1%20Filing%2011-14-2012/Revised%202-21-2013/staff%20Mason%20Proforma%209-30-2012-Linked%20Cust%20Count%20Fix%2012-2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utcfs2\grp_data\District\Joe_Garza\mark%20gregg\WUTC%20Files\Eastside\Eastside%20Rate%20Case%202006\Eastside%20RC%202006%20Filing%20Docs\Proforma%20Eastside%202005%204.17.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cinf05\DistShares\WCNX%20Stuff\Excel\Financials\Excel%20Financials\ExcelFinanci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isposal%2010.2016%20thru%209.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disnap\accounting\MODEST~1\203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Western%20Region\WUTC\WUTC-Columbia%202025\General%20Filing%204-15-2016\Audit\Final\TG-160424%20CRD%20Pro%20forma%203-31-2016%20Staff%20FINAL.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home.utc.wa.gov/Western%20Region/ControllerDir/Brent_Blair_Kortney/PO%20Report%20by%20Division/PO%20Report_v3b%202013-08-26.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Western%20Region\ControllerDir\Brent_Blair_Kortney\PO%20Report%20by%20Division\PO%20Report_v3b%202013-08-26.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Western%20Region/ControllerDir/Brent_Blair_Kortney/PO%20Report%20by%20Division/PO%20Report_v3b%202013-08-26.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estern%20Region/WUTC/WIP%20Files/2195%20Yakima/General%20Rate%20Filings/2017%20Rate%20Filing/.Yakima%20Waste%20Pro%20forma%20YE%206.30.17.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Vashon\Rate%20Incr%201-1-2012\Vashon%20Pro%20Form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Vashon/Rate%20Incr%201-1-2012/Vashon%20Pro%20Form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Vashon\Rate%20Incr%201-1-2012\Vashon%20Pro%20Form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Vashon\Rate%20Incr%201-1-2012\Vashon%20Pro%20Form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Empire/Rate%20Increase%209-1-2010/Filed%209-14-10/Proforma%209-14-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L_WASTE\SYS\ACCOUNT\CV2000\022000\2000_FEBRUARY_%20GL%20RECO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Western%20Region/WUTC/WIP%20Files/2010%20Clark%20County-%202009%20Vancouver/Misc%20Analsysis%20Non-Filing/Pro%20froma%208.31.2013%20for%20Budgets/Consolidated%20Pro%20forma%20Year%20201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Western%20Region\WUTC\WIP%20Files\2010%20Clark%20County-%202009%20Vancouver\Misc%20Analsysis%20Non-Filing\Pro%20froma%208.31.2013%20for%20Budgets\Consolidated%20Pro%20forma%20Year%20201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Western%20Region/WUTC/WUTC-Columbia%202025/General%20Filing%204-15-2016/Filed%204-15-16/CRD%20Pro%20forma%203-31-2016.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cinf06\sacshare\Data_Automation\DMS\RouteManagerReports\RM_MM001_Query_v4c.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Western%20Region\WUTC\WIP%20Files\2010%20Clark%20County-%202009%20Vancouver\12.31.2010%20Test%20Year\Proforma%20Clark%20County%20101231%20Filing-Draft-FINAL%20VERSION.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Western%20Region\WUTC\WIP%20Files\2010%20Clark%20County-%202009%20Vancouver\12.31.2010%20Test%20Year\Proforma%20Clark%20County%20101231%20Filing-Draft-FINAL%20VERSION.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Western%20Region/WUTC/WIP%20Files/2010%20Clark%20County-%202009%20Vancouver/12.31.2010%20Test%20Year/Proforma%20Clark%20County%20101231%20Filing-Draft-FINAL%20VERSION.xlsx"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ExcelFinancials_v3b1"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cinf04\home$\Annual%20Reports\2180%20LeMay\2009\LeMay%20Annual%20Report%200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home.utc.wa.gov/Annual%20Reports/2180%20LeMay/2009/LeMay%20Annual%20Report%20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acinf04\home$\SRC%20Reports\SRC%20Format\Bonus%20Schedule\PNWR%20SRC%20Bonus%20Schedule%2020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Annual%20Reports\2180%20LeMay\2009\LeMay%20Annual%20Report%20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Annual%20Reports\2180%20LeMay\2009\LeMay%20Annual%20Report%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Annual%20Reports/2180%20LeMay/2009/LeMay%20Annual%20Report%20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acinf04\home$\LeMay\Master%20Truck%20Schedule\South_LeMay%20Master%20Truck%20Schedule-Share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LeMay\Master%20Truck%20Schedule\South_LeMay%20Master%20Truck%20Schedule-Shar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P:\LeMay\Master%20Truck%20Schedule\South_LeMay%20Master%20Truck%20Schedule-Shar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LeMay/Master%20Truck%20Schedule/South_LeMay%20Master%20Truck%20Schedule-Shared.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ExcelFinancials_v3c1"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VEHICLE%20AUDIT%20REPORT%202010%20-%209-30-1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F%20Allocation%20Calculation%209-3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ome.utc.wa.gov/SRC%20Reports/SRC%20Format/Bonus%20Schedule/PNWR%20SRC%20Bonus%20Schedule%20200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Clark%20County%20Time%20Study%20-%202017.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venue/Clark%20County-Vancouver%20Price%20Out%20Oct%202016%20through%20Sept%202017.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Western%20Region/WUTC/WUTC-Clark%20County%202009/Dump%20Fee/DF%201-1-18/Clark%20County%20DF%20Calc%201-1-2018.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venue/Clark%20Co%20Price%20Out%20YE%209-30-17.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Outside%20Labor%20Log.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JEQuery%20-%2043001%20Taxes.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JEQuery%20-%2060225%20Advertising%20&amp;%20Promotion.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JEQuery%20-%2070195%20Dues%20&amp;%20Subscriptions.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JEQuery%20-%2070225%20Advertising.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RC%20Reports\SRC%20Format\Bonus%20Schedule\PNWR%20SRC%20Bonus%20Schedule%20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SRC%20Reports\SRC%20Format\Bonus%20Schedule\PNWR%20SRC%20Bonus%20Schedule%20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RC%20Reports/SRC%20Format/Bonus%20Schedule/PNWR%20SRC%20Bonus%20Schedule%2020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ome.utc.wa.gov/LeMay/2183-1%20Pacific%20Disp,%20Butlers%20Cove/Filing%20Possibly%202012/Filing/Audit/Final%20Outcome%208-14-2012/Pro%20Forma%20Pacific%20Disposal_Staf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row r="5">
          <cell r="D5">
            <v>10.71</v>
          </cell>
        </row>
        <row r="14">
          <cell r="C14" t="str">
            <v>dist</v>
          </cell>
          <cell r="E14" t="str">
            <v>=</v>
          </cell>
          <cell r="F14">
            <v>2149</v>
          </cell>
        </row>
      </sheetData>
      <sheetData sheetId="4" refreshError="1">
        <row r="6">
          <cell r="F6" t="str">
            <v>Time Series</v>
          </cell>
        </row>
        <row r="17">
          <cell r="B17" t="str">
            <v>ACCT</v>
          </cell>
          <cell r="C17" t="str">
            <v>-</v>
          </cell>
        </row>
        <row r="22">
          <cell r="C22" t="str">
            <v>Financial</v>
          </cell>
        </row>
        <row r="23">
          <cell r="C23" t="str">
            <v>ALL</v>
          </cell>
        </row>
        <row r="24">
          <cell r="C24" t="str">
            <v>Variable</v>
          </cell>
        </row>
      </sheetData>
      <sheetData sheetId="5" refreshError="1">
        <row r="8">
          <cell r="E8" t="str">
            <v>Report</v>
          </cell>
        </row>
        <row r="12">
          <cell r="B12" t="b">
            <v>0</v>
          </cell>
        </row>
      </sheetData>
      <sheetData sheetId="6" refreshError="1"/>
      <sheetData sheetId="7" refreshError="1">
        <row r="11">
          <cell r="D11">
            <v>10002</v>
          </cell>
          <cell r="E11">
            <v>0</v>
          </cell>
          <cell r="F11">
            <v>0</v>
          </cell>
          <cell r="G11">
            <v>0</v>
          </cell>
          <cell r="H11">
            <v>0</v>
          </cell>
          <cell r="I11">
            <v>0</v>
          </cell>
          <cell r="J11">
            <v>0</v>
          </cell>
          <cell r="K11">
            <v>0</v>
          </cell>
          <cell r="L11">
            <v>0</v>
          </cell>
          <cell r="M11">
            <v>0</v>
          </cell>
          <cell r="N11">
            <v>0</v>
          </cell>
          <cell r="O11">
            <v>0</v>
          </cell>
          <cell r="P11">
            <v>0</v>
          </cell>
          <cell r="Q11" t="str">
            <v>Cash</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3">
          <cell r="L23">
            <v>2329.3388396454475</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G Garbage"/>
      <sheetName val=" LG recycle"/>
      <sheetName val="LG Yardwaste"/>
      <sheetName val="LG MF Recycle"/>
      <sheetName val="Proforma"/>
      <sheetName val="matrix"/>
      <sheetName val="COS"/>
      <sheetName val="Price Out-Reg EASTSIDE-Resi"/>
      <sheetName val="Price Out-Comm MSW"/>
      <sheetName val="Price Out-Drop Box"/>
      <sheetName val="Price Out-MF Recycle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BS_Close"/>
      <sheetName val="PL_ActTranx"/>
      <sheetName val="JE_Review"/>
      <sheetName val="PL_CloseByDay"/>
      <sheetName val="PL_IS200"/>
      <sheetName val="PL_IS210"/>
      <sheetName val="PL_ActByDistrict"/>
      <sheetName val="PL_ProjReview"/>
    </sheetNames>
    <sheetDataSet>
      <sheetData sheetId="0"/>
      <sheetData sheetId="1" refreshError="1">
        <row r="2">
          <cell r="X2" t="str">
            <v>P&amp;L Close Report</v>
          </cell>
          <cell r="Z2" t="str">
            <v>Consolidated</v>
          </cell>
        </row>
        <row r="3">
          <cell r="X3" t="str">
            <v>BS Close Report</v>
          </cell>
          <cell r="Z3" t="str">
            <v>Region</v>
          </cell>
        </row>
        <row r="4">
          <cell r="X4" t="str">
            <v>P&amp;L Tranx Report</v>
          </cell>
          <cell r="Z4" t="str">
            <v>District</v>
          </cell>
        </row>
        <row r="5">
          <cell r="X5" t="str">
            <v>P&amp;L Close by Day</v>
          </cell>
          <cell r="Z5" t="str">
            <v>Multiple Districts</v>
          </cell>
        </row>
        <row r="6">
          <cell r="X6" t="str">
            <v>JE Review Report</v>
          </cell>
        </row>
        <row r="7">
          <cell r="X7" t="str">
            <v>IS200 Report</v>
          </cell>
        </row>
        <row r="8">
          <cell r="X8" t="str">
            <v>IS210 Report</v>
          </cell>
        </row>
      </sheetData>
      <sheetData sheetId="2"/>
      <sheetData sheetId="3"/>
      <sheetData sheetId="4"/>
      <sheetData sheetId="5"/>
      <sheetData sheetId="6"/>
      <sheetData sheetId="7"/>
      <sheetData sheetId="8"/>
      <sheetData sheetId="9"/>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Disposal - do not use"/>
      <sheetName val="JE Query"/>
      <sheetName val="JE Lookup"/>
      <sheetName val="Waste Works Breakdown"/>
      <sheetName val="Waste Works Rpt Oct 2016 to Sep"/>
      <sheetName val="WW ALL RO Only"/>
      <sheetName val="WW RO - Garbage Only"/>
      <sheetName val="WW RO Food Waste"/>
      <sheetName val="WW RO Other"/>
      <sheetName val="WW All Resi and Comm"/>
      <sheetName val="WW MSW Only"/>
      <sheetName val="WW Food Waste"/>
      <sheetName val="WW Resi Comm Other"/>
    </sheetNames>
    <sheetDataSet>
      <sheetData sheetId="0"/>
      <sheetData sheetId="1">
        <row r="6">
          <cell r="D6">
            <v>10000</v>
          </cell>
        </row>
        <row r="8">
          <cell r="J8" t="str">
            <v>2017-10</v>
          </cell>
        </row>
        <row r="12">
          <cell r="I12" t="str">
            <v>2016-10</v>
          </cell>
        </row>
        <row r="13">
          <cell r="I13" t="str">
            <v>2017-09</v>
          </cell>
        </row>
      </sheetData>
      <sheetData sheetId="2"/>
      <sheetData sheetId="3"/>
      <sheetData sheetId="4"/>
      <sheetData sheetId="5">
        <row r="22482">
          <cell r="W22482">
            <v>80726.470000000249</v>
          </cell>
          <cell r="Z22482">
            <v>6386917.4000000479</v>
          </cell>
        </row>
      </sheetData>
      <sheetData sheetId="6">
        <row r="21469">
          <cell r="W21469">
            <v>78285.730000000345</v>
          </cell>
          <cell r="Z21469">
            <v>6325405.3100000434</v>
          </cell>
        </row>
      </sheetData>
      <sheetData sheetId="7">
        <row r="11">
          <cell r="W11">
            <v>0.59000000000000019</v>
          </cell>
          <cell r="Z11">
            <v>141.58000000000001</v>
          </cell>
        </row>
      </sheetData>
      <sheetData sheetId="8">
        <row r="1008">
          <cell r="W1008">
            <v>2440.150000000001</v>
          </cell>
          <cell r="Z1008">
            <v>61370.51</v>
          </cell>
        </row>
      </sheetData>
      <sheetData sheetId="9">
        <row r="16932">
          <cell r="W16932">
            <v>150965.99</v>
          </cell>
          <cell r="Z16932">
            <v>13084500.410000021</v>
          </cell>
        </row>
      </sheetData>
      <sheetData sheetId="10">
        <row r="15493">
          <cell r="W15493">
            <v>142353.68000000023</v>
          </cell>
          <cell r="Z15493">
            <v>12776228.64000003</v>
          </cell>
        </row>
      </sheetData>
      <sheetData sheetId="11">
        <row r="532">
          <cell r="W532">
            <v>1689.4800000000014</v>
          </cell>
          <cell r="Z532">
            <v>110572.83000000007</v>
          </cell>
        </row>
      </sheetData>
      <sheetData sheetId="12">
        <row r="913">
          <cell r="W913">
            <v>6922.8299999999917</v>
          </cell>
          <cell r="Z913">
            <v>197698.93999999989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320"/>
      <sheetName val="#REF"/>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BS"/>
      <sheetName val="2025 IS"/>
      <sheetName val="Consolidated IS"/>
      <sheetName val="Pro-forma"/>
      <sheetName val="Restating Adj"/>
      <sheetName val="Restating Expl"/>
      <sheetName val="Pro Forma Adj"/>
      <sheetName val="Staff Adjustments"/>
      <sheetName val="Ratios"/>
      <sheetName val="Staff LG G-48"/>
      <sheetName val="LG"/>
      <sheetName val="LG G-48"/>
      <sheetName val="LG G-51"/>
      <sheetName val=" Staff G-48 Price Out"/>
      <sheetName val="G-51 Price Out"/>
      <sheetName val="Rate Schedule G-48"/>
      <sheetName val="References"/>
      <sheetName val="Staff Reference"/>
      <sheetName val="Staff Tariff Changes"/>
      <sheetName val="Staff Disposal Calcs"/>
      <sheetName val="Staff Customer Counts"/>
      <sheetName val="G-48 DF Calc"/>
      <sheetName val="DF Schedule"/>
      <sheetName val="Staff Depr Summary"/>
      <sheetName val="Staff Depr Calculation"/>
      <sheetName val="Staff 2008 Peterblt calc"/>
      <sheetName val="Depr Summary"/>
      <sheetName val="Depreciation"/>
      <sheetName val="Staff Fuel"/>
      <sheetName val="Payroll Detail Staff"/>
      <sheetName val="Payroll Detail"/>
      <sheetName val="DivCon-DVP Alloc In"/>
      <sheetName val="Corp-OH"/>
      <sheetName val="Region OH Calc"/>
      <sheetName val="Corp-BS"/>
      <sheetName val="Corp-IS"/>
      <sheetName val="38000 Other Rev"/>
      <sheetName val="2025 BS 3-31-2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D6">
            <v>10000</v>
          </cell>
        </row>
        <row r="8">
          <cell r="H8" t="str">
            <v>2016-07</v>
          </cell>
        </row>
        <row r="12">
          <cell r="G12" t="str">
            <v>2015-04</v>
          </cell>
        </row>
        <row r="13">
          <cell r="G13" t="str">
            <v>2016-03</v>
          </cell>
        </row>
      </sheetData>
      <sheetData sheetId="3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efreshError="1">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efreshError="1">
        <row r="3">
          <cell r="E3" t="str">
            <v>Western</v>
          </cell>
        </row>
      </sheetData>
      <sheetData sheetId="2" refreshError="1"/>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akima BS"/>
      <sheetName val="Yakima IS"/>
      <sheetName val="References"/>
      <sheetName val="Yakima Consolidated IS"/>
      <sheetName val="Ratios"/>
      <sheetName val="Restating Adj's"/>
      <sheetName val="Pro-forma Adj's"/>
      <sheetName val="LG-Total Reg"/>
      <sheetName val="LG-Garbage"/>
      <sheetName val="LG-Recycle"/>
      <sheetName val="LG-Yardwaste"/>
      <sheetName val="Yakima Regulated Price Out"/>
      <sheetName val="Proposed Rates"/>
      <sheetName val="Revenue Summary"/>
      <sheetName val="Depr Summary"/>
      <sheetName val="Yakima Payroll"/>
      <sheetName val="Disposal"/>
      <sheetName val="Fuel Schedule"/>
      <sheetName val="A-Team Summary"/>
      <sheetName val="Roll Off Cust Count"/>
      <sheetName val="DivCon-DVP Alloc In"/>
      <sheetName val="Region OH Calc"/>
      <sheetName val="WCI P&amp;L"/>
      <sheetName val="WCI BS"/>
      <sheetName val="Corp OH"/>
      <sheetName val="July Fuel"/>
      <sheetName val="70149 Detail"/>
      <sheetName val="70095 Detail"/>
      <sheetName val="70195 Detail"/>
      <sheetName val="70255 Detail"/>
      <sheetName val="6.30.17 BS"/>
    </sheetNames>
    <sheetDataSet>
      <sheetData sheetId="0">
        <row r="30">
          <cell r="AC30">
            <v>749099.65</v>
          </cell>
        </row>
      </sheetData>
      <sheetData sheetId="1"/>
      <sheetData sheetId="2"/>
      <sheetData sheetId="3">
        <row r="1">
          <cell r="A1" t="str">
            <v>Yakima Waste Systems, Inc G-89</v>
          </cell>
        </row>
      </sheetData>
      <sheetData sheetId="4">
        <row r="8">
          <cell r="B8">
            <v>0</v>
          </cell>
        </row>
      </sheetData>
      <sheetData sheetId="5">
        <row r="16">
          <cell r="P16">
            <v>0</v>
          </cell>
        </row>
      </sheetData>
      <sheetData sheetId="6"/>
      <sheetData sheetId="7"/>
      <sheetData sheetId="8">
        <row r="36">
          <cell r="E36">
            <v>8.8546485705000733E-2</v>
          </cell>
        </row>
      </sheetData>
      <sheetData sheetId="9">
        <row r="36">
          <cell r="E36">
            <v>-5.2505146465273579E-2</v>
          </cell>
        </row>
      </sheetData>
      <sheetData sheetId="10">
        <row r="6">
          <cell r="J6">
            <v>-5.3162356997751466E-2</v>
          </cell>
        </row>
      </sheetData>
      <sheetData sheetId="11"/>
      <sheetData sheetId="12"/>
      <sheetData sheetId="13">
        <row r="21">
          <cell r="F21">
            <v>1708297.48</v>
          </cell>
        </row>
      </sheetData>
      <sheetData sheetId="14"/>
      <sheetData sheetId="15">
        <row r="64">
          <cell r="Y64">
            <v>22919.914580870409</v>
          </cell>
        </row>
      </sheetData>
      <sheetData sheetId="16">
        <row r="10">
          <cell r="B10">
            <v>3635.19</v>
          </cell>
        </row>
      </sheetData>
      <sheetData sheetId="17">
        <row r="39">
          <cell r="B39">
            <v>2349.7995013614564</v>
          </cell>
        </row>
      </sheetData>
      <sheetData sheetId="18">
        <row r="13">
          <cell r="L13">
            <v>3949.02</v>
          </cell>
        </row>
      </sheetData>
      <sheetData sheetId="19"/>
      <sheetData sheetId="20">
        <row r="25">
          <cell r="C25">
            <v>22665.762188783203</v>
          </cell>
        </row>
      </sheetData>
      <sheetData sheetId="21"/>
      <sheetData sheetId="22"/>
      <sheetData sheetId="23"/>
      <sheetData sheetId="24"/>
      <sheetData sheetId="25"/>
      <sheetData sheetId="26"/>
      <sheetData sheetId="27">
        <row r="173">
          <cell r="E173">
            <v>218</v>
          </cell>
        </row>
      </sheetData>
      <sheetData sheetId="28">
        <row r="64">
          <cell r="D64">
            <v>1271</v>
          </cell>
        </row>
      </sheetData>
      <sheetData sheetId="29">
        <row r="128">
          <cell r="E128">
            <v>4587.2300000000005</v>
          </cell>
        </row>
      </sheetData>
      <sheetData sheetId="30">
        <row r="35">
          <cell r="P35">
            <v>655883.93000000005</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Consolidated BS"/>
      <sheetName val="IS-2120"/>
      <sheetName val="IS-2121"/>
      <sheetName val="Consolidated IS"/>
      <sheetName val="Proforma"/>
      <sheetName val="Restate-Regulated"/>
      <sheetName val="Restating Expl"/>
      <sheetName val="Pro forma Adj"/>
      <sheetName val="LG"/>
      <sheetName val="LG-Pckr Rts"/>
      <sheetName val="LG-RO"/>
      <sheetName val="LG-Recycl"/>
      <sheetName val="Price-out"/>
      <sheetName val="Rate Schedule"/>
      <sheetName val="2120 Depr Summary"/>
      <sheetName val="2120 Depr"/>
      <sheetName val="2121 Depr Summary"/>
      <sheetName val="2121 Depr"/>
      <sheetName val="2120 Fuel "/>
      <sheetName val="DF-Summary"/>
      <sheetName val="Whitman"/>
      <sheetName val="Spokane"/>
      <sheetName val="Lincoln"/>
      <sheetName val="Med Waste"/>
      <sheetName val="Payroll, 2120"/>
      <sheetName val="Contract-Rev,Cust Cnt"/>
      <sheetName val="Time 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tyCash-10110"/>
      <sheetName val="10200"/>
      <sheetName val="10210"/>
      <sheetName val="10250_RECON"/>
      <sheetName val="10250_MVPSS"/>
      <sheetName val="10250_Recy Chkg"/>
      <sheetName val="10250_Reimb Accts"/>
      <sheetName val="10250_Rollfwd"/>
      <sheetName val="10410_Rollfwd"/>
      <sheetName val="10410_Recon"/>
      <sheetName val="10410_Trade"/>
      <sheetName val="10410_Lodi"/>
      <sheetName val="10410_Sac Co"/>
      <sheetName val="10410_Brokered"/>
      <sheetName val="10420_Rollfwd"/>
      <sheetName val="10420 RECON"/>
      <sheetName val="Rollfwd_10550"/>
      <sheetName val="Recon_10550"/>
      <sheetName val="Recon_10555"/>
      <sheetName val="Recon_10610"/>
      <sheetName val="A170XX-October"/>
      <sheetName val="Recon_10760"/>
      <sheetName val="Rollfwd_10820"/>
      <sheetName val="PPXXC_10830"/>
      <sheetName val="Schedule_10830"/>
      <sheetName val="Recon_10830"/>
      <sheetName val="Rollfwd_10850"/>
      <sheetName val="Recon_10850"/>
      <sheetName val="ReconSumm_10890"/>
      <sheetName val="ASSETS 11XXX"/>
      <sheetName val="ACC DEP 12XXX"/>
      <sheetName val="GOODWILL_15120"/>
      <sheetName val="Rollfwd_15450"/>
      <sheetName val="15450_92 bond"/>
      <sheetName val="15450_94 Bond "/>
      <sheetName val="Recon_15450"/>
      <sheetName val="Rollfwd_15320_15500"/>
      <sheetName val="16100_Rollfwd"/>
      <sheetName val="A180543"/>
      <sheetName val="A20110"/>
      <sheetName val="Rollfwd_20120"/>
      <sheetName val="Recon_20120"/>
      <sheetName val="Recon_20130"/>
      <sheetName val="Recon_20133"/>
      <sheetName val="Recon_20135"/>
      <sheetName val="Recon_20137"/>
      <sheetName val="A20140"/>
      <sheetName val="SALES TAX RETURN_20140"/>
      <sheetName val="Rollfwd_20170"/>
      <sheetName val="Recon_20170"/>
      <sheetName val="Recon_20175"/>
      <sheetName val="Recon_20177"/>
      <sheetName val="Detail_20320"/>
      <sheetName val="Rollfwd_20325"/>
      <sheetName val="Recon_20325"/>
      <sheetName val="A20330"/>
      <sheetName val="RECON 20335"/>
      <sheetName val="RECON_20340"/>
      <sheetName val="DETAILED 20360"/>
      <sheetName val="recon 20365"/>
      <sheetName val="recon 20375"/>
      <sheetName val="A21100 &amp; A21250"/>
      <sheetName val="21250_92 Bond"/>
      <sheetName val="21250_94 Bond"/>
      <sheetName val="21250_R. Vaccarezza"/>
      <sheetName val="21250_BOND DIS AMORT"/>
      <sheetName val="A21390"/>
      <sheetName val="Recon 22104"/>
      <sheetName val="Recon 22105"/>
      <sheetName val="Recon 22109"/>
      <sheetName val="Recon 22205 "/>
      <sheetName val="Recon 22206"/>
      <sheetName val="Recon_30XXXX"/>
      <sheetName val="Recon 150543 Revised"/>
      <sheetName val="170001 DL 121999"/>
      <sheetName val="Rollfwd_170001"/>
      <sheetName val="A170001"/>
      <sheetName val="Rollfwd_170050"/>
      <sheetName val="A170050"/>
      <sheetName val="Rollfwd_171170"/>
      <sheetName val="A171170"/>
      <sheetName val="Rollfwd_171500"/>
      <sheetName val="A171500"/>
      <sheetName val="A171504"/>
      <sheetName val="A171531"/>
      <sheetName val="A172216"/>
      <sheetName val="A172220"/>
      <sheetName val="A172355"/>
      <sheetName val="Dec_99 DL_RAW"/>
      <sheetName val="Dec_99 DL_"/>
      <sheetName val="DEC_98 DL RAW"/>
      <sheetName val="DEC_98 DL "/>
      <sheetName val="Sheet4"/>
      <sheetName val="Sheet4 (2)"/>
      <sheetName val="XXXXXX"/>
      <sheetName val="BU NAMES"/>
      <sheetName val="PS BS ACCOU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 BS"/>
      <sheetName val="2010 BS"/>
      <sheetName val="2009 IS"/>
      <sheetName val="2010 IS"/>
      <sheetName val="Consolidated IS"/>
      <sheetName val="Alloc %"/>
      <sheetName val="Rest Expl"/>
      <sheetName val="Prof Expl"/>
      <sheetName val="2009 Price Out (REG)"/>
      <sheetName val="LG-Total Reg"/>
      <sheetName val="LG-Pckr"/>
      <sheetName val="LG-RO"/>
      <sheetName val="2009-2010"/>
      <sheetName val="2009 Depr Summary"/>
      <sheetName val="2009 Trks"/>
      <sheetName val="2009 Cont, DB"/>
      <sheetName val="2009 Serv, Shop"/>
      <sheetName val="2009 Office"/>
      <sheetName val="2009 Leasehold"/>
      <sheetName val="2010 Deprec Summary"/>
      <sheetName val="2010 Trks"/>
      <sheetName val="2010 Cont, DB"/>
      <sheetName val="2010 Serv, Shop"/>
      <sheetName val="2010 Office"/>
      <sheetName val="2010 Lease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D9">
            <v>2408479.3639999996</v>
          </cell>
        </row>
      </sheetData>
      <sheetData sheetId="14"/>
      <sheetData sheetId="15"/>
      <sheetData sheetId="16"/>
      <sheetData sheetId="17"/>
      <sheetData sheetId="18"/>
      <sheetData sheetId="19">
        <row r="8">
          <cell r="D8">
            <v>2113303.516104938</v>
          </cell>
        </row>
      </sheetData>
      <sheetData sheetId="20"/>
      <sheetData sheetId="21"/>
      <sheetData sheetId="22"/>
      <sheetData sheetId="23"/>
      <sheetData sheetId="2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 BS"/>
      <sheetName val="2010 BS"/>
      <sheetName val="2009 IS"/>
      <sheetName val="2010 IS"/>
      <sheetName val="Consolidated IS"/>
      <sheetName val="Alloc %"/>
      <sheetName val="Rest Expl"/>
      <sheetName val="Prof Expl"/>
      <sheetName val="2009 Price Out (REG)"/>
      <sheetName val="LG-Total Reg"/>
      <sheetName val="LG-Pckr"/>
      <sheetName val="LG-RO"/>
      <sheetName val="2009-2010"/>
      <sheetName val="2009 Depr Summary"/>
      <sheetName val="2009 Trks"/>
      <sheetName val="2009 Cont, DB"/>
      <sheetName val="2009 Serv, Shop"/>
      <sheetName val="2009 Office"/>
      <sheetName val="2009 Leasehold"/>
      <sheetName val="2010 Deprec Summary"/>
      <sheetName val="2010 Trks"/>
      <sheetName val="2010 Cont, DB"/>
      <sheetName val="2010 Serv, Shop"/>
      <sheetName val="2010 Office"/>
      <sheetName val="2010 Leaseh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BS"/>
      <sheetName val="2025 IS"/>
      <sheetName val="Consolidated IS"/>
      <sheetName val="Pro-forma"/>
      <sheetName val="Restating Adj"/>
      <sheetName val="Restating Expl"/>
      <sheetName val="Pro Forma Adj"/>
      <sheetName val="Ratios"/>
      <sheetName val="LG"/>
      <sheetName val="LG G-48"/>
      <sheetName val="LG G-51"/>
      <sheetName val="G-48 Price Out"/>
      <sheetName val="G-51 Price Out"/>
      <sheetName val="Rate Schedule G-48"/>
      <sheetName val="References"/>
      <sheetName val="G-48 DF Calc"/>
      <sheetName val="DF Schedule"/>
      <sheetName val="Depr Summary"/>
      <sheetName val="Depreciation"/>
      <sheetName val="Payroll Detail"/>
      <sheetName val="DivCon-DVP Alloc In"/>
      <sheetName val="Corp-OH"/>
      <sheetName val="Region OH Calc"/>
      <sheetName val="Corp-BS"/>
      <sheetName val="Corp-IS"/>
      <sheetName val="38000 Other Rev"/>
      <sheetName val="2025 BS 3-31-2015"/>
    </sheetNames>
    <sheetDataSet>
      <sheetData sheetId="0"/>
      <sheetData sheetId="1"/>
      <sheetData sheetId="2"/>
      <sheetData sheetId="3" refreshError="1"/>
      <sheetData sheetId="4"/>
      <sheetData sheetId="5">
        <row r="78">
          <cell r="D78">
            <v>13340.018881532844</v>
          </cell>
        </row>
      </sheetData>
      <sheetData sheetId="6">
        <row r="27">
          <cell r="B27">
            <v>353.32367365298381</v>
          </cell>
        </row>
      </sheetData>
      <sheetData sheetId="7">
        <row r="13">
          <cell r="B13">
            <v>0.89361089902323576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0">
          <cell r="C60">
            <v>178633.12500000003</v>
          </cell>
        </row>
      </sheetData>
      <sheetData sheetId="17">
        <row r="1">
          <cell r="A1" t="str">
            <v>Columbia River Disposal, Inc. G-48/G-51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
          <cell r="D6">
            <v>10000</v>
          </cell>
        </row>
      </sheetData>
      <sheetData sheetId="2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001Tranx"/>
      <sheetName val="JEexport"/>
      <sheetName val="Intro Memo"/>
      <sheetName val="JE_Summary"/>
      <sheetName val="Mth00"/>
      <sheetName val="Mth01"/>
      <sheetName val="Mth02"/>
      <sheetName val="Mth03"/>
      <sheetName val="Mth04"/>
      <sheetName val="Mth05"/>
      <sheetName val="Mth06"/>
      <sheetName val="Mth07"/>
      <sheetName val="Mth08"/>
      <sheetName val="Mth09"/>
      <sheetName val="Mth10"/>
      <sheetName val="Mth11"/>
      <sheetName val="Mth12"/>
      <sheetName val="TEST"/>
      <sheetName val="To Do"/>
      <sheetName val="GLMapping"/>
      <sheetName val="BatchLog"/>
      <sheetName val="Reference"/>
    </sheetNames>
    <sheetDataSet>
      <sheetData sheetId="0"/>
      <sheetData sheetId="1">
        <row r="9">
          <cell r="L9">
            <v>11501</v>
          </cell>
        </row>
        <row r="10">
          <cell r="L10" t="str">
            <v>11501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PL_ActReview2"/>
      <sheetName val="BS_Close"/>
      <sheetName val="PL_ActTranx"/>
      <sheetName val="IS200PL"/>
      <sheetName val="IS210PL"/>
      <sheetName val="ProjRevCheck"/>
      <sheetName val="BDebtCheck"/>
      <sheetName val="52901Check"/>
      <sheetName val="ICCheck"/>
      <sheetName val="BSCheck"/>
      <sheetName val="BadJECheck"/>
      <sheetName val="JE_Review"/>
      <sheetName val="Proj1"/>
      <sheetName val="Proj2"/>
    </sheetNames>
    <sheetDataSet>
      <sheetData sheetId="0"/>
      <sheetData sheetId="1" refreshError="1">
        <row r="2">
          <cell r="S2" t="str">
            <v>P&amp;L Close Report</v>
          </cell>
        </row>
        <row r="3">
          <cell r="S3" t="str">
            <v>P&amp;L Close Report 2</v>
          </cell>
        </row>
        <row r="4">
          <cell r="S4" t="str">
            <v>BS Close Report</v>
          </cell>
        </row>
        <row r="5">
          <cell r="S5" t="str">
            <v>IS 200 - PL Review</v>
          </cell>
        </row>
        <row r="6">
          <cell r="S6" t="str">
            <v>IS 210 - PL Review</v>
          </cell>
        </row>
        <row r="7">
          <cell r="S7" t="str">
            <v>P&amp;L Tranx Report</v>
          </cell>
        </row>
        <row r="8">
          <cell r="S8" t="str">
            <v>JE Review Report</v>
          </cell>
        </row>
        <row r="9">
          <cell r="S9" t="str">
            <v>Corp: Rev/Proj Check</v>
          </cell>
        </row>
        <row r="10">
          <cell r="S10" t="str">
            <v>Corp: 52901 Check</v>
          </cell>
        </row>
        <row r="11">
          <cell r="S11" t="str">
            <v>Corp: BS Check</v>
          </cell>
        </row>
        <row r="12">
          <cell r="S12" t="str">
            <v>Corp: Bad Debt Check</v>
          </cell>
        </row>
        <row r="13">
          <cell r="S13" t="str">
            <v>Corp: IC Check</v>
          </cell>
        </row>
        <row r="14">
          <cell r="S14" t="str">
            <v>Corp: JE Neg Check</v>
          </cell>
        </row>
        <row r="15">
          <cell r="S15" t="str">
            <v>Proj Review Report</v>
          </cell>
        </row>
        <row r="16">
          <cell r="S16" t="str">
            <v>Proj Review Report 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sheetData sheetId="1"/>
      <sheetData sheetId="2"/>
      <sheetData sheetId="3"/>
      <sheetData sheetId="4"/>
      <sheetData sheetId="5"/>
      <sheetData sheetId="6"/>
      <sheetData sheetId="7"/>
      <sheetData sheetId="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4MthProj1"/>
      <sheetName val="4MthProj2"/>
      <sheetName val="PL_ActReview"/>
      <sheetName val="PL_ActReview2"/>
      <sheetName val="BS_Close"/>
      <sheetName val="IS200PL"/>
      <sheetName val="PL_ActTranx"/>
      <sheetName val="IS210PL"/>
      <sheetName val="ProjRevCheck"/>
      <sheetName val="BDebtCheck"/>
      <sheetName val="52901Check"/>
      <sheetName val="ICCheck"/>
      <sheetName val="BSCheck"/>
      <sheetName val="BadJECheck"/>
      <sheetName val="JE_Review"/>
      <sheetName val="Proj1"/>
      <sheetName val="Proj2"/>
    </sheetNames>
    <sheetDataSet>
      <sheetData sheetId="0"/>
      <sheetData sheetId="1">
        <row r="2">
          <cell r="S2" t="str">
            <v>P&amp;L Close Report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s"/>
      <sheetName val="RTA Report"/>
    </sheetNames>
    <sheetDataSet>
      <sheetData sheetId="0">
        <row r="40">
          <cell r="F40">
            <v>0.22780191039399206</v>
          </cell>
        </row>
      </sheetData>
      <sheetData sheetId="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s"/>
      <sheetName val="Regulated"/>
      <sheetName val="Non-Regulated"/>
    </sheetNames>
    <sheetDataSet>
      <sheetData sheetId="0"/>
      <sheetData sheetId="1">
        <row r="123">
          <cell r="G123">
            <v>0.50009270993772481</v>
          </cell>
        </row>
        <row r="124">
          <cell r="G124">
            <v>0.49990729006227519</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 Study Summary"/>
      <sheetName val="Week 1 Time"/>
      <sheetName val="All"/>
      <sheetName val="7-10-17"/>
      <sheetName val="7-11-17"/>
      <sheetName val="7-12-17"/>
      <sheetName val="7-13-17"/>
      <sheetName val="7-14-17"/>
      <sheetName val="7-15-17"/>
      <sheetName val="FLG Routes1"/>
      <sheetName val="RO Routes"/>
      <sheetName val="Non Tablet RO Routes"/>
    </sheetNames>
    <sheetDataSet>
      <sheetData sheetId="0"/>
      <sheetData sheetId="1">
        <row r="765">
          <cell r="H765">
            <v>1434.7666690000001</v>
          </cell>
        </row>
        <row r="767">
          <cell r="H767">
            <v>130.18225600491525</v>
          </cell>
          <cell r="I767">
            <v>235.73441099508474</v>
          </cell>
        </row>
        <row r="769">
          <cell r="H769">
            <v>383.4637810089248</v>
          </cell>
          <cell r="I769">
            <v>517.7862189910752</v>
          </cell>
        </row>
        <row r="771">
          <cell r="I771">
            <v>545.53333399999997</v>
          </cell>
        </row>
        <row r="773">
          <cell r="I773">
            <v>217.48333399999999</v>
          </cell>
        </row>
        <row r="775">
          <cell r="I775">
            <v>1313.9000039999999</v>
          </cell>
        </row>
        <row r="777">
          <cell r="I777">
            <v>466.18333100000001</v>
          </cell>
        </row>
        <row r="779">
          <cell r="I779">
            <v>19.25</v>
          </cell>
        </row>
        <row r="781">
          <cell r="I781">
            <v>54.6</v>
          </cell>
        </row>
        <row r="783">
          <cell r="I783">
            <v>102.35000100000001</v>
          </cell>
        </row>
        <row r="785">
          <cell r="H785">
            <v>10.561263252065565</v>
          </cell>
          <cell r="I785">
            <v>247.10540574793438</v>
          </cell>
        </row>
        <row r="787">
          <cell r="I787">
            <v>90.883333999999991</v>
          </cell>
        </row>
        <row r="789">
          <cell r="H789">
            <v>84.537800516261541</v>
          </cell>
          <cell r="I789">
            <v>150.67886648373843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ummary"/>
      <sheetName val="Customer Count Summary"/>
      <sheetName val="2010_IS210"/>
      <sheetName val="Clark Co"/>
      <sheetName val="UTC Non-REg"/>
      <sheetName val="Camas Non-Reg"/>
      <sheetName val="Ridgefield Non-Reg"/>
      <sheetName val="Vancouver Non-Reg"/>
      <sheetName val="Washougal Non-Reg"/>
      <sheetName val="West Van Non-Reg"/>
      <sheetName val="Shred Non-Reg"/>
      <sheetName val="Data Pivots"/>
      <sheetName val="JE Query - Commercial"/>
      <sheetName val="JE Query - Commingle Pilot "/>
      <sheetName val="JE Query - Non-MM001 Rev"/>
      <sheetName val="10-2016 through 12-2016 DATA"/>
      <sheetName val="1-2017 through 9-2017 DATA"/>
    </sheetNames>
    <sheetDataSet>
      <sheetData sheetId="0">
        <row r="5">
          <cell r="C5">
            <v>0</v>
          </cell>
        </row>
        <row r="6">
          <cell r="B6">
            <v>0</v>
          </cell>
        </row>
        <row r="7">
          <cell r="B7">
            <v>0</v>
          </cell>
        </row>
        <row r="9">
          <cell r="B9">
            <v>0</v>
          </cell>
        </row>
        <row r="10">
          <cell r="B10">
            <v>0</v>
          </cell>
        </row>
        <row r="11">
          <cell r="B11">
            <v>0</v>
          </cell>
        </row>
        <row r="13">
          <cell r="B13">
            <v>0</v>
          </cell>
        </row>
        <row r="15">
          <cell r="B15">
            <v>57234.11</v>
          </cell>
        </row>
      </sheetData>
      <sheetData sheetId="1">
        <row r="5">
          <cell r="J5">
            <v>50017.163092335206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7">
          <cell r="J7" t="str">
            <v>ADJ</v>
          </cell>
          <cell r="K7" t="str">
            <v>ADJUST BALANCE</v>
          </cell>
          <cell r="L7">
            <v>-27.799999999999997</v>
          </cell>
          <cell r="M7">
            <v>0</v>
          </cell>
          <cell r="N7">
            <v>-4.0999999999999996</v>
          </cell>
          <cell r="O7">
            <v>-0.37</v>
          </cell>
          <cell r="P7">
            <v>0</v>
          </cell>
          <cell r="Q7">
            <v>-4.47</v>
          </cell>
        </row>
        <row r="8">
          <cell r="J8" t="str">
            <v>GWC</v>
          </cell>
          <cell r="K8" t="str">
            <v>GOODWILL CREDIT</v>
          </cell>
          <cell r="L8">
            <v>-1754.51</v>
          </cell>
          <cell r="M8">
            <v>-476.01</v>
          </cell>
          <cell r="N8">
            <v>-345</v>
          </cell>
          <cell r="O8">
            <v>-525.57999999999993</v>
          </cell>
          <cell r="P8">
            <v>0</v>
          </cell>
          <cell r="Q8">
            <v>-1346.59</v>
          </cell>
        </row>
        <row r="9">
          <cell r="J9" t="str">
            <v>MM</v>
          </cell>
          <cell r="K9" t="str">
            <v>TRANSFER PAYMENT</v>
          </cell>
          <cell r="L9">
            <v>-207.29999999999995</v>
          </cell>
          <cell r="M9">
            <v>-421.24000000000012</v>
          </cell>
          <cell r="N9">
            <v>-467.75</v>
          </cell>
          <cell r="O9">
            <v>273.3</v>
          </cell>
          <cell r="P9">
            <v>0</v>
          </cell>
          <cell r="Q9">
            <v>-615.69000000000005</v>
          </cell>
        </row>
        <row r="10">
          <cell r="J10" t="str">
            <v>RETCKC</v>
          </cell>
          <cell r="K10" t="str">
            <v>RETURNED CHECK CHARGE</v>
          </cell>
          <cell r="L10">
            <v>50</v>
          </cell>
          <cell r="M10">
            <v>150</v>
          </cell>
          <cell r="N10">
            <v>100</v>
          </cell>
          <cell r="O10">
            <v>100</v>
          </cell>
          <cell r="P10">
            <v>0</v>
          </cell>
          <cell r="Q10">
            <v>350</v>
          </cell>
        </row>
        <row r="11">
          <cell r="L11">
            <v>-1939.61</v>
          </cell>
          <cell r="M11">
            <v>-747.25000000000011</v>
          </cell>
          <cell r="N11">
            <v>-716.85</v>
          </cell>
          <cell r="O11">
            <v>-152.64999999999992</v>
          </cell>
          <cell r="P11">
            <v>0</v>
          </cell>
          <cell r="Q11">
            <v>-1616.75</v>
          </cell>
        </row>
        <row r="12">
          <cell r="J12" t="str">
            <v>FINCHG</v>
          </cell>
          <cell r="K12" t="str">
            <v>FINANCE CHARGE</v>
          </cell>
          <cell r="L12">
            <v>2281.5600000000004</v>
          </cell>
          <cell r="M12">
            <v>6254.7800000000007</v>
          </cell>
          <cell r="N12">
            <v>2324.5000000000005</v>
          </cell>
          <cell r="O12">
            <v>7379.8499999999995</v>
          </cell>
          <cell r="P12">
            <v>0</v>
          </cell>
          <cell r="Q12">
            <v>15959.130000000001</v>
          </cell>
        </row>
        <row r="13">
          <cell r="L13">
            <v>2281.5600000000004</v>
          </cell>
          <cell r="M13">
            <v>6254.7800000000007</v>
          </cell>
          <cell r="N13">
            <v>2324.5000000000005</v>
          </cell>
          <cell r="O13">
            <v>7379.8499999999995</v>
          </cell>
          <cell r="P13">
            <v>0</v>
          </cell>
          <cell r="Q13">
            <v>15959.130000000001</v>
          </cell>
        </row>
        <row r="14">
          <cell r="J14" t="str">
            <v>CACCESS</v>
          </cell>
          <cell r="K14" t="str">
            <v>ACCESS CHARGE - PER MTH</v>
          </cell>
          <cell r="L14">
            <v>4025.5</v>
          </cell>
          <cell r="M14">
            <v>4067.1600000000003</v>
          </cell>
          <cell r="N14">
            <v>3995.9600000000005</v>
          </cell>
          <cell r="O14">
            <v>4138.5600000000004</v>
          </cell>
          <cell r="P14">
            <v>0</v>
          </cell>
          <cell r="Q14">
            <v>12201.68</v>
          </cell>
        </row>
        <row r="15">
          <cell r="J15" t="str">
            <v>CACCESSEOW</v>
          </cell>
          <cell r="K15" t="str">
            <v>EOW MONTHLY ACCESS CHARGE</v>
          </cell>
          <cell r="L15">
            <v>266.28999999999996</v>
          </cell>
          <cell r="M15">
            <v>263.12</v>
          </cell>
          <cell r="N15">
            <v>261.53000000000003</v>
          </cell>
          <cell r="O15">
            <v>254.03999999999996</v>
          </cell>
          <cell r="P15">
            <v>0</v>
          </cell>
          <cell r="Q15">
            <v>778.69</v>
          </cell>
        </row>
        <row r="16">
          <cell r="J16" t="str">
            <v>CC15Y1W</v>
          </cell>
          <cell r="K16" t="str">
            <v>1.5YD CONT 1X WEEKLY</v>
          </cell>
          <cell r="L16">
            <v>10896.08</v>
          </cell>
          <cell r="M16">
            <v>10894.189999999999</v>
          </cell>
          <cell r="N16">
            <v>10770.96</v>
          </cell>
          <cell r="O16">
            <v>10603.36</v>
          </cell>
          <cell r="P16">
            <v>0</v>
          </cell>
          <cell r="Q16">
            <v>32268.51</v>
          </cell>
        </row>
        <row r="17">
          <cell r="J17" t="str">
            <v>CC15Y2W</v>
          </cell>
          <cell r="K17" t="str">
            <v>1.5YD CONT 2X WEEKLY</v>
          </cell>
          <cell r="L17">
            <v>197.19</v>
          </cell>
          <cell r="M17">
            <v>197.19</v>
          </cell>
          <cell r="N17">
            <v>197.19</v>
          </cell>
          <cell r="O17">
            <v>197.19</v>
          </cell>
          <cell r="P17">
            <v>0</v>
          </cell>
          <cell r="Q17">
            <v>591.56999999999994</v>
          </cell>
        </row>
        <row r="18">
          <cell r="J18" t="str">
            <v>CC15YEOW</v>
          </cell>
          <cell r="K18" t="str">
            <v>1.5YD CONTAINER EOW</v>
          </cell>
          <cell r="L18">
            <v>8152.66</v>
          </cell>
          <cell r="M18">
            <v>8103.24</v>
          </cell>
          <cell r="N18">
            <v>8300.9</v>
          </cell>
          <cell r="O18">
            <v>8399.7199999999993</v>
          </cell>
          <cell r="P18">
            <v>0</v>
          </cell>
          <cell r="Q18">
            <v>24803.86</v>
          </cell>
        </row>
        <row r="19">
          <cell r="J19" t="str">
            <v>CC15YPR</v>
          </cell>
          <cell r="L19">
            <v>3732.07</v>
          </cell>
          <cell r="M19">
            <v>3733.2000000000003</v>
          </cell>
          <cell r="N19">
            <v>3725.9500000000003</v>
          </cell>
          <cell r="O19">
            <v>3711.43</v>
          </cell>
          <cell r="P19">
            <v>0</v>
          </cell>
          <cell r="Q19">
            <v>11170.58</v>
          </cell>
        </row>
        <row r="20">
          <cell r="J20" t="str">
            <v>CC15YTR</v>
          </cell>
          <cell r="K20" t="str">
            <v>TEMP CONT RENT 1.5YD</v>
          </cell>
          <cell r="L20">
            <v>74.8</v>
          </cell>
          <cell r="M20">
            <v>40.349999999999994</v>
          </cell>
          <cell r="N20">
            <v>69.81</v>
          </cell>
          <cell r="O20">
            <v>64.83</v>
          </cell>
          <cell r="P20">
            <v>0</v>
          </cell>
          <cell r="Q20">
            <v>174.99</v>
          </cell>
        </row>
        <row r="21">
          <cell r="J21" t="str">
            <v>CC1Y1W</v>
          </cell>
          <cell r="K21" t="str">
            <v>1YD CONT 1X WEEKLY</v>
          </cell>
          <cell r="L21">
            <v>24716.720000000001</v>
          </cell>
          <cell r="M21">
            <v>23564.15</v>
          </cell>
          <cell r="N21">
            <v>22777.31</v>
          </cell>
          <cell r="O21">
            <v>22887.08</v>
          </cell>
          <cell r="P21">
            <v>0</v>
          </cell>
          <cell r="Q21">
            <v>69228.540000000008</v>
          </cell>
        </row>
        <row r="22">
          <cell r="J22" t="str">
            <v>CC1Y2W</v>
          </cell>
          <cell r="K22" t="str">
            <v>1YD CONT 2X WEEKLY</v>
          </cell>
          <cell r="L22">
            <v>1225.76</v>
          </cell>
          <cell r="M22">
            <v>0</v>
          </cell>
          <cell r="N22">
            <v>0</v>
          </cell>
          <cell r="O22">
            <v>0</v>
          </cell>
          <cell r="P22">
            <v>0</v>
          </cell>
          <cell r="Q22">
            <v>0</v>
          </cell>
        </row>
        <row r="23">
          <cell r="J23" t="str">
            <v>CC1YEOW</v>
          </cell>
          <cell r="K23" t="str">
            <v>1YD CONTAINER EOW</v>
          </cell>
          <cell r="L23">
            <v>25686.28</v>
          </cell>
          <cell r="M23">
            <v>25760.510000000002</v>
          </cell>
          <cell r="N23">
            <v>26072.45</v>
          </cell>
          <cell r="O23">
            <v>26217.47</v>
          </cell>
          <cell r="P23">
            <v>0</v>
          </cell>
          <cell r="Q23">
            <v>78050.430000000008</v>
          </cell>
        </row>
        <row r="24">
          <cell r="J24" t="str">
            <v>CC1YOC</v>
          </cell>
          <cell r="K24" t="str">
            <v>1YD CONT ON CALL RENTAL</v>
          </cell>
          <cell r="L24">
            <v>0</v>
          </cell>
          <cell r="M24">
            <v>12.03</v>
          </cell>
          <cell r="N24">
            <v>12.03</v>
          </cell>
          <cell r="O24">
            <v>12.03</v>
          </cell>
          <cell r="P24">
            <v>0</v>
          </cell>
          <cell r="Q24">
            <v>36.089999999999996</v>
          </cell>
        </row>
        <row r="25">
          <cell r="J25" t="str">
            <v>CC1YPR</v>
          </cell>
          <cell r="K25" t="str">
            <v>PERM CONT RENT 1YD</v>
          </cell>
          <cell r="L25">
            <v>12392.900000000001</v>
          </cell>
          <cell r="M25">
            <v>12188.7</v>
          </cell>
          <cell r="N25">
            <v>12221.679999999997</v>
          </cell>
          <cell r="O25">
            <v>12304.499999999998</v>
          </cell>
          <cell r="P25">
            <v>0</v>
          </cell>
          <cell r="Q25">
            <v>36714.879999999997</v>
          </cell>
        </row>
        <row r="26">
          <cell r="J26" t="str">
            <v>CC1YTR</v>
          </cell>
          <cell r="K26" t="str">
            <v>TEMP CONT RENT 1YD</v>
          </cell>
          <cell r="L26">
            <v>47.319999999999993</v>
          </cell>
          <cell r="M26">
            <v>48.12</v>
          </cell>
          <cell r="N26">
            <v>54.14</v>
          </cell>
          <cell r="O26">
            <v>55.34</v>
          </cell>
          <cell r="P26">
            <v>0</v>
          </cell>
          <cell r="Q26">
            <v>157.6</v>
          </cell>
        </row>
        <row r="27">
          <cell r="J27" t="str">
            <v>CC2Y1W</v>
          </cell>
          <cell r="K27" t="str">
            <v>2YD CONT 1X WEEKLY</v>
          </cell>
          <cell r="L27">
            <v>49136.32</v>
          </cell>
          <cell r="M27">
            <v>48726.28</v>
          </cell>
          <cell r="N27">
            <v>45796.89</v>
          </cell>
          <cell r="O27">
            <v>45416.08</v>
          </cell>
          <cell r="P27">
            <v>0</v>
          </cell>
          <cell r="Q27">
            <v>139939.25</v>
          </cell>
        </row>
        <row r="28">
          <cell r="J28" t="str">
            <v>CC2Y2W</v>
          </cell>
          <cell r="K28" t="str">
            <v>2YD CONT 2X WEEKLY</v>
          </cell>
          <cell r="L28">
            <v>15977.22</v>
          </cell>
          <cell r="M28">
            <v>9562.0400000000009</v>
          </cell>
          <cell r="N28">
            <v>11282.49</v>
          </cell>
          <cell r="O28">
            <v>9796.380000000001</v>
          </cell>
          <cell r="P28">
            <v>0</v>
          </cell>
          <cell r="Q28">
            <v>30640.91</v>
          </cell>
        </row>
        <row r="29">
          <cell r="J29" t="str">
            <v>CC2Y3W</v>
          </cell>
          <cell r="K29" t="str">
            <v>2YD CONT 3X WEEKLY</v>
          </cell>
          <cell r="L29">
            <v>3163.59</v>
          </cell>
          <cell r="M29">
            <v>2987.84</v>
          </cell>
          <cell r="N29">
            <v>0</v>
          </cell>
          <cell r="O29">
            <v>1757.55</v>
          </cell>
          <cell r="P29">
            <v>0</v>
          </cell>
          <cell r="Q29">
            <v>4745.3900000000003</v>
          </cell>
        </row>
        <row r="30">
          <cell r="J30" t="str">
            <v>CC2Y4W</v>
          </cell>
          <cell r="K30" t="str">
            <v>2YD CONT 4X WEEKLY</v>
          </cell>
          <cell r="L30">
            <v>0</v>
          </cell>
          <cell r="M30">
            <v>0</v>
          </cell>
          <cell r="N30">
            <v>0</v>
          </cell>
          <cell r="O30">
            <v>820.19</v>
          </cell>
          <cell r="P30">
            <v>0</v>
          </cell>
          <cell r="Q30">
            <v>820.19</v>
          </cell>
        </row>
        <row r="31">
          <cell r="J31" t="str">
            <v>CC2Y5W</v>
          </cell>
          <cell r="K31" t="str">
            <v>2YD CONT 5X WEEKLY</v>
          </cell>
          <cell r="L31">
            <v>0</v>
          </cell>
          <cell r="M31">
            <v>292.93</v>
          </cell>
          <cell r="N31">
            <v>585.85</v>
          </cell>
          <cell r="O31">
            <v>58.59</v>
          </cell>
          <cell r="P31">
            <v>0</v>
          </cell>
          <cell r="Q31">
            <v>937.37</v>
          </cell>
        </row>
        <row r="32">
          <cell r="J32" t="str">
            <v>CC2YEOW</v>
          </cell>
          <cell r="K32" t="str">
            <v>2YD CONTAINER EOW</v>
          </cell>
          <cell r="L32">
            <v>18643.599999999999</v>
          </cell>
          <cell r="M32">
            <v>18995.919999999998</v>
          </cell>
          <cell r="N32">
            <v>19641.84</v>
          </cell>
          <cell r="O32">
            <v>19964.8</v>
          </cell>
          <cell r="P32">
            <v>0</v>
          </cell>
          <cell r="Q32">
            <v>58602.559999999998</v>
          </cell>
        </row>
        <row r="33">
          <cell r="J33" t="str">
            <v>CC2YOC</v>
          </cell>
          <cell r="K33" t="str">
            <v>2YD CONT ON CALL RENT</v>
          </cell>
          <cell r="L33">
            <v>0</v>
          </cell>
          <cell r="M33">
            <v>0</v>
          </cell>
          <cell r="N33">
            <v>29.28</v>
          </cell>
          <cell r="O33">
            <v>29.28</v>
          </cell>
          <cell r="P33">
            <v>0</v>
          </cell>
          <cell r="Q33">
            <v>58.56</v>
          </cell>
        </row>
        <row r="34">
          <cell r="J34" t="str">
            <v>CC2YPR</v>
          </cell>
          <cell r="K34" t="str">
            <v>PERM CONT RENT 2YD</v>
          </cell>
          <cell r="L34">
            <v>11681.77</v>
          </cell>
          <cell r="M34">
            <v>11416.53</v>
          </cell>
          <cell r="N34">
            <v>11262.380000000001</v>
          </cell>
          <cell r="O34">
            <v>11360.930000000002</v>
          </cell>
          <cell r="P34">
            <v>0</v>
          </cell>
          <cell r="Q34">
            <v>34039.840000000004</v>
          </cell>
        </row>
        <row r="35">
          <cell r="J35" t="str">
            <v>CC2YTR</v>
          </cell>
          <cell r="K35" t="str">
            <v>TEMP CONT RENT 2YD</v>
          </cell>
          <cell r="L35">
            <v>1342.49</v>
          </cell>
          <cell r="M35">
            <v>1255.7800000000002</v>
          </cell>
          <cell r="N35">
            <v>1172.6500000000001</v>
          </cell>
          <cell r="O35">
            <v>1050.6600000000001</v>
          </cell>
          <cell r="P35">
            <v>0</v>
          </cell>
          <cell r="Q35">
            <v>3479.09</v>
          </cell>
        </row>
        <row r="36">
          <cell r="J36" t="str">
            <v>CC32W1</v>
          </cell>
          <cell r="K36" t="str">
            <v>32GAL CAN WEEKLY-COM</v>
          </cell>
          <cell r="L36">
            <v>10180.120000000001</v>
          </cell>
          <cell r="M36">
            <v>10173.98</v>
          </cell>
          <cell r="N36">
            <v>10207.75</v>
          </cell>
          <cell r="O36">
            <v>10189.330000000002</v>
          </cell>
          <cell r="P36">
            <v>0</v>
          </cell>
          <cell r="Q36">
            <v>30571.06</v>
          </cell>
        </row>
        <row r="37">
          <cell r="J37" t="str">
            <v>CC32W2</v>
          </cell>
          <cell r="K37" t="str">
            <v>2-32GAL CANS WEEKLY</v>
          </cell>
          <cell r="L37">
            <v>1737.55</v>
          </cell>
          <cell r="M37">
            <v>1725.77</v>
          </cell>
          <cell r="N37">
            <v>1684.54</v>
          </cell>
          <cell r="O37">
            <v>1660.98</v>
          </cell>
          <cell r="P37">
            <v>0</v>
          </cell>
          <cell r="Q37">
            <v>5071.29</v>
          </cell>
        </row>
        <row r="38">
          <cell r="J38" t="str">
            <v>CC32W3</v>
          </cell>
          <cell r="K38" t="str">
            <v>3-32GAL CANS WEEKLY</v>
          </cell>
          <cell r="L38">
            <v>388.63</v>
          </cell>
          <cell r="M38">
            <v>388.63</v>
          </cell>
          <cell r="N38">
            <v>459.29</v>
          </cell>
          <cell r="O38">
            <v>423.96</v>
          </cell>
          <cell r="P38">
            <v>0</v>
          </cell>
          <cell r="Q38">
            <v>1271.8800000000001</v>
          </cell>
        </row>
        <row r="39">
          <cell r="J39" t="str">
            <v>CC32W4</v>
          </cell>
          <cell r="K39" t="str">
            <v>4-32GAL CANS WEEKLY</v>
          </cell>
          <cell r="L39">
            <v>423.99</v>
          </cell>
          <cell r="M39">
            <v>423.99</v>
          </cell>
          <cell r="N39">
            <v>376.88000000000005</v>
          </cell>
          <cell r="O39">
            <v>376.88000000000005</v>
          </cell>
          <cell r="P39">
            <v>0</v>
          </cell>
          <cell r="Q39">
            <v>1177.7500000000002</v>
          </cell>
        </row>
        <row r="40">
          <cell r="J40" t="str">
            <v>CC32W5</v>
          </cell>
          <cell r="K40" t="str">
            <v>5-32GAL CANS WEEKLY</v>
          </cell>
          <cell r="L40">
            <v>117.78</v>
          </cell>
          <cell r="M40">
            <v>117.78</v>
          </cell>
          <cell r="N40">
            <v>117.78</v>
          </cell>
          <cell r="O40">
            <v>117.78</v>
          </cell>
          <cell r="P40">
            <v>0</v>
          </cell>
          <cell r="Q40">
            <v>353.34000000000003</v>
          </cell>
        </row>
        <row r="41">
          <cell r="J41" t="str">
            <v>CC32W6</v>
          </cell>
          <cell r="K41" t="str">
            <v>6-32GAL CANS WEEKLY</v>
          </cell>
          <cell r="L41">
            <v>70.67</v>
          </cell>
          <cell r="M41">
            <v>70.67</v>
          </cell>
          <cell r="N41">
            <v>70.67</v>
          </cell>
          <cell r="O41">
            <v>70.67</v>
          </cell>
          <cell r="P41">
            <v>0</v>
          </cell>
          <cell r="Q41">
            <v>212.01</v>
          </cell>
        </row>
        <row r="42">
          <cell r="J42" t="str">
            <v>CC32W8</v>
          </cell>
          <cell r="K42" t="str">
            <v>8-32GAL CANS WEEKLY</v>
          </cell>
          <cell r="L42">
            <v>94.22</v>
          </cell>
          <cell r="M42">
            <v>94.22</v>
          </cell>
          <cell r="N42">
            <v>94.22</v>
          </cell>
          <cell r="O42">
            <v>94.22</v>
          </cell>
          <cell r="P42">
            <v>0</v>
          </cell>
          <cell r="Q42">
            <v>282.65999999999997</v>
          </cell>
        </row>
        <row r="43">
          <cell r="J43" t="str">
            <v>CC32W9</v>
          </cell>
          <cell r="K43" t="str">
            <v>9-32GAL CANS WEEKLY</v>
          </cell>
          <cell r="L43">
            <v>106</v>
          </cell>
          <cell r="M43">
            <v>106</v>
          </cell>
          <cell r="N43">
            <v>106</v>
          </cell>
          <cell r="O43">
            <v>106</v>
          </cell>
          <cell r="P43">
            <v>0</v>
          </cell>
          <cell r="Q43">
            <v>318</v>
          </cell>
        </row>
        <row r="44">
          <cell r="J44" t="str">
            <v>CC3Y1W</v>
          </cell>
          <cell r="K44" t="str">
            <v>3YD CONT 1X WEEKLY</v>
          </cell>
          <cell r="L44">
            <v>29399.4</v>
          </cell>
          <cell r="M44">
            <v>29685.23</v>
          </cell>
          <cell r="N44">
            <v>29603.58</v>
          </cell>
          <cell r="O44">
            <v>29856.720000000005</v>
          </cell>
          <cell r="P44">
            <v>0</v>
          </cell>
          <cell r="Q44">
            <v>89145.53</v>
          </cell>
        </row>
        <row r="45">
          <cell r="J45" t="str">
            <v>CC3Y2W</v>
          </cell>
          <cell r="K45" t="str">
            <v>3YD CONT 2X WEEKLY</v>
          </cell>
          <cell r="L45">
            <v>16986.32</v>
          </cell>
          <cell r="M45">
            <v>17149.650000000001</v>
          </cell>
          <cell r="N45">
            <v>17639.64</v>
          </cell>
          <cell r="O45">
            <v>17966.3</v>
          </cell>
          <cell r="P45">
            <v>0</v>
          </cell>
          <cell r="Q45">
            <v>52755.59</v>
          </cell>
        </row>
        <row r="46">
          <cell r="J46" t="str">
            <v>CC3Y3W</v>
          </cell>
          <cell r="K46" t="str">
            <v>3YD CONT 3X WEEKLY</v>
          </cell>
          <cell r="L46">
            <v>5879.76</v>
          </cell>
          <cell r="M46">
            <v>5879.76</v>
          </cell>
          <cell r="N46">
            <v>5879.76</v>
          </cell>
          <cell r="O46">
            <v>5879.76</v>
          </cell>
          <cell r="P46">
            <v>0</v>
          </cell>
          <cell r="Q46">
            <v>17639.28</v>
          </cell>
        </row>
        <row r="47">
          <cell r="J47" t="str">
            <v>CC3Y4W</v>
          </cell>
          <cell r="K47" t="str">
            <v>3YD CONT 4X WEEKLY</v>
          </cell>
          <cell r="L47">
            <v>653.30999999999995</v>
          </cell>
          <cell r="M47">
            <v>653.30999999999995</v>
          </cell>
          <cell r="N47">
            <v>653.30999999999995</v>
          </cell>
          <cell r="O47">
            <v>653.30999999999995</v>
          </cell>
          <cell r="P47">
            <v>0</v>
          </cell>
          <cell r="Q47">
            <v>1959.9299999999998</v>
          </cell>
        </row>
        <row r="48">
          <cell r="J48" t="str">
            <v>CC3YEOW</v>
          </cell>
          <cell r="K48" t="str">
            <v>3YD CONTAINER EOW</v>
          </cell>
          <cell r="L48">
            <v>2691.45</v>
          </cell>
          <cell r="M48">
            <v>2814.23</v>
          </cell>
          <cell r="N48">
            <v>2773.3</v>
          </cell>
          <cell r="O48">
            <v>2609.6000000000004</v>
          </cell>
          <cell r="P48">
            <v>0</v>
          </cell>
          <cell r="Q48">
            <v>8197.130000000001</v>
          </cell>
        </row>
        <row r="49">
          <cell r="J49" t="str">
            <v>CC3YOC</v>
          </cell>
          <cell r="K49" t="str">
            <v>3YD CONT ON CALL RENTAL</v>
          </cell>
          <cell r="L49">
            <v>15.69</v>
          </cell>
          <cell r="M49">
            <v>15.69</v>
          </cell>
          <cell r="N49">
            <v>31.38</v>
          </cell>
          <cell r="O49">
            <v>31.38</v>
          </cell>
          <cell r="P49">
            <v>0</v>
          </cell>
          <cell r="Q49">
            <v>78.45</v>
          </cell>
        </row>
        <row r="50">
          <cell r="J50" t="str">
            <v>CC3YPR</v>
          </cell>
          <cell r="K50" t="str">
            <v>PERM CONT RENT 3YD</v>
          </cell>
          <cell r="L50">
            <v>4334.47</v>
          </cell>
          <cell r="M50">
            <v>4375.42</v>
          </cell>
          <cell r="N50">
            <v>4383.2499999999991</v>
          </cell>
          <cell r="O50">
            <v>4401.57</v>
          </cell>
          <cell r="P50">
            <v>0</v>
          </cell>
          <cell r="Q50">
            <v>13160.239999999998</v>
          </cell>
        </row>
        <row r="51">
          <cell r="J51" t="str">
            <v>CC4Y1W</v>
          </cell>
          <cell r="K51" t="str">
            <v>4YD CONT 1X WEEKLY</v>
          </cell>
          <cell r="L51">
            <v>36517.629999999997</v>
          </cell>
          <cell r="M51">
            <v>35830.61</v>
          </cell>
          <cell r="N51">
            <v>36068.410000000003</v>
          </cell>
          <cell r="O51">
            <v>36898.160000000003</v>
          </cell>
          <cell r="P51">
            <v>0</v>
          </cell>
          <cell r="Q51">
            <v>108797.18000000001</v>
          </cell>
        </row>
        <row r="52">
          <cell r="J52" t="str">
            <v>CC4Y2W</v>
          </cell>
          <cell r="K52" t="str">
            <v>4YD CONT 2X WEEKLY</v>
          </cell>
          <cell r="L52">
            <v>30862.94</v>
          </cell>
          <cell r="M52">
            <v>33188.29</v>
          </cell>
          <cell r="N52">
            <v>34245.18</v>
          </cell>
          <cell r="O52">
            <v>32237.000000000004</v>
          </cell>
          <cell r="P52">
            <v>0</v>
          </cell>
          <cell r="Q52">
            <v>99670.47</v>
          </cell>
        </row>
        <row r="53">
          <cell r="J53" t="str">
            <v>CC4Y3W</v>
          </cell>
          <cell r="K53" t="str">
            <v>4YD CONT 3X WEEKLY</v>
          </cell>
          <cell r="L53">
            <v>18232.39</v>
          </cell>
          <cell r="M53">
            <v>17122.59</v>
          </cell>
          <cell r="N53">
            <v>16646.96</v>
          </cell>
          <cell r="O53">
            <v>15378.62</v>
          </cell>
          <cell r="P53">
            <v>0</v>
          </cell>
          <cell r="Q53">
            <v>49148.170000000006</v>
          </cell>
        </row>
        <row r="54">
          <cell r="J54" t="str">
            <v>CC4Y4W</v>
          </cell>
          <cell r="K54" t="str">
            <v>4YD CONT 4X WEEKLY</v>
          </cell>
          <cell r="L54">
            <v>3382.24</v>
          </cell>
          <cell r="M54">
            <v>3382.24</v>
          </cell>
          <cell r="N54">
            <v>3382.24</v>
          </cell>
          <cell r="O54">
            <v>3382.24</v>
          </cell>
          <cell r="P54">
            <v>0</v>
          </cell>
          <cell r="Q54">
            <v>10146.719999999999</v>
          </cell>
        </row>
        <row r="55">
          <cell r="J55" t="str">
            <v>CC4Y5W</v>
          </cell>
          <cell r="K55" t="str">
            <v>4YD CONT 5X WEEKLY</v>
          </cell>
          <cell r="L55">
            <v>1056.95</v>
          </cell>
          <cell r="M55">
            <v>1056.95</v>
          </cell>
          <cell r="N55">
            <v>1902.51</v>
          </cell>
          <cell r="O55">
            <v>3170.85</v>
          </cell>
          <cell r="P55">
            <v>0</v>
          </cell>
          <cell r="Q55">
            <v>6130.3099999999995</v>
          </cell>
        </row>
        <row r="56">
          <cell r="J56" t="str">
            <v>CC4Y6W</v>
          </cell>
          <cell r="K56" t="str">
            <v>4YD CONT 6X WEEKLY</v>
          </cell>
          <cell r="L56">
            <v>2536.6799999999998</v>
          </cell>
          <cell r="M56">
            <v>2536.6799999999998</v>
          </cell>
          <cell r="N56">
            <v>2536.6799999999998</v>
          </cell>
          <cell r="O56">
            <v>2536.6799999999998</v>
          </cell>
          <cell r="P56">
            <v>0</v>
          </cell>
          <cell r="Q56">
            <v>7610.0399999999991</v>
          </cell>
        </row>
        <row r="57">
          <cell r="J57" t="str">
            <v>CC4YEOW</v>
          </cell>
          <cell r="K57" t="str">
            <v>4YD CONTAINER EOW</v>
          </cell>
          <cell r="L57">
            <v>2542.56</v>
          </cell>
          <cell r="M57">
            <v>2542.56</v>
          </cell>
          <cell r="N57">
            <v>2436.6200000000003</v>
          </cell>
          <cell r="O57">
            <v>2383.65</v>
          </cell>
          <cell r="P57">
            <v>0</v>
          </cell>
          <cell r="Q57">
            <v>7362.83</v>
          </cell>
        </row>
        <row r="58">
          <cell r="J58" t="str">
            <v>CC4YPR</v>
          </cell>
          <cell r="K58" t="str">
            <v>PERM CONT RENT 4YD</v>
          </cell>
          <cell r="L58">
            <v>5099.0199999999995</v>
          </cell>
          <cell r="M58">
            <v>5122.75</v>
          </cell>
          <cell r="N58">
            <v>5176.26</v>
          </cell>
          <cell r="O58">
            <v>5137.25</v>
          </cell>
          <cell r="P58">
            <v>0</v>
          </cell>
          <cell r="Q58">
            <v>15436.26</v>
          </cell>
        </row>
        <row r="59">
          <cell r="J59" t="str">
            <v>CC5Y1W</v>
          </cell>
          <cell r="K59" t="str">
            <v>5YD CONT 1X WEEKLY</v>
          </cell>
          <cell r="L59">
            <v>1298.1500000000001</v>
          </cell>
          <cell r="M59">
            <v>1298.1500000000001</v>
          </cell>
          <cell r="N59">
            <v>1298.1500000000001</v>
          </cell>
          <cell r="O59">
            <v>1298.1500000000001</v>
          </cell>
          <cell r="P59">
            <v>0</v>
          </cell>
          <cell r="Q59">
            <v>3894.4500000000003</v>
          </cell>
        </row>
        <row r="60">
          <cell r="J60" t="str">
            <v>CC5YEOW</v>
          </cell>
          <cell r="K60" t="str">
            <v>5YD CONTAINER EOW</v>
          </cell>
          <cell r="L60">
            <v>65.06</v>
          </cell>
          <cell r="M60">
            <v>130.11000000000001</v>
          </cell>
          <cell r="N60">
            <v>130.11000000000001</v>
          </cell>
          <cell r="O60">
            <v>130.11000000000001</v>
          </cell>
          <cell r="P60">
            <v>0</v>
          </cell>
          <cell r="Q60">
            <v>390.33000000000004</v>
          </cell>
        </row>
        <row r="61">
          <cell r="J61" t="str">
            <v>CC5YPR</v>
          </cell>
          <cell r="K61" t="str">
            <v>PERM CONT RENT 5YD</v>
          </cell>
          <cell r="L61">
            <v>101.94</v>
          </cell>
          <cell r="M61">
            <v>106.68</v>
          </cell>
          <cell r="N61">
            <v>106.68</v>
          </cell>
          <cell r="O61">
            <v>106.68</v>
          </cell>
          <cell r="P61">
            <v>0</v>
          </cell>
          <cell r="Q61">
            <v>320.04000000000002</v>
          </cell>
        </row>
        <row r="62">
          <cell r="J62" t="str">
            <v>CC6Y1W</v>
          </cell>
          <cell r="K62" t="str">
            <v>6YD CONT 1X WEEKLY</v>
          </cell>
          <cell r="L62">
            <v>31900.010000000002</v>
          </cell>
          <cell r="M62">
            <v>30285.809999999998</v>
          </cell>
          <cell r="N62">
            <v>29747.730000000003</v>
          </cell>
          <cell r="O62">
            <v>28825.320000000003</v>
          </cell>
          <cell r="P62">
            <v>0</v>
          </cell>
          <cell r="Q62">
            <v>88858.86</v>
          </cell>
        </row>
        <row r="63">
          <cell r="J63" t="str">
            <v>CC6Y2W</v>
          </cell>
          <cell r="K63" t="str">
            <v>6YD CONT 2X WEEKLY</v>
          </cell>
          <cell r="L63">
            <v>15373.75</v>
          </cell>
          <cell r="M63">
            <v>14758.810000000001</v>
          </cell>
          <cell r="N63">
            <v>14143.85</v>
          </cell>
          <cell r="O63">
            <v>13836.380000000001</v>
          </cell>
          <cell r="P63">
            <v>0</v>
          </cell>
          <cell r="Q63">
            <v>42739.040000000008</v>
          </cell>
        </row>
        <row r="64">
          <cell r="J64" t="str">
            <v>CC6Y3W</v>
          </cell>
          <cell r="K64" t="str">
            <v>6YD CONT 3X WEEKLY</v>
          </cell>
          <cell r="L64">
            <v>6687.55</v>
          </cell>
          <cell r="M64">
            <v>7379.3600000000006</v>
          </cell>
          <cell r="N64">
            <v>7379.3600000000006</v>
          </cell>
          <cell r="O64">
            <v>7379.3600000000006</v>
          </cell>
          <cell r="P64">
            <v>0</v>
          </cell>
          <cell r="Q64">
            <v>22138.080000000002</v>
          </cell>
        </row>
        <row r="65">
          <cell r="J65" t="str">
            <v>CC6Y5W</v>
          </cell>
          <cell r="K65" t="str">
            <v>6YD CONT 5X WEEKLY</v>
          </cell>
          <cell r="L65">
            <v>3074.74</v>
          </cell>
          <cell r="M65">
            <v>3074.74</v>
          </cell>
          <cell r="N65">
            <v>3074.74</v>
          </cell>
          <cell r="O65">
            <v>3074.74</v>
          </cell>
          <cell r="P65">
            <v>0</v>
          </cell>
          <cell r="Q65">
            <v>9224.2199999999993</v>
          </cell>
        </row>
        <row r="66">
          <cell r="J66" t="str">
            <v>CC6YEOW</v>
          </cell>
          <cell r="K66" t="str">
            <v>6YD CONTAINER EOW</v>
          </cell>
          <cell r="L66">
            <v>2619.5299999999997</v>
          </cell>
          <cell r="M66">
            <v>2773.62</v>
          </cell>
          <cell r="N66">
            <v>2927.7200000000003</v>
          </cell>
          <cell r="O66">
            <v>3158.8500000000004</v>
          </cell>
          <cell r="P66">
            <v>0</v>
          </cell>
          <cell r="Q66">
            <v>8860.19</v>
          </cell>
        </row>
        <row r="67">
          <cell r="J67" t="str">
            <v>CC6YPR</v>
          </cell>
          <cell r="K67" t="str">
            <v>PERM CONT RENT 6YD</v>
          </cell>
          <cell r="L67">
            <v>2855.9399999999996</v>
          </cell>
          <cell r="M67">
            <v>2797.61</v>
          </cell>
          <cell r="N67">
            <v>2758.3900000000003</v>
          </cell>
          <cell r="O67">
            <v>2733.61</v>
          </cell>
          <cell r="P67">
            <v>0</v>
          </cell>
          <cell r="Q67">
            <v>8289.61</v>
          </cell>
        </row>
        <row r="68">
          <cell r="J68" t="str">
            <v>CC8Y1W</v>
          </cell>
          <cell r="K68" t="str">
            <v>8YD CONT 1X WEEKLY</v>
          </cell>
          <cell r="L68">
            <v>16504.96</v>
          </cell>
          <cell r="M68">
            <v>17310.080000000002</v>
          </cell>
          <cell r="N68">
            <v>16605.600000000002</v>
          </cell>
          <cell r="O68">
            <v>16102.4</v>
          </cell>
          <cell r="P68">
            <v>0</v>
          </cell>
          <cell r="Q68">
            <v>50018.080000000009</v>
          </cell>
        </row>
        <row r="69">
          <cell r="J69" t="str">
            <v>CC8Y2W</v>
          </cell>
          <cell r="K69" t="str">
            <v>8YD CONT 2X WEEKLY</v>
          </cell>
          <cell r="L69">
            <v>8051.2</v>
          </cell>
          <cell r="M69">
            <v>8856.32</v>
          </cell>
          <cell r="N69">
            <v>9661.44</v>
          </cell>
          <cell r="O69">
            <v>9661.44</v>
          </cell>
          <cell r="P69">
            <v>0</v>
          </cell>
          <cell r="Q69">
            <v>28179.200000000004</v>
          </cell>
        </row>
        <row r="70">
          <cell r="J70" t="str">
            <v>CC8Y3W</v>
          </cell>
          <cell r="K70" t="str">
            <v>8YD CONT 3X WEEKLY</v>
          </cell>
          <cell r="L70">
            <v>4830.72</v>
          </cell>
          <cell r="M70">
            <v>4830.72</v>
          </cell>
          <cell r="N70">
            <v>4830.72</v>
          </cell>
          <cell r="O70">
            <v>4830.72</v>
          </cell>
          <cell r="P70">
            <v>0</v>
          </cell>
          <cell r="Q70">
            <v>14492.16</v>
          </cell>
        </row>
        <row r="71">
          <cell r="J71" t="str">
            <v>CC8Y4W</v>
          </cell>
          <cell r="K71" t="str">
            <v>8YD CONT 4X WEEKLY</v>
          </cell>
          <cell r="L71">
            <v>1610.24</v>
          </cell>
          <cell r="M71">
            <v>1610.24</v>
          </cell>
          <cell r="N71">
            <v>1610.24</v>
          </cell>
          <cell r="O71">
            <v>1610.24</v>
          </cell>
          <cell r="P71">
            <v>0</v>
          </cell>
          <cell r="Q71">
            <v>4830.72</v>
          </cell>
        </row>
        <row r="72">
          <cell r="J72" t="str">
            <v>CC8YEOW</v>
          </cell>
          <cell r="K72" t="str">
            <v>8YD CONTAINER EOW</v>
          </cell>
          <cell r="L72">
            <v>806.96</v>
          </cell>
          <cell r="M72">
            <v>806.96</v>
          </cell>
          <cell r="N72">
            <v>706.09</v>
          </cell>
          <cell r="O72">
            <v>907.83</v>
          </cell>
          <cell r="P72">
            <v>0</v>
          </cell>
          <cell r="Q72">
            <v>2420.88</v>
          </cell>
        </row>
        <row r="73">
          <cell r="J73" t="str">
            <v>CC8YPR</v>
          </cell>
          <cell r="K73" t="str">
            <v>PERM CONT RENT 8YD</v>
          </cell>
          <cell r="L73">
            <v>1317.6</v>
          </cell>
          <cell r="M73">
            <v>1380.56</v>
          </cell>
          <cell r="N73">
            <v>1360.7900000000002</v>
          </cell>
          <cell r="O73">
            <v>1335.91</v>
          </cell>
          <cell r="P73">
            <v>0</v>
          </cell>
          <cell r="Q73">
            <v>4077.26</v>
          </cell>
        </row>
        <row r="74">
          <cell r="J74" t="str">
            <v>CC8YTR</v>
          </cell>
          <cell r="K74" t="str">
            <v>TEMP CONT RENT 8YD</v>
          </cell>
          <cell r="L74">
            <v>0</v>
          </cell>
          <cell r="M74">
            <v>0</v>
          </cell>
          <cell r="N74">
            <v>0</v>
          </cell>
          <cell r="O74">
            <v>18.3</v>
          </cell>
          <cell r="P74">
            <v>0</v>
          </cell>
          <cell r="Q74">
            <v>18.3</v>
          </cell>
        </row>
        <row r="75">
          <cell r="J75" t="str">
            <v>CCCMP2Y</v>
          </cell>
          <cell r="K75" t="str">
            <v>2YD COMP CONT 1X WKLY</v>
          </cell>
          <cell r="L75">
            <v>244.77</v>
          </cell>
          <cell r="M75">
            <v>244.77</v>
          </cell>
          <cell r="N75">
            <v>244.77</v>
          </cell>
          <cell r="O75">
            <v>244.77</v>
          </cell>
          <cell r="P75">
            <v>0</v>
          </cell>
          <cell r="Q75">
            <v>734.31000000000006</v>
          </cell>
        </row>
        <row r="76">
          <cell r="J76" t="str">
            <v>CCCMP3Y</v>
          </cell>
          <cell r="K76" t="str">
            <v>3YD COMP CONT 1X WKLY</v>
          </cell>
          <cell r="L76">
            <v>669.5</v>
          </cell>
          <cell r="M76">
            <v>669.5</v>
          </cell>
          <cell r="N76">
            <v>669.5</v>
          </cell>
          <cell r="O76">
            <v>669.5</v>
          </cell>
          <cell r="P76">
            <v>0</v>
          </cell>
          <cell r="Q76">
            <v>2008.5</v>
          </cell>
        </row>
        <row r="77">
          <cell r="J77" t="str">
            <v>CCCMP4Y</v>
          </cell>
          <cell r="K77" t="str">
            <v>4YD COMP CONT 1X WKLY</v>
          </cell>
          <cell r="L77">
            <v>2175.85</v>
          </cell>
          <cell r="M77">
            <v>2175.85</v>
          </cell>
          <cell r="N77">
            <v>2175.85</v>
          </cell>
          <cell r="O77">
            <v>2175.85</v>
          </cell>
          <cell r="P77">
            <v>0</v>
          </cell>
          <cell r="Q77">
            <v>6527.5499999999993</v>
          </cell>
        </row>
        <row r="78">
          <cell r="J78" t="str">
            <v>CCDISC</v>
          </cell>
          <cell r="K78" t="str">
            <v>COMPACTOR CONT DISCONNECT</v>
          </cell>
          <cell r="L78">
            <v>188.35000000000002</v>
          </cell>
          <cell r="M78">
            <v>188.35000000000002</v>
          </cell>
          <cell r="N78">
            <v>188.35000000000002</v>
          </cell>
          <cell r="O78">
            <v>188.35000000000002</v>
          </cell>
          <cell r="P78">
            <v>0</v>
          </cell>
          <cell r="Q78">
            <v>565.05000000000007</v>
          </cell>
        </row>
        <row r="79">
          <cell r="J79" t="str">
            <v>CCDRVIN</v>
          </cell>
          <cell r="K79" t="str">
            <v>DRIVE IN CHARGE - PER MTH</v>
          </cell>
          <cell r="L79">
            <v>180.54</v>
          </cell>
          <cell r="M79">
            <v>184.11999999999998</v>
          </cell>
          <cell r="N79">
            <v>182.54</v>
          </cell>
          <cell r="O79">
            <v>174.79999999999998</v>
          </cell>
          <cell r="P79">
            <v>0</v>
          </cell>
          <cell r="Q79">
            <v>541.45999999999992</v>
          </cell>
        </row>
        <row r="80">
          <cell r="J80" t="str">
            <v>CCEXCAN</v>
          </cell>
          <cell r="K80" t="str">
            <v>EXTRA = CANS - COM</v>
          </cell>
          <cell r="L80">
            <v>1597.75</v>
          </cell>
          <cell r="M80">
            <v>835.45</v>
          </cell>
          <cell r="N80">
            <v>1031.8</v>
          </cell>
          <cell r="O80">
            <v>596.75000000000011</v>
          </cell>
          <cell r="P80">
            <v>0</v>
          </cell>
          <cell r="Q80">
            <v>2464</v>
          </cell>
        </row>
        <row r="81">
          <cell r="J81" t="str">
            <v>CCEXYD</v>
          </cell>
          <cell r="K81" t="str">
            <v>EXTRA = YARDS</v>
          </cell>
          <cell r="L81">
            <v>7445.13</v>
          </cell>
          <cell r="M81">
            <v>6015.88</v>
          </cell>
          <cell r="N81">
            <v>7585.77</v>
          </cell>
          <cell r="O81">
            <v>7954.95</v>
          </cell>
          <cell r="P81">
            <v>0</v>
          </cell>
          <cell r="Q81">
            <v>21556.600000000002</v>
          </cell>
        </row>
        <row r="82">
          <cell r="J82" t="str">
            <v>CCPLACE</v>
          </cell>
          <cell r="K82" t="str">
            <v>CONTAINER DELIVERY FEE</v>
          </cell>
          <cell r="L82">
            <v>1632.8</v>
          </cell>
          <cell r="M82">
            <v>1318.8000000000002</v>
          </cell>
          <cell r="N82">
            <v>1318.8</v>
          </cell>
          <cell r="O82">
            <v>1130.3999999999999</v>
          </cell>
          <cell r="P82">
            <v>0</v>
          </cell>
          <cell r="Q82">
            <v>3768</v>
          </cell>
        </row>
        <row r="83">
          <cell r="J83" t="str">
            <v>CCSP15Y</v>
          </cell>
          <cell r="K83" t="str">
            <v>SPECIAL PICKUP 1.5YD CONT</v>
          </cell>
          <cell r="L83">
            <v>309.01</v>
          </cell>
          <cell r="M83">
            <v>71.31</v>
          </cell>
          <cell r="N83">
            <v>23.77</v>
          </cell>
          <cell r="O83">
            <v>23.77</v>
          </cell>
          <cell r="P83">
            <v>0</v>
          </cell>
          <cell r="Q83">
            <v>118.85</v>
          </cell>
        </row>
        <row r="84">
          <cell r="J84" t="str">
            <v>CCSP1Y</v>
          </cell>
          <cell r="K84" t="str">
            <v>SPECIAL PICKUP 1YD CONT</v>
          </cell>
          <cell r="L84">
            <v>930.8</v>
          </cell>
          <cell r="M84">
            <v>268.5</v>
          </cell>
          <cell r="N84">
            <v>429.6</v>
          </cell>
          <cell r="O84">
            <v>358</v>
          </cell>
          <cell r="P84">
            <v>0</v>
          </cell>
          <cell r="Q84">
            <v>1056.0999999999999</v>
          </cell>
        </row>
        <row r="85">
          <cell r="J85" t="str">
            <v>CCSP2Y</v>
          </cell>
          <cell r="K85" t="str">
            <v>SPECIAL PICKUP 2YD CONT</v>
          </cell>
          <cell r="L85">
            <v>785.68000000000006</v>
          </cell>
          <cell r="M85">
            <v>196.42000000000002</v>
          </cell>
          <cell r="N85">
            <v>392.84000000000003</v>
          </cell>
          <cell r="O85">
            <v>364.78</v>
          </cell>
          <cell r="P85">
            <v>0</v>
          </cell>
          <cell r="Q85">
            <v>954.04</v>
          </cell>
        </row>
        <row r="86">
          <cell r="J86" t="str">
            <v>CCSP3Y</v>
          </cell>
          <cell r="K86" t="str">
            <v>SPECIAL PICKUP 3YD CONT</v>
          </cell>
          <cell r="L86">
            <v>193.6</v>
          </cell>
          <cell r="M86">
            <v>154.88</v>
          </cell>
          <cell r="N86">
            <v>116.16</v>
          </cell>
          <cell r="O86">
            <v>154.88</v>
          </cell>
          <cell r="P86">
            <v>0</v>
          </cell>
          <cell r="Q86">
            <v>425.91999999999996</v>
          </cell>
        </row>
        <row r="87">
          <cell r="J87" t="str">
            <v>CCSP4Y</v>
          </cell>
          <cell r="K87" t="str">
            <v>SPECIAL PICKUP 4YD CONT</v>
          </cell>
          <cell r="L87">
            <v>199.28</v>
          </cell>
          <cell r="M87">
            <v>99.64</v>
          </cell>
          <cell r="N87">
            <v>99.64</v>
          </cell>
          <cell r="O87">
            <v>149.46</v>
          </cell>
          <cell r="P87">
            <v>0</v>
          </cell>
          <cell r="Q87">
            <v>348.74</v>
          </cell>
        </row>
        <row r="88">
          <cell r="J88" t="str">
            <v>CCSP5Y</v>
          </cell>
          <cell r="K88" t="str">
            <v>SPECIAL PICKUP 5YD CONT</v>
          </cell>
          <cell r="L88">
            <v>0</v>
          </cell>
          <cell r="M88">
            <v>60.96</v>
          </cell>
          <cell r="N88">
            <v>60.96</v>
          </cell>
          <cell r="O88">
            <v>0</v>
          </cell>
          <cell r="P88">
            <v>0</v>
          </cell>
          <cell r="Q88">
            <v>121.92</v>
          </cell>
        </row>
        <row r="89">
          <cell r="J89" t="str">
            <v>CCSP6Y</v>
          </cell>
          <cell r="K89" t="str">
            <v>SPECIAL PICKUP 6YD CONT</v>
          </cell>
          <cell r="L89">
            <v>216.03</v>
          </cell>
          <cell r="M89">
            <v>0</v>
          </cell>
          <cell r="N89">
            <v>0</v>
          </cell>
          <cell r="O89">
            <v>144.02000000000001</v>
          </cell>
          <cell r="P89">
            <v>0</v>
          </cell>
          <cell r="Q89">
            <v>144.02000000000001</v>
          </cell>
        </row>
        <row r="90">
          <cell r="J90" t="str">
            <v>CCSP8Y</v>
          </cell>
          <cell r="K90" t="str">
            <v>SPECIAL PICKUP 8YD CONT</v>
          </cell>
          <cell r="L90">
            <v>93.97</v>
          </cell>
          <cell r="M90">
            <v>93.97</v>
          </cell>
          <cell r="N90">
            <v>187.94</v>
          </cell>
          <cell r="O90">
            <v>93.97</v>
          </cell>
          <cell r="P90">
            <v>0</v>
          </cell>
          <cell r="Q90">
            <v>375.88</v>
          </cell>
        </row>
        <row r="91">
          <cell r="J91" t="str">
            <v>CCTP15Y</v>
          </cell>
          <cell r="K91" t="str">
            <v>TEMP PICKUP 1.5YD CONT</v>
          </cell>
          <cell r="L91">
            <v>159.38999999999999</v>
          </cell>
          <cell r="M91">
            <v>136.62</v>
          </cell>
          <cell r="N91">
            <v>91.08</v>
          </cell>
          <cell r="O91">
            <v>113.85</v>
          </cell>
          <cell r="P91">
            <v>0</v>
          </cell>
          <cell r="Q91">
            <v>341.54999999999995</v>
          </cell>
        </row>
        <row r="92">
          <cell r="J92" t="str">
            <v>CCTP1Y</v>
          </cell>
          <cell r="K92" t="str">
            <v>TEMP PICKUP 1YD CONT</v>
          </cell>
          <cell r="L92">
            <v>236.6</v>
          </cell>
          <cell r="M92">
            <v>338</v>
          </cell>
          <cell r="N92">
            <v>321.09999999999997</v>
          </cell>
          <cell r="O92">
            <v>253.5</v>
          </cell>
          <cell r="P92">
            <v>0</v>
          </cell>
          <cell r="Q92">
            <v>912.59999999999991</v>
          </cell>
        </row>
        <row r="93">
          <cell r="J93" t="str">
            <v>CCTP2Y</v>
          </cell>
          <cell r="K93" t="str">
            <v>TEMP PICKUP 2YD CONT</v>
          </cell>
          <cell r="L93">
            <v>2570.7000000000003</v>
          </cell>
          <cell r="M93">
            <v>2381.2799999999997</v>
          </cell>
          <cell r="N93">
            <v>2841.8399999999997</v>
          </cell>
          <cell r="O93">
            <v>2207.56</v>
          </cell>
          <cell r="P93">
            <v>0</v>
          </cell>
          <cell r="Q93">
            <v>7430.6799999999985</v>
          </cell>
        </row>
        <row r="94">
          <cell r="J94" t="str">
            <v>CCTP3Y</v>
          </cell>
          <cell r="K94" t="str">
            <v>TEMP PICKUP 3YD CONT</v>
          </cell>
          <cell r="L94">
            <v>37.72</v>
          </cell>
          <cell r="M94">
            <v>75.44</v>
          </cell>
          <cell r="N94">
            <v>75.44</v>
          </cell>
          <cell r="O94">
            <v>75.44</v>
          </cell>
          <cell r="P94">
            <v>0</v>
          </cell>
          <cell r="Q94">
            <v>226.32</v>
          </cell>
        </row>
        <row r="95">
          <cell r="J95" t="str">
            <v>CCTP6Y</v>
          </cell>
          <cell r="K95" t="str">
            <v>TEMP PICKUP 6YD CONT</v>
          </cell>
          <cell r="L95">
            <v>71.010000000000005</v>
          </cell>
          <cell r="M95">
            <v>0</v>
          </cell>
          <cell r="N95">
            <v>0</v>
          </cell>
          <cell r="O95">
            <v>0</v>
          </cell>
          <cell r="P95">
            <v>0</v>
          </cell>
          <cell r="Q95">
            <v>0</v>
          </cell>
        </row>
        <row r="96">
          <cell r="J96" t="str">
            <v>CCTRIP</v>
          </cell>
          <cell r="K96" t="str">
            <v>TRIP CHARGE - CONTAINER</v>
          </cell>
          <cell r="L96">
            <v>928.7</v>
          </cell>
          <cell r="M96">
            <v>740.4</v>
          </cell>
          <cell r="N96">
            <v>512.9</v>
          </cell>
          <cell r="O96">
            <v>565.19999999999993</v>
          </cell>
          <cell r="P96">
            <v>0</v>
          </cell>
          <cell r="Q96">
            <v>1818.5</v>
          </cell>
        </row>
        <row r="97">
          <cell r="J97" t="str">
            <v>CROLLOUT</v>
          </cell>
          <cell r="K97" t="str">
            <v>ROLLOUT CHARGE - PER MTH</v>
          </cell>
          <cell r="L97">
            <v>4710.17</v>
          </cell>
          <cell r="M97">
            <v>4707.47</v>
          </cell>
          <cell r="N97">
            <v>4593.59</v>
          </cell>
          <cell r="O97">
            <v>4779.9800000000005</v>
          </cell>
          <cell r="P97">
            <v>0</v>
          </cell>
          <cell r="Q97">
            <v>14081.04</v>
          </cell>
        </row>
        <row r="98">
          <cell r="J98" t="str">
            <v>CROLLOUTEOW</v>
          </cell>
          <cell r="K98" t="str">
            <v>EOW CONT ROLLOUT CHARGE</v>
          </cell>
          <cell r="L98">
            <v>204.3</v>
          </cell>
          <cell r="M98">
            <v>208.84</v>
          </cell>
          <cell r="N98">
            <v>236.08</v>
          </cell>
          <cell r="O98">
            <v>222.46000000000004</v>
          </cell>
          <cell r="P98">
            <v>0</v>
          </cell>
          <cell r="Q98">
            <v>667.38000000000011</v>
          </cell>
        </row>
        <row r="99">
          <cell r="J99" t="str">
            <v>CRTRIP</v>
          </cell>
          <cell r="K99" t="str">
            <v>TRIP CHARGE - CART/CAN</v>
          </cell>
          <cell r="L99">
            <v>10.5</v>
          </cell>
          <cell r="M99">
            <v>0</v>
          </cell>
          <cell r="N99">
            <v>0</v>
          </cell>
          <cell r="O99">
            <v>0</v>
          </cell>
          <cell r="P99">
            <v>0</v>
          </cell>
          <cell r="Q99">
            <v>0</v>
          </cell>
        </row>
        <row r="100">
          <cell r="J100" t="str">
            <v>CTIME1M</v>
          </cell>
          <cell r="K100" t="str">
            <v>TIME CHARGE - 1 MAN</v>
          </cell>
          <cell r="L100">
            <v>-71.55</v>
          </cell>
          <cell r="M100">
            <v>0</v>
          </cell>
          <cell r="N100">
            <v>23.85</v>
          </cell>
          <cell r="O100">
            <v>0</v>
          </cell>
          <cell r="P100">
            <v>0</v>
          </cell>
          <cell r="Q100">
            <v>23.85</v>
          </cell>
        </row>
        <row r="101">
          <cell r="J101" t="str">
            <v>CWSAN 1-5</v>
          </cell>
          <cell r="K101" t="str">
            <v>WASH &amp; SANITIZE CONT 1-5</v>
          </cell>
          <cell r="L101">
            <v>61.4</v>
          </cell>
          <cell r="M101">
            <v>0</v>
          </cell>
          <cell r="N101">
            <v>0</v>
          </cell>
          <cell r="O101">
            <v>0</v>
          </cell>
          <cell r="P101">
            <v>0</v>
          </cell>
          <cell r="Q101">
            <v>0</v>
          </cell>
        </row>
        <row r="102">
          <cell r="J102" t="str">
            <v>RCOF</v>
          </cell>
          <cell r="K102" t="str">
            <v>OVERFILLED CONTAINER</v>
          </cell>
          <cell r="L102">
            <v>0</v>
          </cell>
          <cell r="M102">
            <v>0</v>
          </cell>
          <cell r="N102">
            <v>26.37</v>
          </cell>
          <cell r="O102">
            <v>0</v>
          </cell>
          <cell r="P102">
            <v>0</v>
          </cell>
          <cell r="Q102">
            <v>26.37</v>
          </cell>
        </row>
        <row r="103">
          <cell r="J103" t="str">
            <v>VCSP4YC</v>
          </cell>
          <cell r="K103" t="str">
            <v>SPECIAL PICKUP 4YD COMP</v>
          </cell>
          <cell r="L103">
            <v>203</v>
          </cell>
          <cell r="M103">
            <v>304.5</v>
          </cell>
          <cell r="N103">
            <v>406</v>
          </cell>
          <cell r="O103">
            <v>406</v>
          </cell>
          <cell r="P103">
            <v>0</v>
          </cell>
          <cell r="Q103">
            <v>1116.5</v>
          </cell>
        </row>
        <row r="104">
          <cell r="L104">
            <v>487751.67999999999</v>
          </cell>
          <cell r="M104">
            <v>475437</v>
          </cell>
          <cell r="N104">
            <v>474885.64999999997</v>
          </cell>
          <cell r="O104">
            <v>472721.19999999995</v>
          </cell>
          <cell r="P104">
            <v>0</v>
          </cell>
          <cell r="Q104">
            <v>1423043.8499999999</v>
          </cell>
        </row>
        <row r="105">
          <cell r="J105" t="str">
            <v>CCOMP15</v>
          </cell>
          <cell r="K105" t="str">
            <v>EMPTY 15YD COMPACTOR</v>
          </cell>
          <cell r="L105">
            <v>1596.45</v>
          </cell>
          <cell r="M105">
            <v>1809.31</v>
          </cell>
          <cell r="N105">
            <v>1915.74</v>
          </cell>
          <cell r="O105">
            <v>2235.0300000000002</v>
          </cell>
          <cell r="P105">
            <v>0</v>
          </cell>
          <cell r="Q105">
            <v>5960.08</v>
          </cell>
        </row>
        <row r="106">
          <cell r="J106" t="str">
            <v>CCOMP20</v>
          </cell>
          <cell r="K106" t="str">
            <v>EMPTY 20YD COMPACTOR</v>
          </cell>
          <cell r="L106">
            <v>7875.82</v>
          </cell>
          <cell r="M106">
            <v>6492.23</v>
          </cell>
          <cell r="N106">
            <v>7130.81</v>
          </cell>
          <cell r="O106">
            <v>6598.66</v>
          </cell>
          <cell r="P106">
            <v>0</v>
          </cell>
          <cell r="Q106">
            <v>20221.7</v>
          </cell>
        </row>
        <row r="107">
          <cell r="J107" t="str">
            <v>CCOMP25</v>
          </cell>
          <cell r="K107" t="str">
            <v>EMPTY 25YD COMPACTOR</v>
          </cell>
          <cell r="L107">
            <v>5017.74</v>
          </cell>
          <cell r="M107">
            <v>4778.8</v>
          </cell>
          <cell r="N107">
            <v>4539.8600000000006</v>
          </cell>
          <cell r="O107">
            <v>4898.2700000000004</v>
          </cell>
          <cell r="P107">
            <v>0</v>
          </cell>
          <cell r="Q107">
            <v>14216.93</v>
          </cell>
        </row>
        <row r="108">
          <cell r="J108" t="str">
            <v>CCOMP30</v>
          </cell>
          <cell r="K108" t="str">
            <v>EMPTY 30YD COMPACTOR</v>
          </cell>
          <cell r="L108">
            <v>3225.69</v>
          </cell>
          <cell r="M108">
            <v>3334.29</v>
          </cell>
          <cell r="N108">
            <v>3823.04</v>
          </cell>
          <cell r="O108">
            <v>3703.5699999999997</v>
          </cell>
          <cell r="P108">
            <v>0</v>
          </cell>
          <cell r="Q108">
            <v>10860.9</v>
          </cell>
        </row>
        <row r="109">
          <cell r="J109" t="str">
            <v>CCOMP40</v>
          </cell>
          <cell r="K109" t="str">
            <v>EMPTY 40YD COMPACTOR</v>
          </cell>
          <cell r="L109">
            <v>1911.52</v>
          </cell>
          <cell r="M109">
            <v>1553.11</v>
          </cell>
          <cell r="N109">
            <v>1792.05</v>
          </cell>
          <cell r="O109">
            <v>1672.58</v>
          </cell>
          <cell r="P109">
            <v>0</v>
          </cell>
          <cell r="Q109">
            <v>5017.74</v>
          </cell>
        </row>
        <row r="110">
          <cell r="J110" t="str">
            <v>FWCOMP</v>
          </cell>
          <cell r="K110" t="str">
            <v>COMPOST COMPACTOR HAUL</v>
          </cell>
          <cell r="L110">
            <v>557.55999999999995</v>
          </cell>
          <cell r="M110">
            <v>557.55999999999995</v>
          </cell>
          <cell r="N110">
            <v>557.55999999999995</v>
          </cell>
          <cell r="O110">
            <v>696.95</v>
          </cell>
          <cell r="P110">
            <v>0</v>
          </cell>
          <cell r="Q110">
            <v>1812.07</v>
          </cell>
        </row>
        <row r="111">
          <cell r="J111" t="str">
            <v>OCC</v>
          </cell>
          <cell r="K111" t="str">
            <v>TONS CARDBOARD</v>
          </cell>
          <cell r="L111">
            <v>0</v>
          </cell>
          <cell r="M111">
            <v>0</v>
          </cell>
          <cell r="N111">
            <v>-23.6</v>
          </cell>
          <cell r="O111">
            <v>0</v>
          </cell>
          <cell r="P111">
            <v>0</v>
          </cell>
          <cell r="Q111">
            <v>-23.6</v>
          </cell>
        </row>
        <row r="112">
          <cell r="J112" t="str">
            <v>SPDISCO</v>
          </cell>
          <cell r="K112" t="str">
            <v>COMPACTOR DISCONNECT FEE</v>
          </cell>
          <cell r="L112">
            <v>1418.1000000000001</v>
          </cell>
          <cell r="M112">
            <v>1287.6000000000001</v>
          </cell>
          <cell r="N112">
            <v>1392</v>
          </cell>
          <cell r="O112">
            <v>1365.9</v>
          </cell>
          <cell r="P112">
            <v>0</v>
          </cell>
          <cell r="Q112">
            <v>4045.5000000000005</v>
          </cell>
        </row>
        <row r="113">
          <cell r="L113">
            <v>21602.880000000001</v>
          </cell>
          <cell r="M113">
            <v>19812.900000000001</v>
          </cell>
          <cell r="N113">
            <v>21127.460000000003</v>
          </cell>
          <cell r="O113">
            <v>21170.960000000003</v>
          </cell>
          <cell r="P113">
            <v>0</v>
          </cell>
          <cell r="Q113">
            <v>62111.320000000007</v>
          </cell>
        </row>
        <row r="114">
          <cell r="J114" t="str">
            <v>CMFREC</v>
          </cell>
          <cell r="K114" t="str">
            <v>MULTI-FAMILY RECYCLE</v>
          </cell>
          <cell r="L114">
            <v>30883.68</v>
          </cell>
          <cell r="M114">
            <v>30883.68</v>
          </cell>
          <cell r="N114">
            <v>30919.32</v>
          </cell>
          <cell r="O114">
            <v>30878.82</v>
          </cell>
          <cell r="P114">
            <v>0</v>
          </cell>
          <cell r="Q114">
            <v>92681.82</v>
          </cell>
        </row>
        <row r="115">
          <cell r="L115">
            <v>30883.68</v>
          </cell>
          <cell r="M115">
            <v>30883.68</v>
          </cell>
          <cell r="N115">
            <v>30919.32</v>
          </cell>
          <cell r="O115">
            <v>30878.82</v>
          </cell>
          <cell r="P115">
            <v>0</v>
          </cell>
          <cell r="Q115">
            <v>92681.82</v>
          </cell>
        </row>
        <row r="116">
          <cell r="J116" t="str">
            <v>0CRY1.5OC</v>
          </cell>
          <cell r="K116" t="str">
            <v>1.5YD RECY ON CALL RENT</v>
          </cell>
          <cell r="L116">
            <v>0.89</v>
          </cell>
          <cell r="M116">
            <v>0</v>
          </cell>
          <cell r="N116">
            <v>0</v>
          </cell>
          <cell r="O116">
            <v>0</v>
          </cell>
          <cell r="P116">
            <v>0</v>
          </cell>
          <cell r="Q116">
            <v>0</v>
          </cell>
        </row>
        <row r="117">
          <cell r="J117" t="str">
            <v>0CRY1YOC</v>
          </cell>
          <cell r="K117" t="str">
            <v>1YD RECYCLE ON CALL RENT</v>
          </cell>
          <cell r="L117">
            <v>26.67</v>
          </cell>
          <cell r="M117">
            <v>0</v>
          </cell>
          <cell r="N117">
            <v>0</v>
          </cell>
          <cell r="O117">
            <v>0</v>
          </cell>
          <cell r="P117">
            <v>0</v>
          </cell>
          <cell r="Q117">
            <v>0</v>
          </cell>
        </row>
        <row r="118">
          <cell r="J118" t="str">
            <v>0CRY90OC</v>
          </cell>
          <cell r="K118" t="str">
            <v>90GAL RECY ON CALL RENTAL</v>
          </cell>
          <cell r="L118">
            <v>5.7</v>
          </cell>
          <cell r="M118">
            <v>0</v>
          </cell>
          <cell r="N118">
            <v>0</v>
          </cell>
          <cell r="O118">
            <v>0</v>
          </cell>
          <cell r="P118">
            <v>0</v>
          </cell>
          <cell r="Q118">
            <v>0</v>
          </cell>
        </row>
        <row r="119">
          <cell r="J119" t="str">
            <v>0CRYEX1YD</v>
          </cell>
          <cell r="K119" t="str">
            <v>ON-CALL P/U 1YD RECYCLE</v>
          </cell>
          <cell r="L119">
            <v>66.179999999999993</v>
          </cell>
          <cell r="M119">
            <v>44.12</v>
          </cell>
          <cell r="N119">
            <v>114.14999999999999</v>
          </cell>
          <cell r="O119">
            <v>45.66</v>
          </cell>
          <cell r="P119">
            <v>0</v>
          </cell>
          <cell r="Q119">
            <v>203.92999999999998</v>
          </cell>
        </row>
        <row r="120">
          <cell r="J120" t="str">
            <v>0CRYEX2YD</v>
          </cell>
          <cell r="K120" t="str">
            <v>ON-CALL P/U 2YD RECYCLE</v>
          </cell>
          <cell r="L120">
            <v>48.54</v>
          </cell>
          <cell r="M120">
            <v>48.54</v>
          </cell>
          <cell r="N120">
            <v>50.24</v>
          </cell>
          <cell r="O120">
            <v>125.6</v>
          </cell>
          <cell r="P120">
            <v>0</v>
          </cell>
          <cell r="Q120">
            <v>224.38</v>
          </cell>
        </row>
        <row r="121">
          <cell r="J121" t="str">
            <v>0CRYEX3YD</v>
          </cell>
          <cell r="K121" t="str">
            <v>ON-CALL P/U 3YD RECYCLE</v>
          </cell>
          <cell r="L121">
            <v>81.09</v>
          </cell>
          <cell r="M121">
            <v>162.18</v>
          </cell>
          <cell r="N121">
            <v>139.9</v>
          </cell>
          <cell r="O121">
            <v>167.88</v>
          </cell>
          <cell r="P121">
            <v>0</v>
          </cell>
          <cell r="Q121">
            <v>469.96000000000004</v>
          </cell>
        </row>
        <row r="122">
          <cell r="J122" t="str">
            <v>0CRYEX4YD</v>
          </cell>
          <cell r="K122" t="str">
            <v>ON-CALL P/U 4YD RECYCLE</v>
          </cell>
          <cell r="L122">
            <v>359.03999999999996</v>
          </cell>
          <cell r="M122">
            <v>27.58</v>
          </cell>
          <cell r="N122">
            <v>85.65</v>
          </cell>
          <cell r="O122">
            <v>171.3</v>
          </cell>
          <cell r="P122">
            <v>0</v>
          </cell>
          <cell r="Q122">
            <v>284.53000000000003</v>
          </cell>
        </row>
        <row r="123">
          <cell r="J123" t="str">
            <v>0CRYEX6YD</v>
          </cell>
          <cell r="K123" t="str">
            <v>ON-CALL P/U 6YD RECYCLE</v>
          </cell>
          <cell r="L123">
            <v>29.79</v>
          </cell>
          <cell r="M123">
            <v>59.58</v>
          </cell>
          <cell r="N123">
            <v>0</v>
          </cell>
          <cell r="O123">
            <v>61.66</v>
          </cell>
          <cell r="P123">
            <v>0</v>
          </cell>
          <cell r="Q123">
            <v>121.24</v>
          </cell>
        </row>
        <row r="124">
          <cell r="J124" t="str">
            <v>0CRYEX90</v>
          </cell>
          <cell r="K124" t="str">
            <v>ON-CALL P/U 1-90GAL RECY</v>
          </cell>
          <cell r="L124">
            <v>148.94999999999999</v>
          </cell>
          <cell r="M124">
            <v>148.95000000000002</v>
          </cell>
          <cell r="N124">
            <v>154.16999999999999</v>
          </cell>
          <cell r="O124">
            <v>342.6</v>
          </cell>
          <cell r="P124">
            <v>0</v>
          </cell>
          <cell r="Q124">
            <v>645.72</v>
          </cell>
        </row>
        <row r="125">
          <cell r="J125" t="str">
            <v>0CRYEXC</v>
          </cell>
          <cell r="K125" t="str">
            <v>REC EXTRA YARDS</v>
          </cell>
          <cell r="L125">
            <v>0</v>
          </cell>
          <cell r="M125">
            <v>0</v>
          </cell>
          <cell r="N125">
            <v>247.68</v>
          </cell>
          <cell r="O125">
            <v>184.32</v>
          </cell>
          <cell r="P125">
            <v>0</v>
          </cell>
          <cell r="Q125">
            <v>432</v>
          </cell>
        </row>
        <row r="126">
          <cell r="J126" t="str">
            <v>CFR65G1X</v>
          </cell>
          <cell r="K126" t="str">
            <v>65G FOOD COMPOST 1X WKLY</v>
          </cell>
          <cell r="L126">
            <v>1748.8899999999999</v>
          </cell>
          <cell r="M126">
            <v>2030.9299999999998</v>
          </cell>
          <cell r="N126">
            <v>2030.93</v>
          </cell>
          <cell r="O126">
            <v>2030.93</v>
          </cell>
          <cell r="P126">
            <v>0</v>
          </cell>
          <cell r="Q126">
            <v>6092.79</v>
          </cell>
        </row>
        <row r="127">
          <cell r="J127" t="str">
            <v>CFR65G2X</v>
          </cell>
          <cell r="K127" t="str">
            <v>65G FOOD COMPOST 2X WKLY</v>
          </cell>
          <cell r="L127">
            <v>603.05999999999995</v>
          </cell>
          <cell r="M127">
            <v>603.05999999999995</v>
          </cell>
          <cell r="N127">
            <v>603.05999999999995</v>
          </cell>
          <cell r="O127">
            <v>603.05999999999995</v>
          </cell>
          <cell r="P127">
            <v>0</v>
          </cell>
          <cell r="Q127">
            <v>1809.1799999999998</v>
          </cell>
        </row>
        <row r="128">
          <cell r="J128" t="str">
            <v>COMREC</v>
          </cell>
          <cell r="K128" t="str">
            <v>SCHOOL RECYCLE SERVICE</v>
          </cell>
          <cell r="L128">
            <v>5451.95</v>
          </cell>
          <cell r="M128">
            <v>5437.09</v>
          </cell>
          <cell r="N128">
            <v>5416.0099999999993</v>
          </cell>
          <cell r="O128">
            <v>5423.15</v>
          </cell>
          <cell r="P128">
            <v>0</v>
          </cell>
          <cell r="Q128">
            <v>16276.249999999998</v>
          </cell>
        </row>
        <row r="129">
          <cell r="J129" t="str">
            <v xml:space="preserve">CRY1.5EOW </v>
          </cell>
          <cell r="K129" t="str">
            <v>1.5YD RECYCLE EOW</v>
          </cell>
          <cell r="L129">
            <v>276.02</v>
          </cell>
          <cell r="M129">
            <v>215.07</v>
          </cell>
          <cell r="N129">
            <v>221.94</v>
          </cell>
          <cell r="O129">
            <v>221.94</v>
          </cell>
          <cell r="P129">
            <v>0</v>
          </cell>
          <cell r="Q129">
            <v>658.95</v>
          </cell>
        </row>
        <row r="130">
          <cell r="J130" t="str">
            <v>CRY1.5Y1X</v>
          </cell>
          <cell r="K130" t="str">
            <v>1.5YD RECYCLE 1X WKLY</v>
          </cell>
          <cell r="L130">
            <v>923.75</v>
          </cell>
          <cell r="M130">
            <v>1023.23</v>
          </cell>
          <cell r="N130">
            <v>1065.4100000000001</v>
          </cell>
          <cell r="O130">
            <v>1065.4100000000001</v>
          </cell>
          <cell r="P130">
            <v>0</v>
          </cell>
          <cell r="Q130">
            <v>3154.05</v>
          </cell>
        </row>
        <row r="131">
          <cell r="J131" t="str">
            <v>CRY1Y1X</v>
          </cell>
          <cell r="K131" t="str">
            <v>1YD RECYCLE 1X WKLY</v>
          </cell>
          <cell r="L131">
            <v>2156.17</v>
          </cell>
          <cell r="M131">
            <v>2156.17</v>
          </cell>
          <cell r="N131">
            <v>2164.36</v>
          </cell>
          <cell r="O131">
            <v>2374.52</v>
          </cell>
          <cell r="P131">
            <v>0</v>
          </cell>
          <cell r="Q131">
            <v>6695.0500000000011</v>
          </cell>
        </row>
        <row r="132">
          <cell r="J132" t="str">
            <v>CRY1YEOW</v>
          </cell>
          <cell r="K132" t="str">
            <v>1YD RECYCLE EOW</v>
          </cell>
          <cell r="L132">
            <v>2510.17</v>
          </cell>
          <cell r="M132">
            <v>2490.52</v>
          </cell>
          <cell r="N132">
            <v>2536.81</v>
          </cell>
          <cell r="O132">
            <v>2381.0099999999998</v>
          </cell>
          <cell r="P132">
            <v>0</v>
          </cell>
          <cell r="Q132">
            <v>7408.34</v>
          </cell>
        </row>
        <row r="133">
          <cell r="J133" t="str">
            <v>CRY1YOC</v>
          </cell>
          <cell r="K133" t="str">
            <v>1YD RECYCLE ON CALL RENT</v>
          </cell>
          <cell r="L133">
            <v>144.78</v>
          </cell>
          <cell r="M133">
            <v>171.45</v>
          </cell>
          <cell r="N133">
            <v>178.8</v>
          </cell>
          <cell r="O133">
            <v>178.8</v>
          </cell>
          <cell r="P133">
            <v>0</v>
          </cell>
          <cell r="Q133">
            <v>529.04999999999995</v>
          </cell>
        </row>
        <row r="134">
          <cell r="J134" t="str">
            <v>CRY2-1Y1X</v>
          </cell>
          <cell r="K134" t="str">
            <v>2-1YD RECYCLE 1X WKLY</v>
          </cell>
          <cell r="L134">
            <v>137.4</v>
          </cell>
          <cell r="M134">
            <v>137.4</v>
          </cell>
          <cell r="N134">
            <v>144.27000000000001</v>
          </cell>
          <cell r="O134">
            <v>144.27000000000001</v>
          </cell>
          <cell r="P134">
            <v>0</v>
          </cell>
          <cell r="Q134">
            <v>425.94000000000005</v>
          </cell>
        </row>
        <row r="135">
          <cell r="J135" t="str">
            <v>CRY2-3Y1X</v>
          </cell>
          <cell r="K135" t="str">
            <v>2-3YD RECYCLE 1X WKLY</v>
          </cell>
          <cell r="L135">
            <v>197.13</v>
          </cell>
          <cell r="M135">
            <v>197.13</v>
          </cell>
          <cell r="N135">
            <v>204.03</v>
          </cell>
          <cell r="O135">
            <v>204.03</v>
          </cell>
          <cell r="P135">
            <v>0</v>
          </cell>
          <cell r="Q135">
            <v>605.18999999999994</v>
          </cell>
        </row>
        <row r="136">
          <cell r="J136" t="str">
            <v>CRY2-4Y1X</v>
          </cell>
          <cell r="K136" t="str">
            <v>2-4YD RECYCLE 1X WKLY</v>
          </cell>
          <cell r="L136">
            <v>395.93</v>
          </cell>
          <cell r="M136">
            <v>255</v>
          </cell>
          <cell r="N136">
            <v>255</v>
          </cell>
          <cell r="O136">
            <v>255</v>
          </cell>
          <cell r="P136">
            <v>0</v>
          </cell>
          <cell r="Q136">
            <v>765</v>
          </cell>
        </row>
        <row r="137">
          <cell r="J137" t="str">
            <v>CRY2-4Y2X</v>
          </cell>
          <cell r="K137" t="str">
            <v>2-4YD RECYCLE 2X WKLY</v>
          </cell>
          <cell r="L137">
            <v>428.32</v>
          </cell>
          <cell r="M137">
            <v>718.46</v>
          </cell>
          <cell r="N137">
            <v>748.58</v>
          </cell>
          <cell r="O137">
            <v>748.58</v>
          </cell>
          <cell r="P137">
            <v>0</v>
          </cell>
          <cell r="Q137">
            <v>2215.62</v>
          </cell>
        </row>
        <row r="138">
          <cell r="J138" t="str">
            <v>CRY2-5Y1X</v>
          </cell>
          <cell r="K138" t="str">
            <v>2-5YD RECYCLE 1X WKLY</v>
          </cell>
          <cell r="L138">
            <v>85</v>
          </cell>
          <cell r="M138">
            <v>85</v>
          </cell>
          <cell r="N138">
            <v>85</v>
          </cell>
          <cell r="O138">
            <v>85</v>
          </cell>
          <cell r="P138">
            <v>0</v>
          </cell>
          <cell r="Q138">
            <v>255</v>
          </cell>
        </row>
        <row r="139">
          <cell r="J139" t="str">
            <v>CRY2Y1MO</v>
          </cell>
          <cell r="K139" t="str">
            <v>2YD RECYCLE 1X MTHLY</v>
          </cell>
          <cell r="L139">
            <v>100.89</v>
          </cell>
          <cell r="M139">
            <v>100.89</v>
          </cell>
          <cell r="N139">
            <v>105.93</v>
          </cell>
          <cell r="O139">
            <v>105.93</v>
          </cell>
          <cell r="P139">
            <v>0</v>
          </cell>
          <cell r="Q139">
            <v>312.75</v>
          </cell>
        </row>
        <row r="140">
          <cell r="J140" t="str">
            <v>CRY2Y1X</v>
          </cell>
          <cell r="K140" t="str">
            <v>2YD RECYCLE 1X WKLY</v>
          </cell>
          <cell r="L140">
            <v>7255.23</v>
          </cell>
          <cell r="M140">
            <v>7097.74</v>
          </cell>
          <cell r="N140">
            <v>7453.6500000000005</v>
          </cell>
          <cell r="O140">
            <v>7670.9700000000012</v>
          </cell>
          <cell r="P140">
            <v>0</v>
          </cell>
          <cell r="Q140">
            <v>22222.36</v>
          </cell>
        </row>
        <row r="141">
          <cell r="J141" t="str">
            <v>CRY2Y2X</v>
          </cell>
          <cell r="K141" t="str">
            <v>2YD RECYCLE 2X WKLY</v>
          </cell>
          <cell r="L141">
            <v>907.72</v>
          </cell>
          <cell r="M141">
            <v>907.72</v>
          </cell>
          <cell r="N141">
            <v>1050.3900000000001</v>
          </cell>
          <cell r="O141">
            <v>1124.04</v>
          </cell>
          <cell r="P141">
            <v>0</v>
          </cell>
          <cell r="Q141">
            <v>3082.15</v>
          </cell>
        </row>
        <row r="142">
          <cell r="J142" t="str">
            <v>CRY2YEOW</v>
          </cell>
          <cell r="K142" t="str">
            <v>2YD RECYCLE EOW</v>
          </cell>
          <cell r="L142">
            <v>2903.51</v>
          </cell>
          <cell r="M142">
            <v>2968.25</v>
          </cell>
          <cell r="N142">
            <v>3022.8399999999997</v>
          </cell>
          <cell r="O142">
            <v>3094.1499999999996</v>
          </cell>
          <cell r="P142">
            <v>0</v>
          </cell>
          <cell r="Q142">
            <v>9085.24</v>
          </cell>
        </row>
        <row r="143">
          <cell r="J143" t="str">
            <v>CRY2YOC</v>
          </cell>
          <cell r="K143" t="str">
            <v>2YD RECYCLE ON CALL RENT</v>
          </cell>
          <cell r="L143">
            <v>159.20999999999998</v>
          </cell>
          <cell r="M143">
            <v>159.20999999999998</v>
          </cell>
          <cell r="N143">
            <v>165.87</v>
          </cell>
          <cell r="O143">
            <v>165.87</v>
          </cell>
          <cell r="P143">
            <v>0</v>
          </cell>
          <cell r="Q143">
            <v>490.95</v>
          </cell>
        </row>
        <row r="144">
          <cell r="J144" t="str">
            <v>CRY3Y1X</v>
          </cell>
          <cell r="K144" t="str">
            <v>3YD RECYCLE 1X WKLY</v>
          </cell>
          <cell r="L144">
            <v>4079.5</v>
          </cell>
          <cell r="M144">
            <v>4136.6099999999997</v>
          </cell>
          <cell r="N144">
            <v>4183.87</v>
          </cell>
          <cell r="O144">
            <v>4199.29</v>
          </cell>
          <cell r="P144">
            <v>0</v>
          </cell>
          <cell r="Q144">
            <v>12519.77</v>
          </cell>
        </row>
        <row r="145">
          <cell r="J145" t="str">
            <v>CRY3Y2X</v>
          </cell>
          <cell r="K145" t="str">
            <v>3YD RECYCLE 2X WKLY</v>
          </cell>
          <cell r="L145">
            <v>2181.19</v>
          </cell>
          <cell r="M145">
            <v>2181.19</v>
          </cell>
          <cell r="N145">
            <v>2479.02</v>
          </cell>
          <cell r="O145">
            <v>2663.6900000000005</v>
          </cell>
          <cell r="P145">
            <v>0</v>
          </cell>
          <cell r="Q145">
            <v>7323.9000000000005</v>
          </cell>
        </row>
        <row r="146">
          <cell r="J146" t="str">
            <v>CRY3Y3X</v>
          </cell>
          <cell r="K146" t="str">
            <v>3YD RECYCLE 3X WKLY</v>
          </cell>
          <cell r="L146">
            <v>298.45</v>
          </cell>
          <cell r="M146">
            <v>298.45</v>
          </cell>
          <cell r="N146">
            <v>308.89999999999998</v>
          </cell>
          <cell r="O146">
            <v>308.89999999999998</v>
          </cell>
          <cell r="P146">
            <v>0</v>
          </cell>
          <cell r="Q146">
            <v>916.24999999999989</v>
          </cell>
        </row>
        <row r="147">
          <cell r="J147" t="str">
            <v>CRY3YEOW</v>
          </cell>
          <cell r="K147" t="str">
            <v>3YD RECYCLE EOW</v>
          </cell>
          <cell r="L147">
            <v>751.83</v>
          </cell>
          <cell r="M147">
            <v>857.52</v>
          </cell>
          <cell r="N147">
            <v>986.11000000000013</v>
          </cell>
          <cell r="O147">
            <v>986.11000000000013</v>
          </cell>
          <cell r="P147">
            <v>0</v>
          </cell>
          <cell r="Q147">
            <v>2829.7400000000002</v>
          </cell>
        </row>
        <row r="148">
          <cell r="J148" t="str">
            <v>CRY3YOC</v>
          </cell>
          <cell r="K148" t="str">
            <v>3YD RECY ON CALL RENTAL</v>
          </cell>
          <cell r="L148">
            <v>130.55000000000001</v>
          </cell>
          <cell r="M148">
            <v>130.55000000000001</v>
          </cell>
          <cell r="N148">
            <v>137.1</v>
          </cell>
          <cell r="O148">
            <v>137.1</v>
          </cell>
          <cell r="P148">
            <v>0</v>
          </cell>
          <cell r="Q148">
            <v>404.75</v>
          </cell>
        </row>
        <row r="149">
          <cell r="J149" t="str">
            <v>CRY4Y1X</v>
          </cell>
          <cell r="K149" t="str">
            <v>4YD RECYCLE 1X WKLY</v>
          </cell>
          <cell r="L149">
            <v>8230.0499999999993</v>
          </cell>
          <cell r="M149">
            <v>8220.83</v>
          </cell>
          <cell r="N149">
            <v>8815.92</v>
          </cell>
          <cell r="O149">
            <v>8640.6399999999976</v>
          </cell>
          <cell r="P149">
            <v>0</v>
          </cell>
          <cell r="Q149">
            <v>25677.39</v>
          </cell>
        </row>
        <row r="150">
          <cell r="J150" t="str">
            <v>CRY4Y2X</v>
          </cell>
          <cell r="K150" t="str">
            <v>4YD RECYCLE 2X WKLY</v>
          </cell>
          <cell r="L150">
            <v>5180.71</v>
          </cell>
          <cell r="M150">
            <v>5180.71</v>
          </cell>
          <cell r="N150">
            <v>5161.12</v>
          </cell>
          <cell r="O150">
            <v>4947.0600000000004</v>
          </cell>
          <cell r="P150">
            <v>0</v>
          </cell>
          <cell r="Q150">
            <v>15288.89</v>
          </cell>
        </row>
        <row r="151">
          <cell r="J151" t="str">
            <v>CRY4Y3X</v>
          </cell>
          <cell r="K151" t="str">
            <v>4YD RECYCLE 3X WKLY</v>
          </cell>
          <cell r="L151">
            <v>2102.3199999999997</v>
          </cell>
          <cell r="M151">
            <v>2102.3199999999997</v>
          </cell>
          <cell r="N151">
            <v>2183.6800000000003</v>
          </cell>
          <cell r="O151">
            <v>2215.0100000000002</v>
          </cell>
          <cell r="P151">
            <v>0</v>
          </cell>
          <cell r="Q151">
            <v>6501.01</v>
          </cell>
        </row>
        <row r="152">
          <cell r="J152" t="str">
            <v>CRY4Y4X</v>
          </cell>
          <cell r="K152" t="str">
            <v>4YD RECYCLE 4X WKLY</v>
          </cell>
          <cell r="L152">
            <v>475.3</v>
          </cell>
          <cell r="M152">
            <v>475.3</v>
          </cell>
          <cell r="N152">
            <v>491.94</v>
          </cell>
          <cell r="O152">
            <v>491.94</v>
          </cell>
          <cell r="P152">
            <v>0</v>
          </cell>
          <cell r="Q152">
            <v>1459.18</v>
          </cell>
        </row>
        <row r="153">
          <cell r="J153" t="str">
            <v>CRY4Y5X</v>
          </cell>
          <cell r="K153" t="str">
            <v>4YD RECYCLE 5X WKLY</v>
          </cell>
          <cell r="L153">
            <v>523.22</v>
          </cell>
          <cell r="M153">
            <v>523.22</v>
          </cell>
          <cell r="N153">
            <v>541.53</v>
          </cell>
          <cell r="O153">
            <v>541.53</v>
          </cell>
          <cell r="P153">
            <v>0</v>
          </cell>
          <cell r="Q153">
            <v>1606.28</v>
          </cell>
        </row>
        <row r="154">
          <cell r="J154" t="str">
            <v>CRY4YEOW</v>
          </cell>
          <cell r="K154" t="str">
            <v>4YD RECYCLE EOW</v>
          </cell>
          <cell r="L154">
            <v>1501.1100000000001</v>
          </cell>
          <cell r="M154">
            <v>1501.1100000000001</v>
          </cell>
          <cell r="N154">
            <v>1552.48</v>
          </cell>
          <cell r="O154">
            <v>1552.48</v>
          </cell>
          <cell r="P154">
            <v>0</v>
          </cell>
          <cell r="Q154">
            <v>4606.07</v>
          </cell>
        </row>
        <row r="155">
          <cell r="J155" t="str">
            <v>CRY4YOC</v>
          </cell>
          <cell r="K155" t="str">
            <v>4YD RECY ON CALL RENTAL</v>
          </cell>
          <cell r="L155">
            <v>222.61</v>
          </cell>
          <cell r="M155">
            <v>222.61</v>
          </cell>
          <cell r="N155">
            <v>230.83</v>
          </cell>
          <cell r="O155">
            <v>230.83</v>
          </cell>
          <cell r="P155">
            <v>0</v>
          </cell>
          <cell r="Q155">
            <v>684.2700000000001</v>
          </cell>
        </row>
        <row r="156">
          <cell r="J156" t="str">
            <v>CRY5Y1X</v>
          </cell>
          <cell r="K156" t="str">
            <v>5YD RECYCLE 1X WKLY</v>
          </cell>
          <cell r="L156">
            <v>129.12</v>
          </cell>
          <cell r="M156">
            <v>129.12</v>
          </cell>
          <cell r="N156">
            <v>135.58000000000001</v>
          </cell>
          <cell r="O156">
            <v>135.58000000000001</v>
          </cell>
          <cell r="P156">
            <v>0</v>
          </cell>
          <cell r="Q156">
            <v>400.28000000000009</v>
          </cell>
        </row>
        <row r="157">
          <cell r="J157" t="str">
            <v>CRY5Y3X</v>
          </cell>
          <cell r="K157" t="str">
            <v>5YD RECYCLE 3X WKLY</v>
          </cell>
          <cell r="L157">
            <v>348.17</v>
          </cell>
          <cell r="M157">
            <v>348.17</v>
          </cell>
          <cell r="N157">
            <v>360.36</v>
          </cell>
          <cell r="O157">
            <v>360.36</v>
          </cell>
          <cell r="P157">
            <v>0</v>
          </cell>
          <cell r="Q157">
            <v>1068.8899999999999</v>
          </cell>
        </row>
        <row r="158">
          <cell r="J158" t="str">
            <v>CRY6Y1X</v>
          </cell>
          <cell r="K158" t="str">
            <v>6YD RECYCLE 1X WKLY</v>
          </cell>
          <cell r="L158">
            <v>2021.3400000000001</v>
          </cell>
          <cell r="M158">
            <v>2185.56</v>
          </cell>
          <cell r="N158">
            <v>2271.31</v>
          </cell>
          <cell r="O158">
            <v>2308.4900000000002</v>
          </cell>
          <cell r="P158">
            <v>0</v>
          </cell>
          <cell r="Q158">
            <v>6765.3600000000006</v>
          </cell>
        </row>
        <row r="159">
          <cell r="J159" t="str">
            <v>CRY6Y2X</v>
          </cell>
          <cell r="K159" t="str">
            <v>6YD RECYCLE 2X WKLY</v>
          </cell>
          <cell r="L159">
            <v>1103.8</v>
          </cell>
          <cell r="M159">
            <v>1017.21</v>
          </cell>
          <cell r="N159">
            <v>1037.43</v>
          </cell>
          <cell r="O159">
            <v>1037.43</v>
          </cell>
          <cell r="P159">
            <v>0</v>
          </cell>
          <cell r="Q159">
            <v>3092.0700000000006</v>
          </cell>
        </row>
        <row r="160">
          <cell r="J160" t="str">
            <v>CRY6Y3X</v>
          </cell>
          <cell r="K160" t="str">
            <v>6YD RECYCLE 3X WKLY</v>
          </cell>
          <cell r="L160">
            <v>1251.99</v>
          </cell>
          <cell r="M160">
            <v>1389.12</v>
          </cell>
          <cell r="N160">
            <v>1434.27</v>
          </cell>
          <cell r="O160">
            <v>1434.27</v>
          </cell>
          <cell r="P160">
            <v>0</v>
          </cell>
          <cell r="Q160">
            <v>4257.66</v>
          </cell>
        </row>
        <row r="161">
          <cell r="J161" t="str">
            <v>CRY6YEOW</v>
          </cell>
          <cell r="K161" t="str">
            <v>6YD RECYCLE EOW</v>
          </cell>
          <cell r="L161">
            <v>345.18</v>
          </cell>
          <cell r="M161">
            <v>345.18</v>
          </cell>
          <cell r="N161">
            <v>358.41</v>
          </cell>
          <cell r="O161">
            <v>358.41</v>
          </cell>
          <cell r="P161">
            <v>0</v>
          </cell>
          <cell r="Q161">
            <v>1062</v>
          </cell>
        </row>
        <row r="162">
          <cell r="J162" t="str">
            <v>CRY6YOC</v>
          </cell>
          <cell r="K162" t="str">
            <v>6YD RECY ON CALL RENTAL</v>
          </cell>
          <cell r="L162">
            <v>103.41999999999999</v>
          </cell>
          <cell r="M162">
            <v>103.41999999999999</v>
          </cell>
          <cell r="N162">
            <v>108.00999999999999</v>
          </cell>
          <cell r="O162">
            <v>108.00999999999999</v>
          </cell>
          <cell r="P162">
            <v>0</v>
          </cell>
          <cell r="Q162">
            <v>319.43999999999994</v>
          </cell>
        </row>
        <row r="163">
          <cell r="J163" t="str">
            <v>CRY8Y1X</v>
          </cell>
          <cell r="K163" t="str">
            <v>8YD RECYCLE 1X WKLY</v>
          </cell>
          <cell r="L163">
            <v>1083.74</v>
          </cell>
          <cell r="M163">
            <v>1083.74</v>
          </cell>
          <cell r="N163">
            <v>1120.6399999999999</v>
          </cell>
          <cell r="O163">
            <v>1120.6399999999999</v>
          </cell>
          <cell r="P163">
            <v>0</v>
          </cell>
          <cell r="Q163">
            <v>3325.02</v>
          </cell>
        </row>
        <row r="164">
          <cell r="J164" t="str">
            <v>CRY8Y2X</v>
          </cell>
          <cell r="K164" t="str">
            <v>8YD RECYCLE 2X WKLY</v>
          </cell>
          <cell r="L164">
            <v>1598.5300000000002</v>
          </cell>
          <cell r="M164">
            <v>1598.5300000000002</v>
          </cell>
          <cell r="N164">
            <v>1646.23</v>
          </cell>
          <cell r="O164">
            <v>1646.23</v>
          </cell>
          <cell r="P164">
            <v>0</v>
          </cell>
          <cell r="Q164">
            <v>4890.99</v>
          </cell>
        </row>
        <row r="165">
          <cell r="J165" t="str">
            <v>CRY8Y3X</v>
          </cell>
          <cell r="K165" t="str">
            <v>8YD RECYCLE 3X WKLY</v>
          </cell>
          <cell r="L165">
            <v>951.12</v>
          </cell>
          <cell r="M165">
            <v>951.12</v>
          </cell>
          <cell r="N165">
            <v>990.99</v>
          </cell>
          <cell r="O165">
            <v>990.99</v>
          </cell>
          <cell r="P165">
            <v>0</v>
          </cell>
          <cell r="Q165">
            <v>2933.1000000000004</v>
          </cell>
        </row>
        <row r="166">
          <cell r="J166" t="str">
            <v>CRY901X</v>
          </cell>
          <cell r="K166" t="str">
            <v>90GAL RECYCLE 1X WKLY</v>
          </cell>
          <cell r="L166">
            <v>2542.2600000000002</v>
          </cell>
          <cell r="M166">
            <v>2526.77</v>
          </cell>
          <cell r="N166">
            <v>2672.8600000000006</v>
          </cell>
          <cell r="O166">
            <v>2638.0800000000004</v>
          </cell>
          <cell r="P166">
            <v>0</v>
          </cell>
          <cell r="Q166">
            <v>7837.7100000000009</v>
          </cell>
        </row>
        <row r="167">
          <cell r="J167" t="str">
            <v>CRY901X2</v>
          </cell>
          <cell r="K167" t="str">
            <v>2-90GAL RECYCLE 1X WKLY</v>
          </cell>
          <cell r="L167">
            <v>556.08000000000004</v>
          </cell>
          <cell r="M167">
            <v>556.08000000000004</v>
          </cell>
          <cell r="N167">
            <v>592.9</v>
          </cell>
          <cell r="O167">
            <v>575.52</v>
          </cell>
          <cell r="P167">
            <v>0</v>
          </cell>
          <cell r="Q167">
            <v>1724.5</v>
          </cell>
        </row>
        <row r="168">
          <cell r="J168" t="str">
            <v>CRY901X3</v>
          </cell>
          <cell r="K168" t="str">
            <v>3-90GAL RECYCLE 1X WKLY</v>
          </cell>
          <cell r="L168">
            <v>254.4</v>
          </cell>
          <cell r="M168">
            <v>254.4</v>
          </cell>
          <cell r="N168">
            <v>263.31</v>
          </cell>
          <cell r="O168">
            <v>263.31</v>
          </cell>
          <cell r="P168">
            <v>0</v>
          </cell>
          <cell r="Q168">
            <v>781.02</v>
          </cell>
        </row>
        <row r="169">
          <cell r="J169" t="str">
            <v>CRY902X</v>
          </cell>
          <cell r="K169" t="str">
            <v>90GAL RECYCLE 2X WKLY</v>
          </cell>
          <cell r="L169">
            <v>116.97</v>
          </cell>
          <cell r="M169">
            <v>116.97</v>
          </cell>
          <cell r="N169">
            <v>121.06</v>
          </cell>
          <cell r="O169">
            <v>121.06</v>
          </cell>
          <cell r="P169">
            <v>0</v>
          </cell>
          <cell r="Q169">
            <v>359.09000000000003</v>
          </cell>
        </row>
        <row r="170">
          <cell r="J170" t="str">
            <v>CRY902X3</v>
          </cell>
          <cell r="K170" t="str">
            <v>3-90GAL RECYCLE 2X WKLY</v>
          </cell>
          <cell r="L170">
            <v>163.75</v>
          </cell>
          <cell r="M170">
            <v>163.75</v>
          </cell>
          <cell r="N170">
            <v>63.56</v>
          </cell>
          <cell r="O170">
            <v>0</v>
          </cell>
          <cell r="P170">
            <v>0</v>
          </cell>
          <cell r="Q170">
            <v>227.31</v>
          </cell>
        </row>
        <row r="171">
          <cell r="J171" t="str">
            <v>CRY90EOW</v>
          </cell>
          <cell r="K171" t="str">
            <v>90GAL RECYCLE EOW</v>
          </cell>
          <cell r="L171">
            <v>2152.27</v>
          </cell>
          <cell r="M171">
            <v>2110.0500000000002</v>
          </cell>
          <cell r="N171">
            <v>2140.1499999999996</v>
          </cell>
          <cell r="O171">
            <v>2249.54</v>
          </cell>
          <cell r="P171">
            <v>0</v>
          </cell>
          <cell r="Q171">
            <v>6499.74</v>
          </cell>
        </row>
        <row r="172">
          <cell r="J172" t="str">
            <v>CRY90EOW2</v>
          </cell>
          <cell r="K172" t="str">
            <v>2-90GAL RECYCLE EOW</v>
          </cell>
          <cell r="L172">
            <v>385.21000000000004</v>
          </cell>
          <cell r="M172">
            <v>404.86</v>
          </cell>
          <cell r="N172">
            <v>398.12</v>
          </cell>
          <cell r="O172">
            <v>398.12</v>
          </cell>
          <cell r="P172">
            <v>0</v>
          </cell>
          <cell r="Q172">
            <v>1201.0999999999999</v>
          </cell>
        </row>
        <row r="173">
          <cell r="J173" t="str">
            <v>CRY90EOW3</v>
          </cell>
          <cell r="K173" t="str">
            <v>3-90GAL RECYCLE EOW</v>
          </cell>
          <cell r="L173">
            <v>93.72</v>
          </cell>
          <cell r="M173">
            <v>93.72</v>
          </cell>
          <cell r="N173">
            <v>97</v>
          </cell>
          <cell r="O173">
            <v>97</v>
          </cell>
          <cell r="P173">
            <v>0</v>
          </cell>
          <cell r="Q173">
            <v>287.72000000000003</v>
          </cell>
        </row>
        <row r="174">
          <cell r="J174" t="str">
            <v>CRY90OC</v>
          </cell>
          <cell r="K174" t="str">
            <v>90GAL RECY ON CALL RENTAL</v>
          </cell>
          <cell r="L174">
            <v>183.48000000000002</v>
          </cell>
          <cell r="M174">
            <v>189.18</v>
          </cell>
          <cell r="N174">
            <v>204.89000000000001</v>
          </cell>
          <cell r="O174">
            <v>212.35000000000002</v>
          </cell>
          <cell r="P174">
            <v>0</v>
          </cell>
          <cell r="Q174">
            <v>606.42000000000007</v>
          </cell>
        </row>
        <row r="175">
          <cell r="J175" t="str">
            <v>CRY90OC2</v>
          </cell>
          <cell r="K175" t="str">
            <v>2-90GAL RECY ON CALL RENT</v>
          </cell>
          <cell r="L175">
            <v>16.32</v>
          </cell>
          <cell r="M175">
            <v>16.32</v>
          </cell>
          <cell r="N175">
            <v>17.14</v>
          </cell>
          <cell r="O175">
            <v>17.14</v>
          </cell>
          <cell r="P175">
            <v>0</v>
          </cell>
          <cell r="Q175">
            <v>50.6</v>
          </cell>
        </row>
        <row r="176">
          <cell r="J176" t="str">
            <v>CRY90OC3</v>
          </cell>
          <cell r="K176" t="str">
            <v>3-90GAL RECY ON CALL RENT</v>
          </cell>
          <cell r="L176">
            <v>10.62</v>
          </cell>
          <cell r="M176">
            <v>10.62</v>
          </cell>
          <cell r="N176">
            <v>11.15</v>
          </cell>
          <cell r="O176">
            <v>11.15</v>
          </cell>
          <cell r="P176">
            <v>0</v>
          </cell>
          <cell r="Q176">
            <v>32.92</v>
          </cell>
        </row>
        <row r="177">
          <cell r="J177" t="str">
            <v>CRYACC</v>
          </cell>
          <cell r="K177" t="str">
            <v>RECY ACCESS CHARGE</v>
          </cell>
          <cell r="L177">
            <v>1419.35</v>
          </cell>
          <cell r="M177">
            <v>1429.87</v>
          </cell>
          <cell r="N177">
            <v>1461.4799999999998</v>
          </cell>
          <cell r="O177">
            <v>1563.17</v>
          </cell>
          <cell r="P177">
            <v>0</v>
          </cell>
          <cell r="Q177">
            <v>4454.5199999999995</v>
          </cell>
        </row>
        <row r="178">
          <cell r="J178" t="str">
            <v>CRYEX1YD</v>
          </cell>
          <cell r="K178" t="str">
            <v>SPECIAL PU 1YD RECYCLE</v>
          </cell>
          <cell r="L178">
            <v>0</v>
          </cell>
          <cell r="M178">
            <v>0</v>
          </cell>
          <cell r="N178">
            <v>45.66</v>
          </cell>
          <cell r="O178">
            <v>-22.83</v>
          </cell>
          <cell r="P178">
            <v>0</v>
          </cell>
          <cell r="Q178">
            <v>22.83</v>
          </cell>
        </row>
        <row r="179">
          <cell r="J179" t="str">
            <v>CRYEX4YD</v>
          </cell>
          <cell r="K179" t="str">
            <v>SPECIAL PU 4YD RECYCLE</v>
          </cell>
          <cell r="L179">
            <v>5.7799999999999976</v>
          </cell>
          <cell r="M179">
            <v>0</v>
          </cell>
          <cell r="N179">
            <v>55.58</v>
          </cell>
          <cell r="O179">
            <v>28.55</v>
          </cell>
          <cell r="P179">
            <v>0</v>
          </cell>
          <cell r="Q179">
            <v>84.13</v>
          </cell>
        </row>
        <row r="180">
          <cell r="J180" t="str">
            <v>CRYEX6YD</v>
          </cell>
          <cell r="K180" t="str">
            <v>SPECIAL PU 6YD RECYCLE</v>
          </cell>
          <cell r="L180">
            <v>0</v>
          </cell>
          <cell r="M180">
            <v>0</v>
          </cell>
          <cell r="N180">
            <v>29.79</v>
          </cell>
          <cell r="O180">
            <v>0</v>
          </cell>
          <cell r="P180">
            <v>0</v>
          </cell>
          <cell r="Q180">
            <v>29.79</v>
          </cell>
        </row>
        <row r="181">
          <cell r="J181" t="str">
            <v>CRYEX90</v>
          </cell>
          <cell r="K181" t="str">
            <v>SPECIAL PU 1-90GAL RECY</v>
          </cell>
          <cell r="L181">
            <v>16.55</v>
          </cell>
          <cell r="M181">
            <v>49.650000000000006</v>
          </cell>
          <cell r="N181">
            <v>33.68</v>
          </cell>
          <cell r="O181">
            <v>17.13</v>
          </cell>
          <cell r="P181">
            <v>0</v>
          </cell>
          <cell r="Q181">
            <v>100.46000000000001</v>
          </cell>
        </row>
        <row r="182">
          <cell r="J182" t="str">
            <v>CRYEXC</v>
          </cell>
          <cell r="K182" t="str">
            <v>REC EXTRA YARDS</v>
          </cell>
          <cell r="L182">
            <v>7168.3899999999994</v>
          </cell>
          <cell r="M182">
            <v>4191.78</v>
          </cell>
          <cell r="N182">
            <v>6899</v>
          </cell>
          <cell r="O182">
            <v>4300.8</v>
          </cell>
          <cell r="P182">
            <v>0</v>
          </cell>
          <cell r="Q182">
            <v>15391.579999999998</v>
          </cell>
        </row>
        <row r="183">
          <cell r="J183" t="str">
            <v>CRYGLASS1X</v>
          </cell>
          <cell r="K183" t="str">
            <v>96G GLASS CART 1X WKLY</v>
          </cell>
          <cell r="L183">
            <v>369.14</v>
          </cell>
          <cell r="M183">
            <v>383.24</v>
          </cell>
          <cell r="N183">
            <v>383.19</v>
          </cell>
          <cell r="O183">
            <v>383.19</v>
          </cell>
          <cell r="P183">
            <v>0</v>
          </cell>
          <cell r="Q183">
            <v>1149.6200000000001</v>
          </cell>
        </row>
        <row r="184">
          <cell r="J184" t="str">
            <v>CRYLOCK</v>
          </cell>
          <cell r="K184" t="str">
            <v>RECY LOCK CHARGE</v>
          </cell>
          <cell r="L184">
            <v>11.48</v>
          </cell>
          <cell r="M184">
            <v>11.48</v>
          </cell>
          <cell r="N184">
            <v>11.88</v>
          </cell>
          <cell r="O184">
            <v>11.88</v>
          </cell>
          <cell r="P184">
            <v>0</v>
          </cell>
          <cell r="Q184">
            <v>35.24</v>
          </cell>
        </row>
        <row r="185">
          <cell r="J185" t="str">
            <v>CRYPLACE</v>
          </cell>
          <cell r="K185" t="str">
            <v>RECY CONT DELIVERY FEE</v>
          </cell>
          <cell r="L185">
            <v>228.56</v>
          </cell>
          <cell r="M185">
            <v>85.710000000000008</v>
          </cell>
          <cell r="N185">
            <v>206.98999999999998</v>
          </cell>
          <cell r="O185">
            <v>88.710000000000008</v>
          </cell>
          <cell r="P185">
            <v>0</v>
          </cell>
          <cell r="Q185">
            <v>381.40999999999997</v>
          </cell>
        </row>
        <row r="186">
          <cell r="J186" t="str">
            <v>CRYRO</v>
          </cell>
          <cell r="K186" t="str">
            <v>RECY CONT ROLLOUT CHARGE</v>
          </cell>
          <cell r="L186">
            <v>1241.48</v>
          </cell>
          <cell r="M186">
            <v>1240.45</v>
          </cell>
          <cell r="N186">
            <v>1195.5900000000001</v>
          </cell>
          <cell r="O186">
            <v>1325.2</v>
          </cell>
          <cell r="P186">
            <v>0</v>
          </cell>
          <cell r="Q186">
            <v>3761.24</v>
          </cell>
        </row>
        <row r="187">
          <cell r="J187" t="str">
            <v>CRYTRIP</v>
          </cell>
          <cell r="K187" t="str">
            <v>TRIP CHARGE - RECYCLING</v>
          </cell>
          <cell r="L187">
            <v>96.460000000000008</v>
          </cell>
          <cell r="M187">
            <v>27.56</v>
          </cell>
          <cell r="N187">
            <v>98.38</v>
          </cell>
          <cell r="O187">
            <v>42.78</v>
          </cell>
          <cell r="P187">
            <v>0</v>
          </cell>
          <cell r="Q187">
            <v>168.72</v>
          </cell>
        </row>
        <row r="188">
          <cell r="J188" t="str">
            <v>MFTOTE</v>
          </cell>
          <cell r="K188" t="str">
            <v>EXTRA RECY CANS/BAGS</v>
          </cell>
          <cell r="L188">
            <v>1.26</v>
          </cell>
          <cell r="M188">
            <v>0</v>
          </cell>
          <cell r="N188">
            <v>39.06</v>
          </cell>
          <cell r="O188">
            <v>524.5200000000001</v>
          </cell>
          <cell r="P188">
            <v>0</v>
          </cell>
          <cell r="Q188">
            <v>563.58000000000015</v>
          </cell>
        </row>
        <row r="189">
          <cell r="J189" t="str">
            <v>RECPUR</v>
          </cell>
          <cell r="K189" t="str">
            <v>RECYCLE PURCHASE</v>
          </cell>
          <cell r="L189">
            <v>0</v>
          </cell>
          <cell r="M189">
            <v>0</v>
          </cell>
          <cell r="N189">
            <v>-1548.3600000000001</v>
          </cell>
          <cell r="O189">
            <v>-1161.27</v>
          </cell>
          <cell r="P189">
            <v>0</v>
          </cell>
          <cell r="Q189">
            <v>-2709.63</v>
          </cell>
        </row>
        <row r="190">
          <cell r="J190" t="str">
            <v>SCHX</v>
          </cell>
          <cell r="K190" t="str">
            <v>SCHOOL RECY EX YDS/EX PU</v>
          </cell>
          <cell r="L190">
            <v>696.28</v>
          </cell>
          <cell r="M190">
            <v>149.49</v>
          </cell>
          <cell r="N190">
            <v>158.80999999999997</v>
          </cell>
          <cell r="O190">
            <v>44.4</v>
          </cell>
          <cell r="P190">
            <v>0</v>
          </cell>
          <cell r="Q190">
            <v>352.69999999999993</v>
          </cell>
        </row>
        <row r="191">
          <cell r="L191">
            <v>79495.040000000023</v>
          </cell>
          <cell r="M191">
            <v>76238.81</v>
          </cell>
          <cell r="N191">
            <v>80433.269999999975</v>
          </cell>
          <cell r="O191">
            <v>79120.170000000013</v>
          </cell>
          <cell r="P191">
            <v>0</v>
          </cell>
          <cell r="Q191">
            <v>235792.24999999997</v>
          </cell>
        </row>
        <row r="192">
          <cell r="J192" t="str">
            <v>CR32MO</v>
          </cell>
          <cell r="K192" t="str">
            <v>1 32GAL CAN ONCE A MTH</v>
          </cell>
          <cell r="L192">
            <v>-91.2</v>
          </cell>
          <cell r="M192">
            <v>6486.96</v>
          </cell>
          <cell r="N192">
            <v>6432</v>
          </cell>
          <cell r="O192">
            <v>6396</v>
          </cell>
          <cell r="P192">
            <v>6396</v>
          </cell>
          <cell r="Q192">
            <v>19314.96</v>
          </cell>
        </row>
        <row r="193">
          <cell r="J193" t="str">
            <v>CR32W1</v>
          </cell>
          <cell r="K193" t="str">
            <v>1 32GAL CAN WEEKLY</v>
          </cell>
          <cell r="L193">
            <v>-3770.29</v>
          </cell>
          <cell r="M193">
            <v>551976.47499999998</v>
          </cell>
          <cell r="N193">
            <v>548721.68499999994</v>
          </cell>
          <cell r="O193">
            <v>554454.77999999991</v>
          </cell>
          <cell r="P193">
            <v>555022.31999999995</v>
          </cell>
          <cell r="Q193">
            <v>1655152.94</v>
          </cell>
        </row>
        <row r="194">
          <cell r="J194" t="str">
            <v>CR32W2</v>
          </cell>
          <cell r="K194" t="str">
            <v>2-32GAL CANS WEEKLY</v>
          </cell>
          <cell r="L194">
            <v>-995.15000000000009</v>
          </cell>
          <cell r="M194">
            <v>198216.81</v>
          </cell>
          <cell r="N194">
            <v>196658.94999999998</v>
          </cell>
          <cell r="O194">
            <v>198979.52000000005</v>
          </cell>
          <cell r="P194">
            <v>199088.44000000003</v>
          </cell>
          <cell r="Q194">
            <v>593855.28</v>
          </cell>
        </row>
        <row r="195">
          <cell r="J195" t="str">
            <v>CR32W3</v>
          </cell>
          <cell r="K195" t="str">
            <v>3-32GAL CANS WEEKLY</v>
          </cell>
          <cell r="L195">
            <v>-336.86</v>
          </cell>
          <cell r="M195">
            <v>19157.805</v>
          </cell>
          <cell r="N195">
            <v>18750.745000000003</v>
          </cell>
          <cell r="O195">
            <v>18937.27</v>
          </cell>
          <cell r="P195">
            <v>19077.12</v>
          </cell>
          <cell r="Q195">
            <v>56845.820000000007</v>
          </cell>
        </row>
        <row r="196">
          <cell r="J196" t="str">
            <v>CR32W4</v>
          </cell>
          <cell r="K196" t="str">
            <v>4-32GAL CANS WEEKLY</v>
          </cell>
          <cell r="L196">
            <v>-26.160000000000004</v>
          </cell>
          <cell r="M196">
            <v>3993.76</v>
          </cell>
          <cell r="N196">
            <v>4023.6200000000003</v>
          </cell>
          <cell r="O196">
            <v>4015.56</v>
          </cell>
          <cell r="P196">
            <v>4015.56</v>
          </cell>
          <cell r="Q196">
            <v>12032.94</v>
          </cell>
        </row>
        <row r="197">
          <cell r="J197" t="str">
            <v>CR32W5</v>
          </cell>
          <cell r="K197" t="str">
            <v>5-32GAL CANS WEEKLY</v>
          </cell>
          <cell r="L197">
            <v>-43.54</v>
          </cell>
          <cell r="M197">
            <v>609.55999999999995</v>
          </cell>
          <cell r="N197">
            <v>609.55999999999995</v>
          </cell>
          <cell r="O197">
            <v>707.53</v>
          </cell>
          <cell r="P197">
            <v>707.53</v>
          </cell>
          <cell r="Q197">
            <v>1926.6499999999999</v>
          </cell>
        </row>
        <row r="198">
          <cell r="J198" t="str">
            <v>CR32W6</v>
          </cell>
          <cell r="K198" t="str">
            <v>6-32GAL CANS WEEKLY</v>
          </cell>
          <cell r="L198">
            <v>0</v>
          </cell>
          <cell r="M198">
            <v>209.16</v>
          </cell>
          <cell r="N198">
            <v>209.16</v>
          </cell>
          <cell r="O198">
            <v>215.69499999999999</v>
          </cell>
          <cell r="P198">
            <v>215.69499999999999</v>
          </cell>
          <cell r="Q198">
            <v>634.01499999999999</v>
          </cell>
        </row>
        <row r="199">
          <cell r="J199" t="str">
            <v>CR32W7</v>
          </cell>
          <cell r="K199" t="str">
            <v>7-32GAL CANS WEEKLY</v>
          </cell>
          <cell r="L199">
            <v>0</v>
          </cell>
          <cell r="M199">
            <v>121.18</v>
          </cell>
          <cell r="N199">
            <v>121.18</v>
          </cell>
          <cell r="O199">
            <v>121.18</v>
          </cell>
          <cell r="P199">
            <v>121.18</v>
          </cell>
          <cell r="Q199">
            <v>363.54</v>
          </cell>
        </row>
        <row r="200">
          <cell r="J200" t="str">
            <v>CR32W8</v>
          </cell>
          <cell r="K200" t="str">
            <v>8-32GAL CANS WEEKLY</v>
          </cell>
          <cell r="L200">
            <v>0</v>
          </cell>
          <cell r="M200">
            <v>266.16000000000003</v>
          </cell>
          <cell r="N200">
            <v>266.16000000000003</v>
          </cell>
          <cell r="O200">
            <v>266.16000000000003</v>
          </cell>
          <cell r="P200">
            <v>266.16000000000003</v>
          </cell>
          <cell r="Q200">
            <v>798.48</v>
          </cell>
        </row>
        <row r="201">
          <cell r="J201" t="str">
            <v>CRDRVIN</v>
          </cell>
          <cell r="K201" t="str">
            <v>DRIVE IN CHG -RESIDENTIAL</v>
          </cell>
          <cell r="L201">
            <v>0</v>
          </cell>
          <cell r="M201">
            <v>1465.7599999999998</v>
          </cell>
          <cell r="N201">
            <v>-14.9</v>
          </cell>
          <cell r="O201">
            <v>1452.6200000000001</v>
          </cell>
          <cell r="P201">
            <v>0</v>
          </cell>
          <cell r="Q201">
            <v>2903.4799999999996</v>
          </cell>
        </row>
        <row r="202">
          <cell r="J202" t="str">
            <v>CREOW</v>
          </cell>
          <cell r="K202" t="str">
            <v>1 32GAL CAN EOW</v>
          </cell>
          <cell r="L202">
            <v>-119.33999999999992</v>
          </cell>
          <cell r="M202">
            <v>75643.88</v>
          </cell>
          <cell r="N202">
            <v>74848.860000000015</v>
          </cell>
          <cell r="O202">
            <v>75270.39</v>
          </cell>
          <cell r="P202">
            <v>74620.649999999994</v>
          </cell>
          <cell r="Q202">
            <v>225763.13</v>
          </cell>
        </row>
        <row r="203">
          <cell r="J203" t="str">
            <v>CRMC</v>
          </cell>
          <cell r="K203" t="str">
            <v>20GAL CAN WEEKLY</v>
          </cell>
          <cell r="L203">
            <v>-61.44</v>
          </cell>
          <cell r="M203">
            <v>6574.08</v>
          </cell>
          <cell r="N203">
            <v>6284.11</v>
          </cell>
          <cell r="O203">
            <v>6498.5599999999995</v>
          </cell>
          <cell r="P203">
            <v>6478.08</v>
          </cell>
          <cell r="Q203">
            <v>19356.75</v>
          </cell>
        </row>
        <row r="204">
          <cell r="J204" t="str">
            <v>CRMCEOW</v>
          </cell>
          <cell r="K204" t="str">
            <v>20GAL CAN EOW</v>
          </cell>
          <cell r="L204">
            <v>-11.6</v>
          </cell>
          <cell r="M204">
            <v>1841.6799999999998</v>
          </cell>
          <cell r="N204">
            <v>1825.6599999999999</v>
          </cell>
          <cell r="O204">
            <v>1770.1700000000003</v>
          </cell>
          <cell r="P204">
            <v>1777.9100000000003</v>
          </cell>
          <cell r="Q204">
            <v>5437.51</v>
          </cell>
        </row>
        <row r="205">
          <cell r="J205" t="str">
            <v>CRREC35</v>
          </cell>
          <cell r="K205" t="str">
            <v>RES RECY 35G CART-COUNTY</v>
          </cell>
          <cell r="L205">
            <v>-18.87</v>
          </cell>
          <cell r="M205">
            <v>2090.6</v>
          </cell>
          <cell r="N205">
            <v>2088.08</v>
          </cell>
          <cell r="O205">
            <v>2117.9949999999999</v>
          </cell>
          <cell r="P205">
            <v>2117.9949999999999</v>
          </cell>
          <cell r="Q205">
            <v>6296.6750000000002</v>
          </cell>
        </row>
        <row r="206">
          <cell r="J206" t="str">
            <v>CRREC48</v>
          </cell>
          <cell r="K206" t="str">
            <v>RES RECY 48G CART-COUNTY</v>
          </cell>
          <cell r="L206">
            <v>0</v>
          </cell>
          <cell r="M206">
            <v>246.47</v>
          </cell>
          <cell r="N206">
            <v>246.47</v>
          </cell>
          <cell r="O206">
            <v>258.29500000000002</v>
          </cell>
          <cell r="P206">
            <v>259.55500000000001</v>
          </cell>
          <cell r="Q206">
            <v>751.23500000000001</v>
          </cell>
        </row>
        <row r="207">
          <cell r="J207" t="str">
            <v>CRREC65</v>
          </cell>
          <cell r="K207" t="str">
            <v>RES RECY 65G CART-COUNTY</v>
          </cell>
          <cell r="L207">
            <v>469.32000000000016</v>
          </cell>
          <cell r="M207">
            <v>241038.625</v>
          </cell>
          <cell r="N207">
            <v>239841.42499999999</v>
          </cell>
          <cell r="O207">
            <v>242175.69999999995</v>
          </cell>
          <cell r="P207">
            <v>240667.99</v>
          </cell>
          <cell r="Q207">
            <v>723055.75</v>
          </cell>
        </row>
        <row r="208">
          <cell r="J208" t="str">
            <v>CRREC95</v>
          </cell>
          <cell r="K208" t="str">
            <v>RES RECY 95G CART-COUNTY</v>
          </cell>
          <cell r="L208">
            <v>128.25</v>
          </cell>
          <cell r="M208">
            <v>11110.684999999999</v>
          </cell>
          <cell r="N208">
            <v>11074.215</v>
          </cell>
          <cell r="O208">
            <v>10989.77</v>
          </cell>
          <cell r="P208">
            <v>10804.920000000002</v>
          </cell>
          <cell r="Q208">
            <v>33174.67</v>
          </cell>
        </row>
        <row r="209">
          <cell r="J209" t="str">
            <v>CRRECHEL</v>
          </cell>
          <cell r="K209" t="str">
            <v>CURBSIDE RECY-HELICO</v>
          </cell>
          <cell r="L209">
            <v>11</v>
          </cell>
          <cell r="M209">
            <v>209.36500000000001</v>
          </cell>
          <cell r="N209">
            <v>208.10500000000002</v>
          </cell>
          <cell r="O209">
            <v>198.41</v>
          </cell>
          <cell r="P209">
            <v>187.41</v>
          </cell>
          <cell r="Q209">
            <v>615.88</v>
          </cell>
        </row>
        <row r="210">
          <cell r="J210" t="str">
            <v>CTYD101</v>
          </cell>
          <cell r="K210" t="str">
            <v>101-125 FT DIST CHARGE</v>
          </cell>
          <cell r="L210">
            <v>0</v>
          </cell>
          <cell r="M210">
            <v>40.26</v>
          </cell>
          <cell r="N210">
            <v>0</v>
          </cell>
          <cell r="O210">
            <v>40.26</v>
          </cell>
          <cell r="P210">
            <v>0</v>
          </cell>
          <cell r="Q210">
            <v>80.52</v>
          </cell>
        </row>
        <row r="211">
          <cell r="J211" t="str">
            <v>CTYD126</v>
          </cell>
          <cell r="K211" t="str">
            <v>126-150 FT DIST CHARGE</v>
          </cell>
          <cell r="L211">
            <v>0</v>
          </cell>
          <cell r="M211">
            <v>16.11</v>
          </cell>
          <cell r="N211">
            <v>0</v>
          </cell>
          <cell r="O211">
            <v>16.11</v>
          </cell>
          <cell r="P211">
            <v>0</v>
          </cell>
          <cell r="Q211">
            <v>32.22</v>
          </cell>
        </row>
        <row r="212">
          <cell r="J212" t="str">
            <v>CTYD151</v>
          </cell>
          <cell r="K212" t="str">
            <v>151-175 FT DIST CHARGE</v>
          </cell>
          <cell r="L212">
            <v>0</v>
          </cell>
          <cell r="M212">
            <v>18.79</v>
          </cell>
          <cell r="N212">
            <v>0</v>
          </cell>
          <cell r="O212">
            <v>18.79</v>
          </cell>
          <cell r="P212">
            <v>0</v>
          </cell>
          <cell r="Q212">
            <v>37.58</v>
          </cell>
        </row>
        <row r="213">
          <cell r="J213" t="str">
            <v>CTYD26</v>
          </cell>
          <cell r="K213" t="str">
            <v>26-50 FT DIST CHARGE</v>
          </cell>
          <cell r="L213">
            <v>61.87</v>
          </cell>
          <cell r="M213">
            <v>222.98</v>
          </cell>
          <cell r="N213">
            <v>56.5</v>
          </cell>
          <cell r="O213">
            <v>227</v>
          </cell>
          <cell r="P213">
            <v>0</v>
          </cell>
          <cell r="Q213">
            <v>506.48</v>
          </cell>
        </row>
        <row r="214">
          <cell r="J214" t="str">
            <v>CTYD51</v>
          </cell>
          <cell r="K214" t="str">
            <v>51-75 FT DIST CHARGE</v>
          </cell>
          <cell r="L214">
            <v>2.0300000000000002</v>
          </cell>
          <cell r="M214">
            <v>56.360000000000007</v>
          </cell>
          <cell r="N214">
            <v>4.03</v>
          </cell>
          <cell r="O214">
            <v>44.28</v>
          </cell>
          <cell r="P214">
            <v>0</v>
          </cell>
          <cell r="Q214">
            <v>104.67000000000002</v>
          </cell>
        </row>
        <row r="215">
          <cell r="J215" t="str">
            <v>CTYD6</v>
          </cell>
          <cell r="K215" t="str">
            <v>6-25 FT DIST CHARGE</v>
          </cell>
          <cell r="L215">
            <v>95.14</v>
          </cell>
          <cell r="M215">
            <v>281.69</v>
          </cell>
          <cell r="N215">
            <v>93.13</v>
          </cell>
          <cell r="O215">
            <v>273.07</v>
          </cell>
          <cell r="P215">
            <v>0</v>
          </cell>
          <cell r="Q215">
            <v>647.89</v>
          </cell>
        </row>
        <row r="216">
          <cell r="J216" t="str">
            <v>CTYD76</v>
          </cell>
          <cell r="K216" t="str">
            <v>76-100 FT DIST CHARGE</v>
          </cell>
          <cell r="L216">
            <v>32.22</v>
          </cell>
          <cell r="M216">
            <v>76.52</v>
          </cell>
          <cell r="N216">
            <v>32.22</v>
          </cell>
          <cell r="O216">
            <v>75.180000000000007</v>
          </cell>
          <cell r="P216">
            <v>0</v>
          </cell>
          <cell r="Q216">
            <v>183.92000000000002</v>
          </cell>
        </row>
        <row r="217">
          <cell r="J217" t="str">
            <v>CYDBM64</v>
          </cell>
          <cell r="K217" t="str">
            <v>YARD DEBRIS SVC-64BIMTHLY</v>
          </cell>
          <cell r="L217">
            <v>-3.0399999999999991</v>
          </cell>
          <cell r="M217">
            <v>27207.3</v>
          </cell>
          <cell r="N217">
            <v>27091.780000000002</v>
          </cell>
          <cell r="O217">
            <v>25970.344999999998</v>
          </cell>
          <cell r="P217">
            <v>26006.864999999998</v>
          </cell>
          <cell r="Q217">
            <v>80269.425000000003</v>
          </cell>
        </row>
        <row r="218">
          <cell r="J218" t="str">
            <v>CYDBM96</v>
          </cell>
          <cell r="K218" t="str">
            <v>YARD DEBRIS SVC-96BIMTHLY</v>
          </cell>
          <cell r="L218">
            <v>-305.70000000000005</v>
          </cell>
          <cell r="M218">
            <v>118648.57</v>
          </cell>
          <cell r="N218">
            <v>117457.76</v>
          </cell>
          <cell r="O218">
            <v>113048.71000000002</v>
          </cell>
          <cell r="P218">
            <v>112715.45000000001</v>
          </cell>
          <cell r="Q218">
            <v>349155.04000000004</v>
          </cell>
        </row>
        <row r="219">
          <cell r="J219" t="str">
            <v>RGREC</v>
          </cell>
          <cell r="K219" t="str">
            <v>RURAL RECY WITH GARBAGE</v>
          </cell>
          <cell r="L219">
            <v>880.44999999999993</v>
          </cell>
          <cell r="M219">
            <v>59478.195</v>
          </cell>
          <cell r="N219">
            <v>59242.324999999997</v>
          </cell>
          <cell r="O219">
            <v>59452.875</v>
          </cell>
          <cell r="P219">
            <v>58381.335000000006</v>
          </cell>
          <cell r="Q219">
            <v>178173.39499999999</v>
          </cell>
        </row>
        <row r="220">
          <cell r="J220" t="str">
            <v>RSNP</v>
          </cell>
          <cell r="K220" t="str">
            <v>NON-PAY STOP RESTART FEE</v>
          </cell>
          <cell r="L220">
            <v>770</v>
          </cell>
          <cell r="M220">
            <v>4570</v>
          </cell>
          <cell r="N220">
            <v>960</v>
          </cell>
          <cell r="O220">
            <v>4810</v>
          </cell>
          <cell r="P220">
            <v>0</v>
          </cell>
          <cell r="Q220">
            <v>10340</v>
          </cell>
        </row>
        <row r="221">
          <cell r="J221" t="str">
            <v>RUREC</v>
          </cell>
          <cell r="K221" t="str">
            <v>RURAL RECY ONLY CHARGE</v>
          </cell>
          <cell r="L221">
            <v>2.9799999999999995</v>
          </cell>
          <cell r="M221">
            <v>882.08</v>
          </cell>
          <cell r="N221">
            <v>870.14</v>
          </cell>
          <cell r="O221">
            <v>859.22500000000002</v>
          </cell>
          <cell r="P221">
            <v>853.255</v>
          </cell>
          <cell r="Q221">
            <v>2611.4450000000002</v>
          </cell>
        </row>
        <row r="222">
          <cell r="J222" t="str">
            <v>RUREC125</v>
          </cell>
          <cell r="K222" t="str">
            <v>RURAL RECY DIST OVER 125</v>
          </cell>
          <cell r="L222">
            <v>0</v>
          </cell>
          <cell r="M222">
            <v>4.25</v>
          </cell>
          <cell r="N222">
            <v>0</v>
          </cell>
          <cell r="O222">
            <v>4.22</v>
          </cell>
          <cell r="P222">
            <v>0</v>
          </cell>
          <cell r="Q222">
            <v>8.4699999999999989</v>
          </cell>
        </row>
        <row r="223">
          <cell r="J223" t="str">
            <v>RURECACC</v>
          </cell>
          <cell r="K223" t="str">
            <v>RURAL RECY ACCESS CHARGE</v>
          </cell>
          <cell r="L223">
            <v>5.22</v>
          </cell>
          <cell r="M223">
            <v>5.22</v>
          </cell>
          <cell r="N223">
            <v>5.22</v>
          </cell>
          <cell r="O223">
            <v>5.22</v>
          </cell>
          <cell r="P223">
            <v>0</v>
          </cell>
          <cell r="Q223">
            <v>15.66</v>
          </cell>
        </row>
        <row r="224">
          <cell r="J224" t="str">
            <v>RURECDRVIN</v>
          </cell>
          <cell r="K224" t="str">
            <v>RURAL RECY DRIVEIN CHARGE</v>
          </cell>
          <cell r="L224">
            <v>6.82</v>
          </cell>
          <cell r="M224">
            <v>34.1</v>
          </cell>
          <cell r="N224">
            <v>6.82</v>
          </cell>
          <cell r="O224">
            <v>33.9</v>
          </cell>
          <cell r="P224">
            <v>0</v>
          </cell>
          <cell r="Q224">
            <v>74.819999999999993</v>
          </cell>
        </row>
        <row r="225">
          <cell r="J225" t="str">
            <v>VRA32W</v>
          </cell>
          <cell r="K225" t="str">
            <v>Automated 32g Cart Wkly</v>
          </cell>
          <cell r="L225">
            <v>0</v>
          </cell>
          <cell r="M225">
            <v>13.01</v>
          </cell>
          <cell r="N225">
            <v>13.01</v>
          </cell>
          <cell r="O225">
            <v>13.01</v>
          </cell>
          <cell r="P225">
            <v>13.01</v>
          </cell>
          <cell r="Q225">
            <v>39.03</v>
          </cell>
        </row>
        <row r="226">
          <cell r="J226" t="str">
            <v>VRA64W</v>
          </cell>
          <cell r="K226" t="str">
            <v>Automated 64g Cart Wkly</v>
          </cell>
          <cell r="L226">
            <v>0</v>
          </cell>
          <cell r="M226">
            <v>18.940000000000001</v>
          </cell>
          <cell r="N226">
            <v>18.940000000000001</v>
          </cell>
          <cell r="O226">
            <v>18.940000000000001</v>
          </cell>
          <cell r="P226">
            <v>18.940000000000001</v>
          </cell>
          <cell r="Q226">
            <v>56.820000000000007</v>
          </cell>
        </row>
        <row r="227">
          <cell r="J227" t="str">
            <v>VRREC65</v>
          </cell>
          <cell r="K227" t="str">
            <v>RES RECY 65G CART-CITY</v>
          </cell>
          <cell r="L227">
            <v>-5.03</v>
          </cell>
          <cell r="M227">
            <v>0</v>
          </cell>
          <cell r="N227">
            <v>0</v>
          </cell>
          <cell r="O227">
            <v>0</v>
          </cell>
          <cell r="P227">
            <v>0</v>
          </cell>
          <cell r="Q227">
            <v>0</v>
          </cell>
        </row>
        <row r="228">
          <cell r="J228" t="str">
            <v>VYDBM</v>
          </cell>
          <cell r="K228" t="str">
            <v>YARD DEBRIS SERV-BIMTHLY</v>
          </cell>
          <cell r="L228">
            <v>0</v>
          </cell>
          <cell r="M228">
            <v>3.45</v>
          </cell>
          <cell r="N228">
            <v>0</v>
          </cell>
          <cell r="O228">
            <v>0</v>
          </cell>
          <cell r="P228">
            <v>0</v>
          </cell>
          <cell r="Q228">
            <v>3.45</v>
          </cell>
        </row>
        <row r="229">
          <cell r="J229" t="str">
            <v>YDRENT</v>
          </cell>
          <cell r="K229" t="str">
            <v>YARD CART ON CALL RENT</v>
          </cell>
          <cell r="L229">
            <v>4.37</v>
          </cell>
          <cell r="M229">
            <v>0</v>
          </cell>
          <cell r="N229">
            <v>2.76</v>
          </cell>
          <cell r="O229">
            <v>0</v>
          </cell>
          <cell r="P229">
            <v>0</v>
          </cell>
          <cell r="Q229">
            <v>2.76</v>
          </cell>
        </row>
        <row r="230">
          <cell r="J230" t="str">
            <v>YDRENT64</v>
          </cell>
          <cell r="K230" t="str">
            <v>64GAL YARD CART RENTAL</v>
          </cell>
          <cell r="L230">
            <v>-2.3999999999999995</v>
          </cell>
          <cell r="M230">
            <v>1205.42</v>
          </cell>
          <cell r="N230">
            <v>1203.5900000000001</v>
          </cell>
          <cell r="O230">
            <v>1258.1100000000001</v>
          </cell>
          <cell r="P230">
            <v>1251.21</v>
          </cell>
          <cell r="Q230">
            <v>3667.1200000000003</v>
          </cell>
        </row>
        <row r="231">
          <cell r="J231" t="str">
            <v>YDRENT96</v>
          </cell>
          <cell r="K231" t="str">
            <v>96GAL YARD CART RENTAL</v>
          </cell>
          <cell r="L231">
            <v>-61.63000000000001</v>
          </cell>
          <cell r="M231">
            <v>10151.470000000001</v>
          </cell>
          <cell r="N231">
            <v>10101.23</v>
          </cell>
          <cell r="O231">
            <v>11102.82</v>
          </cell>
          <cell r="P231">
            <v>11065.36</v>
          </cell>
          <cell r="Q231">
            <v>31355.52</v>
          </cell>
        </row>
        <row r="232">
          <cell r="L232">
            <v>-3382.5799999999995</v>
          </cell>
          <cell r="M232">
            <v>1344193.7300000004</v>
          </cell>
          <cell r="N232">
            <v>1329354.5399999998</v>
          </cell>
          <cell r="O232">
            <v>1342097.6700000004</v>
          </cell>
          <cell r="P232">
            <v>1332129.9399999997</v>
          </cell>
          <cell r="Q232">
            <v>4015645.9400000009</v>
          </cell>
        </row>
        <row r="233">
          <cell r="J233" t="str">
            <v>COFOW</v>
          </cell>
          <cell r="K233" t="str">
            <v>OVERWGHT-OVERFILL CAN</v>
          </cell>
          <cell r="L233">
            <v>27.96</v>
          </cell>
          <cell r="M233">
            <v>46.6</v>
          </cell>
          <cell r="N233">
            <v>41.940000000000005</v>
          </cell>
          <cell r="O233">
            <v>0</v>
          </cell>
          <cell r="P233">
            <v>0</v>
          </cell>
          <cell r="Q233">
            <v>88.54</v>
          </cell>
        </row>
        <row r="234">
          <cell r="J234" t="str">
            <v>CRPLACE</v>
          </cell>
          <cell r="K234" t="str">
            <v>RECY CART DELIVERY FEE</v>
          </cell>
          <cell r="L234">
            <v>50.4</v>
          </cell>
          <cell r="M234">
            <v>365.4</v>
          </cell>
          <cell r="N234">
            <v>100.8</v>
          </cell>
          <cell r="O234">
            <v>126</v>
          </cell>
          <cell r="P234">
            <v>0</v>
          </cell>
          <cell r="Q234">
            <v>592.20000000000005</v>
          </cell>
        </row>
        <row r="235">
          <cell r="J235" t="str">
            <v>CRTIME1</v>
          </cell>
          <cell r="K235" t="str">
            <v>TIME CHARGE - 1 MAN</v>
          </cell>
          <cell r="L235">
            <v>1431</v>
          </cell>
          <cell r="M235">
            <v>1502.55</v>
          </cell>
          <cell r="N235">
            <v>1429.8</v>
          </cell>
          <cell r="O235">
            <v>834.75</v>
          </cell>
          <cell r="P235">
            <v>0</v>
          </cell>
          <cell r="Q235">
            <v>3767.1</v>
          </cell>
        </row>
        <row r="236">
          <cell r="J236" t="str">
            <v>CRTIME2</v>
          </cell>
          <cell r="K236" t="str">
            <v>TIME CHARGE - 2 MAN</v>
          </cell>
          <cell r="L236">
            <v>0</v>
          </cell>
          <cell r="M236">
            <v>35.4</v>
          </cell>
          <cell r="N236">
            <v>106.2</v>
          </cell>
          <cell r="O236">
            <v>0</v>
          </cell>
          <cell r="P236">
            <v>0</v>
          </cell>
          <cell r="Q236">
            <v>141.6</v>
          </cell>
        </row>
        <row r="237">
          <cell r="J237" t="str">
            <v>ROFOW</v>
          </cell>
          <cell r="K237" t="str">
            <v>OVERWGHT-OVERFILL CAN</v>
          </cell>
          <cell r="L237">
            <v>4450.3</v>
          </cell>
          <cell r="M237">
            <v>3224.7200000000003</v>
          </cell>
          <cell r="N237">
            <v>5046.7800000000007</v>
          </cell>
          <cell r="O237">
            <v>3401.8</v>
          </cell>
          <cell r="P237">
            <v>0</v>
          </cell>
          <cell r="Q237">
            <v>11673.3</v>
          </cell>
        </row>
        <row r="238">
          <cell r="J238" t="str">
            <v>RRCALL</v>
          </cell>
          <cell r="K238" t="str">
            <v>ON CALL CAN</v>
          </cell>
          <cell r="L238">
            <v>2284.8000000000002</v>
          </cell>
          <cell r="M238">
            <v>2414.4</v>
          </cell>
          <cell r="N238">
            <v>1153.17</v>
          </cell>
          <cell r="O238">
            <v>2144.02</v>
          </cell>
          <cell r="P238">
            <v>0</v>
          </cell>
          <cell r="Q238">
            <v>5711.59</v>
          </cell>
        </row>
        <row r="239">
          <cell r="J239" t="str">
            <v>RREXC</v>
          </cell>
          <cell r="K239" t="str">
            <v>EXTRA CANS, BAGS,BOXES</v>
          </cell>
          <cell r="L239">
            <v>43699.86</v>
          </cell>
          <cell r="M239">
            <v>36043.600000000006</v>
          </cell>
          <cell r="N239">
            <v>40994.210000000006</v>
          </cell>
          <cell r="O239">
            <v>38821.049999999996</v>
          </cell>
          <cell r="P239">
            <v>0</v>
          </cell>
          <cell r="Q239">
            <v>115858.86000000002</v>
          </cell>
        </row>
        <row r="240">
          <cell r="J240" t="str">
            <v>RRTRIP</v>
          </cell>
          <cell r="K240" t="str">
            <v>TRIP CHARGE - CART/CAN</v>
          </cell>
          <cell r="L240">
            <v>31.5</v>
          </cell>
          <cell r="M240">
            <v>21</v>
          </cell>
          <cell r="N240">
            <v>42</v>
          </cell>
          <cell r="O240">
            <v>63</v>
          </cell>
          <cell r="P240">
            <v>0</v>
          </cell>
          <cell r="Q240">
            <v>126</v>
          </cell>
        </row>
        <row r="241">
          <cell r="J241" t="str">
            <v>TOTEPUR</v>
          </cell>
          <cell r="K241" t="str">
            <v>TOTER/CONT/DB PURCHASE</v>
          </cell>
          <cell r="L241">
            <v>0</v>
          </cell>
          <cell r="M241">
            <v>270</v>
          </cell>
          <cell r="N241">
            <v>143.30000000000001</v>
          </cell>
          <cell r="O241">
            <v>0</v>
          </cell>
          <cell r="P241">
            <v>0</v>
          </cell>
          <cell r="Q241">
            <v>413.3</v>
          </cell>
        </row>
        <row r="242">
          <cell r="J242" t="str">
            <v>WBCHAIR</v>
          </cell>
          <cell r="K242" t="str">
            <v>CHAIR</v>
          </cell>
          <cell r="L242">
            <v>310.89999999999998</v>
          </cell>
          <cell r="M242">
            <v>161.19999999999999</v>
          </cell>
          <cell r="N242">
            <v>64.48</v>
          </cell>
          <cell r="O242">
            <v>112.84</v>
          </cell>
          <cell r="P242">
            <v>0</v>
          </cell>
          <cell r="Q242">
            <v>338.52</v>
          </cell>
        </row>
        <row r="243">
          <cell r="J243" t="str">
            <v>WBDRYER</v>
          </cell>
          <cell r="K243" t="str">
            <v>CLOTHES DRYER</v>
          </cell>
          <cell r="L243">
            <v>11.5</v>
          </cell>
          <cell r="M243">
            <v>12.99</v>
          </cell>
          <cell r="N243">
            <v>0</v>
          </cell>
          <cell r="O243">
            <v>11.5</v>
          </cell>
          <cell r="P243">
            <v>0</v>
          </cell>
          <cell r="Q243">
            <v>24.490000000000002</v>
          </cell>
        </row>
        <row r="244">
          <cell r="J244" t="str">
            <v>WBMATT</v>
          </cell>
          <cell r="K244" t="str">
            <v>MATTRESS/BOXSPRING</v>
          </cell>
          <cell r="L244">
            <v>1033.2600000000002</v>
          </cell>
          <cell r="M244">
            <v>548.07999999999993</v>
          </cell>
          <cell r="N244">
            <v>580.32000000000005</v>
          </cell>
          <cell r="O244">
            <v>709.28</v>
          </cell>
          <cell r="P244">
            <v>0</v>
          </cell>
          <cell r="Q244">
            <v>1837.68</v>
          </cell>
        </row>
        <row r="245">
          <cell r="J245" t="str">
            <v>WBMISC</v>
          </cell>
          <cell r="K245" t="str">
            <v>BULKY ITEM CHARGE-MISC</v>
          </cell>
          <cell r="L245">
            <v>1018.3199999999999</v>
          </cell>
          <cell r="M245">
            <v>680.59999999999991</v>
          </cell>
          <cell r="N245">
            <v>902.72000000000014</v>
          </cell>
          <cell r="O245">
            <v>854.36</v>
          </cell>
          <cell r="P245">
            <v>0</v>
          </cell>
          <cell r="Q245">
            <v>2437.6800000000003</v>
          </cell>
        </row>
        <row r="246">
          <cell r="J246" t="str">
            <v>WBREFRIGE</v>
          </cell>
          <cell r="K246" t="str">
            <v>REFRIGERATOR, FREEZER</v>
          </cell>
          <cell r="L246">
            <v>184</v>
          </cell>
          <cell r="M246">
            <v>184</v>
          </cell>
          <cell r="N246">
            <v>103.5</v>
          </cell>
          <cell r="O246">
            <v>138</v>
          </cell>
          <cell r="P246">
            <v>0</v>
          </cell>
          <cell r="Q246">
            <v>425.5</v>
          </cell>
        </row>
        <row r="247">
          <cell r="J247" t="str">
            <v>WBSOFA</v>
          </cell>
          <cell r="K247" t="str">
            <v>SOFA/LOVESEAT</v>
          </cell>
          <cell r="L247">
            <v>322.87</v>
          </cell>
          <cell r="M247">
            <v>306.27999999999997</v>
          </cell>
          <cell r="N247">
            <v>290.16000000000003</v>
          </cell>
          <cell r="O247">
            <v>306.28000000000003</v>
          </cell>
          <cell r="P247">
            <v>0</v>
          </cell>
          <cell r="Q247">
            <v>902.72</v>
          </cell>
        </row>
        <row r="248">
          <cell r="J248" t="str">
            <v>WBSTOVE</v>
          </cell>
          <cell r="K248" t="str">
            <v>STOVE/RANGE</v>
          </cell>
          <cell r="L248">
            <v>0</v>
          </cell>
          <cell r="M248">
            <v>0</v>
          </cell>
          <cell r="N248">
            <v>0</v>
          </cell>
          <cell r="O248">
            <v>5.75</v>
          </cell>
          <cell r="P248">
            <v>0</v>
          </cell>
          <cell r="Q248">
            <v>5.75</v>
          </cell>
        </row>
        <row r="249">
          <cell r="J249" t="str">
            <v>WBTIME</v>
          </cell>
          <cell r="K249" t="str">
            <v>TIME CHG/MIN-BULKY ITEMS</v>
          </cell>
          <cell r="L249">
            <v>181.8</v>
          </cell>
          <cell r="M249">
            <v>90.9</v>
          </cell>
          <cell r="N249">
            <v>151.5</v>
          </cell>
          <cell r="O249">
            <v>90.9</v>
          </cell>
          <cell r="P249">
            <v>0</v>
          </cell>
          <cell r="Q249">
            <v>333.3</v>
          </cell>
        </row>
        <row r="250">
          <cell r="J250" t="str">
            <v>WBWASHER</v>
          </cell>
          <cell r="K250" t="str">
            <v>WASHING MACHINE</v>
          </cell>
          <cell r="L250">
            <v>23</v>
          </cell>
          <cell r="M250">
            <v>5.75</v>
          </cell>
          <cell r="N250">
            <v>5.75</v>
          </cell>
          <cell r="O250">
            <v>0</v>
          </cell>
          <cell r="P250">
            <v>0</v>
          </cell>
          <cell r="Q250">
            <v>11.5</v>
          </cell>
        </row>
        <row r="251">
          <cell r="J251" t="str">
            <v>WBWTRHTR</v>
          </cell>
          <cell r="K251" t="str">
            <v>WATER HEATER</v>
          </cell>
          <cell r="L251">
            <v>5.75</v>
          </cell>
          <cell r="M251">
            <v>0</v>
          </cell>
          <cell r="N251">
            <v>0</v>
          </cell>
          <cell r="O251">
            <v>5.75</v>
          </cell>
          <cell r="P251">
            <v>0</v>
          </cell>
          <cell r="Q251">
            <v>5.75</v>
          </cell>
        </row>
        <row r="252">
          <cell r="J252" t="str">
            <v>WCTIRE</v>
          </cell>
          <cell r="K252" t="str">
            <v>TIRE(S) -SMALL</v>
          </cell>
          <cell r="L252">
            <v>28.200000000000003</v>
          </cell>
          <cell r="M252">
            <v>0</v>
          </cell>
          <cell r="N252">
            <v>7.05</v>
          </cell>
          <cell r="O252">
            <v>0</v>
          </cell>
          <cell r="P252">
            <v>0</v>
          </cell>
          <cell r="Q252">
            <v>7.05</v>
          </cell>
        </row>
        <row r="253">
          <cell r="J253" t="str">
            <v>WTTIRE</v>
          </cell>
          <cell r="K253" t="str">
            <v>TIRE(S) - LARGE</v>
          </cell>
          <cell r="L253">
            <v>9.3800000000000008</v>
          </cell>
          <cell r="M253">
            <v>0</v>
          </cell>
          <cell r="N253">
            <v>0</v>
          </cell>
          <cell r="O253">
            <v>0</v>
          </cell>
          <cell r="P253">
            <v>0</v>
          </cell>
          <cell r="Q253">
            <v>0</v>
          </cell>
        </row>
        <row r="254">
          <cell r="J254" t="str">
            <v>YDOC</v>
          </cell>
          <cell r="K254" t="str">
            <v>YARD DEBRIS ON CALL P/U</v>
          </cell>
          <cell r="L254">
            <v>17178.5</v>
          </cell>
          <cell r="M254">
            <v>13906.26</v>
          </cell>
          <cell r="N254">
            <v>15380.089999999998</v>
          </cell>
          <cell r="O254">
            <v>5517.5399999999991</v>
          </cell>
          <cell r="P254">
            <v>0</v>
          </cell>
          <cell r="Q254">
            <v>34803.89</v>
          </cell>
        </row>
        <row r="255">
          <cell r="J255" t="str">
            <v>YDPLACE</v>
          </cell>
          <cell r="K255" t="str">
            <v>YARD CART DELIVERY FEE</v>
          </cell>
          <cell r="L255">
            <v>22.520000000000003</v>
          </cell>
          <cell r="M255">
            <v>56.3</v>
          </cell>
          <cell r="N255">
            <v>33.78</v>
          </cell>
          <cell r="O255">
            <v>11.26</v>
          </cell>
          <cell r="P255">
            <v>0</v>
          </cell>
          <cell r="Q255">
            <v>101.34</v>
          </cell>
        </row>
        <row r="256">
          <cell r="J256" t="str">
            <v>YDRESTART</v>
          </cell>
          <cell r="K256" t="str">
            <v>YARD DEBRIS RESTART FEE</v>
          </cell>
          <cell r="L256">
            <v>8.1999999999999993</v>
          </cell>
          <cell r="M256">
            <v>16.399999999999999</v>
          </cell>
          <cell r="N256">
            <v>8.1999999999999993</v>
          </cell>
          <cell r="O256">
            <v>0</v>
          </cell>
          <cell r="P256">
            <v>0</v>
          </cell>
          <cell r="Q256">
            <v>24.599999999999998</v>
          </cell>
        </row>
        <row r="257">
          <cell r="J257" t="str">
            <v>YDX</v>
          </cell>
          <cell r="K257" t="str">
            <v>EXTRA YARD DEBRIS</v>
          </cell>
          <cell r="L257">
            <v>2244</v>
          </cell>
          <cell r="M257">
            <v>2038.08</v>
          </cell>
          <cell r="N257">
            <v>4942.08</v>
          </cell>
          <cell r="O257">
            <v>1013.7600000000001</v>
          </cell>
          <cell r="P257">
            <v>0</v>
          </cell>
          <cell r="Q257">
            <v>7993.92</v>
          </cell>
        </row>
        <row r="258">
          <cell r="L258">
            <v>74558.02</v>
          </cell>
          <cell r="M258">
            <v>61930.510000000009</v>
          </cell>
          <cell r="N258">
            <v>71527.830000000016</v>
          </cell>
          <cell r="O258">
            <v>54167.839999999997</v>
          </cell>
          <cell r="P258">
            <v>0</v>
          </cell>
          <cell r="Q258">
            <v>187626.18000000002</v>
          </cell>
        </row>
        <row r="259">
          <cell r="J259" t="str">
            <v>CDEM15</v>
          </cell>
          <cell r="K259" t="str">
            <v>15YD DROPBOX RENTAL</v>
          </cell>
          <cell r="L259">
            <v>60.3</v>
          </cell>
          <cell r="M259">
            <v>60.3</v>
          </cell>
          <cell r="N259">
            <v>60.3</v>
          </cell>
          <cell r="O259">
            <v>106.53</v>
          </cell>
          <cell r="P259">
            <v>0</v>
          </cell>
          <cell r="Q259">
            <v>227.13</v>
          </cell>
        </row>
        <row r="260">
          <cell r="J260" t="str">
            <v>CDEM20</v>
          </cell>
          <cell r="K260" t="str">
            <v>20YD DROPBOX RENTAL</v>
          </cell>
          <cell r="L260">
            <v>1537.65</v>
          </cell>
          <cell r="M260">
            <v>1567.8000000000002</v>
          </cell>
          <cell r="N260">
            <v>1567.8</v>
          </cell>
          <cell r="O260">
            <v>1567.8</v>
          </cell>
          <cell r="P260">
            <v>0</v>
          </cell>
          <cell r="Q260">
            <v>4703.4000000000005</v>
          </cell>
        </row>
        <row r="261">
          <cell r="J261" t="str">
            <v>CDEM30</v>
          </cell>
          <cell r="K261" t="str">
            <v>30YD DROPBOX RENTAL</v>
          </cell>
          <cell r="L261">
            <v>1630.1100000000001</v>
          </cell>
          <cell r="M261">
            <v>1688.4</v>
          </cell>
          <cell r="N261">
            <v>1688.3999999999999</v>
          </cell>
          <cell r="O261">
            <v>1692.4199999999998</v>
          </cell>
          <cell r="P261">
            <v>0</v>
          </cell>
          <cell r="Q261">
            <v>5069.22</v>
          </cell>
        </row>
        <row r="262">
          <cell r="J262" t="str">
            <v>CDEM40</v>
          </cell>
          <cell r="K262" t="str">
            <v>40YD DROPBOX RENTAL</v>
          </cell>
          <cell r="L262">
            <v>1163.79</v>
          </cell>
          <cell r="M262">
            <v>1242.1799999999998</v>
          </cell>
          <cell r="N262">
            <v>1326.6</v>
          </cell>
          <cell r="O262">
            <v>1278.3599999999999</v>
          </cell>
          <cell r="P262">
            <v>0</v>
          </cell>
          <cell r="Q262">
            <v>3847.1399999999994</v>
          </cell>
        </row>
        <row r="263">
          <cell r="J263" t="str">
            <v>CER15YD</v>
          </cell>
          <cell r="K263" t="str">
            <v>EMPTY &amp; RETURN 15YD</v>
          </cell>
          <cell r="L263">
            <v>104.26</v>
          </cell>
          <cell r="M263">
            <v>104.26</v>
          </cell>
          <cell r="N263">
            <v>104.26</v>
          </cell>
          <cell r="O263">
            <v>312.78000000000003</v>
          </cell>
          <cell r="P263">
            <v>0</v>
          </cell>
          <cell r="Q263">
            <v>521.30000000000007</v>
          </cell>
        </row>
        <row r="264">
          <cell r="J264" t="str">
            <v>CER20YD</v>
          </cell>
          <cell r="K264" t="str">
            <v>EMPTY &amp; RETURN 20YD</v>
          </cell>
          <cell r="L264">
            <v>4483.18</v>
          </cell>
          <cell r="M264">
            <v>4378.92</v>
          </cell>
          <cell r="N264">
            <v>3857.62</v>
          </cell>
          <cell r="O264">
            <v>3440.58</v>
          </cell>
          <cell r="P264">
            <v>0</v>
          </cell>
          <cell r="Q264">
            <v>11677.12</v>
          </cell>
        </row>
        <row r="265">
          <cell r="J265" t="str">
            <v>CER30YD</v>
          </cell>
          <cell r="K265" t="str">
            <v>EMPTY &amp; RETURN 30YD</v>
          </cell>
          <cell r="L265">
            <v>4561.2</v>
          </cell>
          <cell r="M265">
            <v>5321.4</v>
          </cell>
          <cell r="N265">
            <v>5212.7999999999993</v>
          </cell>
          <cell r="O265">
            <v>4887</v>
          </cell>
          <cell r="P265">
            <v>0</v>
          </cell>
          <cell r="Q265">
            <v>15421.199999999999</v>
          </cell>
        </row>
        <row r="266">
          <cell r="J266" t="str">
            <v>CER40YD</v>
          </cell>
          <cell r="K266" t="str">
            <v>EMPTY &amp; RETURN 40YD</v>
          </cell>
          <cell r="L266">
            <v>2063.4</v>
          </cell>
          <cell r="M266">
            <v>1954.8</v>
          </cell>
          <cell r="N266">
            <v>2823.6000000000004</v>
          </cell>
          <cell r="O266">
            <v>2389.1999999999998</v>
          </cell>
          <cell r="P266">
            <v>0</v>
          </cell>
          <cell r="Q266">
            <v>7167.6</v>
          </cell>
        </row>
        <row r="267">
          <cell r="J267" t="str">
            <v>CLIDCHG</v>
          </cell>
          <cell r="K267" t="str">
            <v>LID CHARGE - DROPBOX</v>
          </cell>
          <cell r="L267">
            <v>782.4</v>
          </cell>
          <cell r="M267">
            <v>782.4</v>
          </cell>
          <cell r="N267">
            <v>805.21999999999991</v>
          </cell>
          <cell r="O267">
            <v>859.55</v>
          </cell>
          <cell r="P267">
            <v>0</v>
          </cell>
          <cell r="Q267">
            <v>2447.17</v>
          </cell>
        </row>
        <row r="268">
          <cell r="J268" t="str">
            <v>CPLACE</v>
          </cell>
          <cell r="K268" t="str">
            <v>DROPBOX DELIVERY FEE</v>
          </cell>
          <cell r="L268">
            <v>9712.5</v>
          </cell>
          <cell r="M268">
            <v>6604.5</v>
          </cell>
          <cell r="N268">
            <v>6549</v>
          </cell>
          <cell r="O268">
            <v>3552</v>
          </cell>
          <cell r="P268">
            <v>0</v>
          </cell>
          <cell r="Q268">
            <v>16705.5</v>
          </cell>
        </row>
        <row r="269">
          <cell r="J269" t="str">
            <v>CRV30YD</v>
          </cell>
          <cell r="K269" t="str">
            <v>REMOVE 30YD</v>
          </cell>
          <cell r="L269">
            <v>217.2</v>
          </cell>
          <cell r="M269">
            <v>0</v>
          </cell>
          <cell r="N269">
            <v>0</v>
          </cell>
          <cell r="O269">
            <v>0</v>
          </cell>
          <cell r="P269">
            <v>0</v>
          </cell>
          <cell r="Q269">
            <v>0</v>
          </cell>
        </row>
        <row r="270">
          <cell r="J270" t="str">
            <v>CRV40YD</v>
          </cell>
          <cell r="K270" t="str">
            <v>REMOVE 40YD</v>
          </cell>
          <cell r="L270">
            <v>0</v>
          </cell>
          <cell r="M270">
            <v>0</v>
          </cell>
          <cell r="N270">
            <v>0</v>
          </cell>
          <cell r="O270">
            <v>108.6</v>
          </cell>
          <cell r="P270">
            <v>0</v>
          </cell>
          <cell r="Q270">
            <v>108.6</v>
          </cell>
        </row>
        <row r="271">
          <cell r="J271" t="str">
            <v>CTDEM15</v>
          </cell>
          <cell r="K271" t="str">
            <v>15YD TEMP DROPBOX RENT</v>
          </cell>
          <cell r="L271">
            <v>88.44</v>
          </cell>
          <cell r="M271">
            <v>18.09</v>
          </cell>
          <cell r="N271">
            <v>0</v>
          </cell>
          <cell r="O271">
            <v>98.49</v>
          </cell>
          <cell r="P271">
            <v>0</v>
          </cell>
          <cell r="Q271">
            <v>116.58</v>
          </cell>
        </row>
        <row r="272">
          <cell r="J272" t="str">
            <v>CTDEM20</v>
          </cell>
          <cell r="K272" t="str">
            <v>20YD TEMP DROPBOX RENT</v>
          </cell>
          <cell r="L272">
            <v>4259.1900000000005</v>
          </cell>
          <cell r="M272">
            <v>4249.1400000000003</v>
          </cell>
          <cell r="N272">
            <v>3706.4399999999996</v>
          </cell>
          <cell r="O272">
            <v>2892.3900000000003</v>
          </cell>
          <cell r="P272">
            <v>0</v>
          </cell>
          <cell r="Q272">
            <v>10847.970000000001</v>
          </cell>
        </row>
        <row r="273">
          <cell r="J273" t="str">
            <v>CTDEM30</v>
          </cell>
          <cell r="K273" t="str">
            <v>30YD TEMP DROPBOX RENT</v>
          </cell>
          <cell r="L273">
            <v>4130.55</v>
          </cell>
          <cell r="M273">
            <v>4011.96</v>
          </cell>
          <cell r="N273">
            <v>3819.0000000000005</v>
          </cell>
          <cell r="O273">
            <v>3577.6699999999996</v>
          </cell>
          <cell r="P273">
            <v>0</v>
          </cell>
          <cell r="Q273">
            <v>11408.630000000001</v>
          </cell>
        </row>
        <row r="274">
          <cell r="J274" t="str">
            <v>CTDEM40</v>
          </cell>
          <cell r="K274" t="str">
            <v>40YD TEMP DROPBOX RENT</v>
          </cell>
          <cell r="L274">
            <v>4331.5499999999993</v>
          </cell>
          <cell r="M274">
            <v>3862.51</v>
          </cell>
          <cell r="N274">
            <v>3025.0499999999997</v>
          </cell>
          <cell r="O274">
            <v>3507.32</v>
          </cell>
          <cell r="P274">
            <v>0</v>
          </cell>
          <cell r="Q274">
            <v>10394.879999999999</v>
          </cell>
        </row>
        <row r="275">
          <cell r="J275" t="str">
            <v>CTER20YD</v>
          </cell>
          <cell r="K275" t="str">
            <v>EMPTY &amp; RETURN TEMP 20YD</v>
          </cell>
          <cell r="L275">
            <v>4900.22</v>
          </cell>
          <cell r="M275">
            <v>3753.36</v>
          </cell>
          <cell r="N275">
            <v>3961.88</v>
          </cell>
          <cell r="O275">
            <v>3232.0600000000004</v>
          </cell>
          <cell r="P275">
            <v>0</v>
          </cell>
          <cell r="Q275">
            <v>10947.3</v>
          </cell>
        </row>
        <row r="276">
          <cell r="J276" t="str">
            <v>CTER30YD</v>
          </cell>
          <cell r="K276" t="str">
            <v>EMPTY &amp; RETURN TEMP 30YD</v>
          </cell>
          <cell r="L276">
            <v>7602</v>
          </cell>
          <cell r="M276">
            <v>5647.2000000000007</v>
          </cell>
          <cell r="N276">
            <v>4561.2000000000007</v>
          </cell>
          <cell r="O276">
            <v>1411.8</v>
          </cell>
          <cell r="P276">
            <v>0</v>
          </cell>
          <cell r="Q276">
            <v>11620.2</v>
          </cell>
        </row>
        <row r="277">
          <cell r="J277" t="str">
            <v>CTER40YD</v>
          </cell>
          <cell r="K277" t="str">
            <v>EMPTY &amp; RETURN TEMP 40YD</v>
          </cell>
          <cell r="L277">
            <v>8688</v>
          </cell>
          <cell r="M277">
            <v>8036.4000000000005</v>
          </cell>
          <cell r="N277">
            <v>6298.7999999999993</v>
          </cell>
          <cell r="O277">
            <v>5864.4</v>
          </cell>
          <cell r="P277">
            <v>0</v>
          </cell>
          <cell r="Q277">
            <v>20199.599999999999</v>
          </cell>
        </row>
        <row r="278">
          <cell r="J278" t="str">
            <v>CTLIDCHG</v>
          </cell>
          <cell r="K278" t="str">
            <v>TEMP DROPBOX-LID CHARGE</v>
          </cell>
          <cell r="L278">
            <v>316.23</v>
          </cell>
          <cell r="M278">
            <v>423.8</v>
          </cell>
          <cell r="N278">
            <v>412.94</v>
          </cell>
          <cell r="O278">
            <v>346.65000000000003</v>
          </cell>
          <cell r="P278">
            <v>0</v>
          </cell>
          <cell r="Q278">
            <v>1183.3900000000001</v>
          </cell>
        </row>
        <row r="279">
          <cell r="J279" t="str">
            <v>CTRV15YD</v>
          </cell>
          <cell r="K279" t="str">
            <v>REMOVE TEMP 15YD</v>
          </cell>
          <cell r="L279">
            <v>104.26</v>
          </cell>
          <cell r="M279">
            <v>312.77999999999997</v>
          </cell>
          <cell r="N279">
            <v>104.26</v>
          </cell>
          <cell r="O279">
            <v>0</v>
          </cell>
          <cell r="P279">
            <v>0</v>
          </cell>
          <cell r="Q279">
            <v>417.03999999999996</v>
          </cell>
        </row>
        <row r="280">
          <cell r="J280" t="str">
            <v>CTRV20YD</v>
          </cell>
          <cell r="K280" t="str">
            <v>REMOVE TEMP 20YD</v>
          </cell>
          <cell r="L280">
            <v>8132.2800000000007</v>
          </cell>
          <cell r="M280">
            <v>5942.82</v>
          </cell>
          <cell r="N280">
            <v>5942.8200000000006</v>
          </cell>
          <cell r="O280">
            <v>4170.3999999999996</v>
          </cell>
          <cell r="P280">
            <v>0</v>
          </cell>
          <cell r="Q280">
            <v>16056.039999999999</v>
          </cell>
        </row>
        <row r="281">
          <cell r="J281" t="str">
            <v>CTRV30YD</v>
          </cell>
          <cell r="K281" t="str">
            <v>REMOVE TEMP 30YD</v>
          </cell>
          <cell r="L281">
            <v>5321.4</v>
          </cell>
          <cell r="M281">
            <v>5538.6</v>
          </cell>
          <cell r="N281">
            <v>5538.6</v>
          </cell>
          <cell r="O281">
            <v>2932.2</v>
          </cell>
          <cell r="P281">
            <v>0</v>
          </cell>
          <cell r="Q281">
            <v>14009.400000000001</v>
          </cell>
        </row>
        <row r="282">
          <cell r="J282" t="str">
            <v>CTRV40YD</v>
          </cell>
          <cell r="K282" t="str">
            <v>REMOVE TEMP 40YD</v>
          </cell>
          <cell r="L282">
            <v>5212.8</v>
          </cell>
          <cell r="M282">
            <v>4018.2</v>
          </cell>
          <cell r="N282">
            <v>2715</v>
          </cell>
          <cell r="O282">
            <v>3040.7999999999997</v>
          </cell>
          <cell r="P282">
            <v>0</v>
          </cell>
          <cell r="Q282">
            <v>9774</v>
          </cell>
        </row>
        <row r="283">
          <cell r="J283" t="str">
            <v>DBTRIP</v>
          </cell>
          <cell r="K283" t="str">
            <v>TRIP CHARGE - ROLLOFF</v>
          </cell>
          <cell r="L283">
            <v>3455.6</v>
          </cell>
          <cell r="M283">
            <v>2151.6</v>
          </cell>
          <cell r="N283">
            <v>2966.6</v>
          </cell>
          <cell r="O283">
            <v>2282</v>
          </cell>
          <cell r="P283">
            <v>0</v>
          </cell>
          <cell r="Q283">
            <v>7400.2</v>
          </cell>
        </row>
        <row r="284">
          <cell r="J284" t="str">
            <v>DISP</v>
          </cell>
          <cell r="K284" t="str">
            <v>DISPOSAL CHARGE</v>
          </cell>
          <cell r="L284">
            <v>176264.72999999998</v>
          </cell>
          <cell r="M284">
            <v>176812.63</v>
          </cell>
          <cell r="N284">
            <v>160569.65999999997</v>
          </cell>
          <cell r="O284">
            <v>137707.80999999997</v>
          </cell>
          <cell r="P284">
            <v>0</v>
          </cell>
          <cell r="Q284">
            <v>475090.1</v>
          </cell>
        </row>
        <row r="285">
          <cell r="J285" t="str">
            <v>DRDEM40</v>
          </cell>
          <cell r="K285" t="str">
            <v>40YD RECYCLING DB RENTAL</v>
          </cell>
          <cell r="L285">
            <v>61.04</v>
          </cell>
          <cell r="M285">
            <v>61.04</v>
          </cell>
          <cell r="N285">
            <v>61.04</v>
          </cell>
          <cell r="O285">
            <v>61.04</v>
          </cell>
          <cell r="P285">
            <v>0</v>
          </cell>
          <cell r="Q285">
            <v>183.12</v>
          </cell>
        </row>
        <row r="286">
          <cell r="J286" t="str">
            <v>DRHAUL15</v>
          </cell>
          <cell r="K286" t="str">
            <v>RECYCLING HAUL 15YD BOX</v>
          </cell>
          <cell r="L286">
            <v>1575.9</v>
          </cell>
          <cell r="M286">
            <v>2206.2600000000002</v>
          </cell>
          <cell r="N286">
            <v>1260.72</v>
          </cell>
          <cell r="O286">
            <v>2048.67</v>
          </cell>
          <cell r="P286">
            <v>0</v>
          </cell>
          <cell r="Q286">
            <v>5515.6500000000005</v>
          </cell>
        </row>
        <row r="287">
          <cell r="J287" t="str">
            <v>DRHAUL20</v>
          </cell>
          <cell r="K287" t="str">
            <v>RECYCLING HAUL 20YD BOX</v>
          </cell>
          <cell r="L287">
            <v>5042.2299999999996</v>
          </cell>
          <cell r="M287">
            <v>3310.27</v>
          </cell>
          <cell r="N287">
            <v>2364.73</v>
          </cell>
          <cell r="O287">
            <v>1416.78</v>
          </cell>
          <cell r="P287">
            <v>0</v>
          </cell>
          <cell r="Q287">
            <v>7091.78</v>
          </cell>
        </row>
        <row r="288">
          <cell r="J288" t="str">
            <v>DRHAUL30</v>
          </cell>
          <cell r="K288" t="str">
            <v>RECYCLING HAUL 30YD BOX</v>
          </cell>
          <cell r="L288">
            <v>4580.8999999999996</v>
          </cell>
          <cell r="M288">
            <v>4454.6499999999996</v>
          </cell>
          <cell r="N288">
            <v>3624.5699999999997</v>
          </cell>
          <cell r="O288">
            <v>5321.7099999999991</v>
          </cell>
          <cell r="P288">
            <v>0</v>
          </cell>
          <cell r="Q288">
            <v>13400.929999999998</v>
          </cell>
        </row>
        <row r="289">
          <cell r="J289" t="str">
            <v>DRHAUL40</v>
          </cell>
          <cell r="K289" t="str">
            <v>RECYCLING HAUL 40YD BOX</v>
          </cell>
          <cell r="L289">
            <v>6642.34</v>
          </cell>
          <cell r="M289">
            <v>5481.26</v>
          </cell>
          <cell r="N289">
            <v>6744.39</v>
          </cell>
          <cell r="O289">
            <v>4215.72</v>
          </cell>
          <cell r="P289">
            <v>0</v>
          </cell>
          <cell r="Q289">
            <v>16441.370000000003</v>
          </cell>
        </row>
        <row r="290">
          <cell r="J290" t="str">
            <v>DWSAN20</v>
          </cell>
          <cell r="K290" t="str">
            <v>WASH &amp; SANITIZE DB 20YD</v>
          </cell>
          <cell r="L290">
            <v>133.4</v>
          </cell>
          <cell r="M290">
            <v>0</v>
          </cell>
          <cell r="N290">
            <v>0</v>
          </cell>
          <cell r="O290">
            <v>0</v>
          </cell>
          <cell r="P290">
            <v>0</v>
          </cell>
          <cell r="Q290">
            <v>0</v>
          </cell>
        </row>
        <row r="291">
          <cell r="J291" t="str">
            <v>FEE</v>
          </cell>
          <cell r="K291" t="str">
            <v>TRANSACTION FEE</v>
          </cell>
          <cell r="L291">
            <v>6530</v>
          </cell>
          <cell r="M291">
            <v>5820</v>
          </cell>
          <cell r="N291">
            <v>5510</v>
          </cell>
          <cell r="O291">
            <v>4650</v>
          </cell>
          <cell r="P291">
            <v>0</v>
          </cell>
          <cell r="Q291">
            <v>15980</v>
          </cell>
        </row>
        <row r="292">
          <cell r="J292" t="str">
            <v>FOOD</v>
          </cell>
          <cell r="K292" t="str">
            <v>COMPOST DISPOSAL</v>
          </cell>
          <cell r="L292">
            <v>673.05</v>
          </cell>
          <cell r="M292">
            <v>532.84</v>
          </cell>
          <cell r="N292">
            <v>474.88</v>
          </cell>
          <cell r="O292">
            <v>568.98</v>
          </cell>
          <cell r="P292">
            <v>0</v>
          </cell>
          <cell r="Q292">
            <v>1576.7</v>
          </cell>
        </row>
        <row r="293">
          <cell r="J293" t="str">
            <v>HAULWD/YD</v>
          </cell>
          <cell r="K293" t="str">
            <v>HAUL FEE WOOD-YD DEBRIS</v>
          </cell>
          <cell r="L293">
            <v>157.59</v>
          </cell>
          <cell r="M293">
            <v>157.59</v>
          </cell>
          <cell r="N293">
            <v>157.59</v>
          </cell>
          <cell r="O293">
            <v>0</v>
          </cell>
          <cell r="P293">
            <v>0</v>
          </cell>
          <cell r="Q293">
            <v>315.18</v>
          </cell>
        </row>
        <row r="294">
          <cell r="J294" t="str">
            <v>MILE</v>
          </cell>
          <cell r="K294" t="str">
            <v>MILEAGE CHARGE-BEYOND 10</v>
          </cell>
          <cell r="L294">
            <v>1590.63</v>
          </cell>
          <cell r="M294">
            <v>1913.7</v>
          </cell>
          <cell r="N294">
            <v>1637.76</v>
          </cell>
          <cell r="O294">
            <v>1102.3</v>
          </cell>
          <cell r="P294">
            <v>0</v>
          </cell>
          <cell r="Q294">
            <v>4653.76</v>
          </cell>
        </row>
        <row r="295">
          <cell r="J295" t="str">
            <v>PTON</v>
          </cell>
          <cell r="K295" t="str">
            <v>RECYCLING DISPOSAL</v>
          </cell>
          <cell r="L295">
            <v>13682.119999999999</v>
          </cell>
          <cell r="M295">
            <v>12211.2</v>
          </cell>
          <cell r="N295">
            <v>11241.43</v>
          </cell>
          <cell r="O295">
            <v>8965.66</v>
          </cell>
          <cell r="P295">
            <v>0</v>
          </cell>
          <cell r="Q295">
            <v>32418.29</v>
          </cell>
        </row>
        <row r="296">
          <cell r="J296" t="str">
            <v>PTRAN</v>
          </cell>
          <cell r="K296" t="str">
            <v>RECY/FW TRANSACTION FEE</v>
          </cell>
          <cell r="L296">
            <v>90</v>
          </cell>
          <cell r="M296">
            <v>140</v>
          </cell>
          <cell r="N296">
            <v>40</v>
          </cell>
          <cell r="O296">
            <v>200</v>
          </cell>
          <cell r="P296">
            <v>0</v>
          </cell>
          <cell r="Q296">
            <v>380</v>
          </cell>
        </row>
        <row r="297">
          <cell r="J297" t="str">
            <v>TARP</v>
          </cell>
          <cell r="K297" t="str">
            <v>TARP FEE</v>
          </cell>
          <cell r="L297">
            <v>3717</v>
          </cell>
          <cell r="M297">
            <v>3159</v>
          </cell>
          <cell r="N297">
            <v>2898</v>
          </cell>
          <cell r="O297">
            <v>2133</v>
          </cell>
          <cell r="P297">
            <v>0</v>
          </cell>
          <cell r="Q297">
            <v>8190</v>
          </cell>
        </row>
        <row r="298">
          <cell r="J298" t="str">
            <v>VDEM20</v>
          </cell>
          <cell r="K298" t="str">
            <v>20YD DROPBOX RENTAL</v>
          </cell>
          <cell r="L298">
            <v>0</v>
          </cell>
          <cell r="M298">
            <v>0</v>
          </cell>
          <cell r="N298">
            <v>0</v>
          </cell>
          <cell r="O298">
            <v>4.0199999999999996</v>
          </cell>
          <cell r="P298">
            <v>0</v>
          </cell>
          <cell r="Q298">
            <v>4.0199999999999996</v>
          </cell>
        </row>
        <row r="299">
          <cell r="J299" t="str">
            <v>VDEM40</v>
          </cell>
          <cell r="K299" t="str">
            <v>40YD DROPBOX RENTAL</v>
          </cell>
          <cell r="L299">
            <v>0</v>
          </cell>
          <cell r="M299">
            <v>0</v>
          </cell>
          <cell r="N299">
            <v>0</v>
          </cell>
          <cell r="O299">
            <v>12.06</v>
          </cell>
          <cell r="P299">
            <v>0</v>
          </cell>
          <cell r="Q299">
            <v>12.06</v>
          </cell>
        </row>
        <row r="300">
          <cell r="J300" t="str">
            <v>VDTIME</v>
          </cell>
          <cell r="K300" t="str">
            <v>TIME CHARGE - DROPBOX</v>
          </cell>
          <cell r="L300">
            <v>143.10000000000002</v>
          </cell>
          <cell r="M300">
            <v>166.95000000000002</v>
          </cell>
          <cell r="N300">
            <v>453.15</v>
          </cell>
          <cell r="O300">
            <v>238.5</v>
          </cell>
          <cell r="P300">
            <v>0</v>
          </cell>
          <cell r="Q300">
            <v>858.6</v>
          </cell>
        </row>
        <row r="301">
          <cell r="J301" t="str">
            <v>VHAUL20</v>
          </cell>
          <cell r="K301" t="str">
            <v>HAUL FEE 20YD DROPBOX</v>
          </cell>
          <cell r="L301">
            <v>0</v>
          </cell>
          <cell r="M301">
            <v>0</v>
          </cell>
          <cell r="N301">
            <v>125.27</v>
          </cell>
          <cell r="O301">
            <v>0</v>
          </cell>
          <cell r="P301">
            <v>0</v>
          </cell>
          <cell r="Q301">
            <v>125.27</v>
          </cell>
        </row>
        <row r="302">
          <cell r="J302" t="str">
            <v>VPLACE</v>
          </cell>
          <cell r="K302" t="str">
            <v>DROPBOX DELIVERY FEE</v>
          </cell>
          <cell r="L302">
            <v>0</v>
          </cell>
          <cell r="M302">
            <v>0</v>
          </cell>
          <cell r="N302">
            <v>55.5</v>
          </cell>
          <cell r="O302">
            <v>0</v>
          </cell>
          <cell r="P302">
            <v>0</v>
          </cell>
          <cell r="Q302">
            <v>55.5</v>
          </cell>
        </row>
        <row r="303">
          <cell r="L303">
            <v>303742.54000000004</v>
          </cell>
          <cell r="M303">
            <v>288098.81000000011</v>
          </cell>
          <cell r="N303">
            <v>264266.88000000006</v>
          </cell>
          <cell r="O303">
            <v>222197.24999999997</v>
          </cell>
          <cell r="P303">
            <v>0</v>
          </cell>
          <cell r="Q303">
            <v>774562.94000000018</v>
          </cell>
        </row>
        <row r="311">
          <cell r="O311" t="str">
            <v>ADJ</v>
          </cell>
          <cell r="P311" t="str">
            <v>ADJUST BALANCE</v>
          </cell>
          <cell r="Q311">
            <v>-0.37</v>
          </cell>
          <cell r="R311">
            <v>-414.02000000000004</v>
          </cell>
          <cell r="S311">
            <v>-14.129999999999999</v>
          </cell>
          <cell r="T311">
            <v>-13.13</v>
          </cell>
          <cell r="U311">
            <v>-0.28000000000000003</v>
          </cell>
          <cell r="V311">
            <v>-108.35</v>
          </cell>
          <cell r="W311">
            <v>0</v>
          </cell>
          <cell r="X311">
            <v>-32.83</v>
          </cell>
          <cell r="Y311">
            <v>-1</v>
          </cell>
          <cell r="Z311">
            <v>0.31</v>
          </cell>
          <cell r="AA311">
            <v>0</v>
          </cell>
          <cell r="AB311">
            <v>-583.43000000000006</v>
          </cell>
        </row>
        <row r="312">
          <cell r="O312" t="str">
            <v>DAMAGE</v>
          </cell>
          <cell r="P312" t="str">
            <v>PROPERTY DAMAGE</v>
          </cell>
          <cell r="Q312">
            <v>0</v>
          </cell>
          <cell r="R312">
            <v>0</v>
          </cell>
          <cell r="S312">
            <v>0</v>
          </cell>
          <cell r="T312">
            <v>0</v>
          </cell>
          <cell r="U312">
            <v>0</v>
          </cell>
          <cell r="V312">
            <v>0</v>
          </cell>
          <cell r="W312">
            <v>-758</v>
          </cell>
          <cell r="X312">
            <v>0</v>
          </cell>
          <cell r="Y312">
            <v>0</v>
          </cell>
          <cell r="Z312">
            <v>0</v>
          </cell>
          <cell r="AA312">
            <v>0</v>
          </cell>
          <cell r="AB312">
            <v>-758</v>
          </cell>
        </row>
        <row r="313">
          <cell r="O313" t="str">
            <v>GWC</v>
          </cell>
          <cell r="P313" t="str">
            <v>GOODWILL CREDIT</v>
          </cell>
          <cell r="Q313">
            <v>-525.57999999999993</v>
          </cell>
          <cell r="R313">
            <v>-337.96</v>
          </cell>
          <cell r="S313">
            <v>-240</v>
          </cell>
          <cell r="T313">
            <v>-1546.5500000000002</v>
          </cell>
          <cell r="U313">
            <v>-438.88</v>
          </cell>
          <cell r="V313">
            <v>-420</v>
          </cell>
          <cell r="W313">
            <v>-240</v>
          </cell>
          <cell r="X313">
            <v>-221.74</v>
          </cell>
          <cell r="Y313">
            <v>-1010.8100000000001</v>
          </cell>
          <cell r="Z313">
            <v>-1027.1100000000001</v>
          </cell>
          <cell r="AA313">
            <v>0</v>
          </cell>
          <cell r="AB313">
            <v>-5483.0500000000011</v>
          </cell>
        </row>
        <row r="314">
          <cell r="O314" t="str">
            <v>MM</v>
          </cell>
          <cell r="P314" t="str">
            <v>TRANSFER PAYMENT</v>
          </cell>
          <cell r="Q314">
            <v>273.3</v>
          </cell>
          <cell r="R314">
            <v>1025.8400000000001</v>
          </cell>
          <cell r="S314">
            <v>-24.310000000000002</v>
          </cell>
          <cell r="T314">
            <v>2184.31</v>
          </cell>
          <cell r="U314">
            <v>572.86999999999978</v>
          </cell>
          <cell r="V314">
            <v>-1269.6300000000001</v>
          </cell>
          <cell r="W314">
            <v>208.08999999999997</v>
          </cell>
          <cell r="X314">
            <v>778.34</v>
          </cell>
          <cell r="Y314">
            <v>-1197.1299999999999</v>
          </cell>
          <cell r="Z314">
            <v>-2704.28</v>
          </cell>
          <cell r="AA314">
            <v>0</v>
          </cell>
          <cell r="AB314">
            <v>-425.90000000000009</v>
          </cell>
        </row>
        <row r="315">
          <cell r="O315" t="str">
            <v>RETCKC</v>
          </cell>
          <cell r="P315" t="str">
            <v>RETURNED CHECK CHARGE</v>
          </cell>
          <cell r="Q315">
            <v>100</v>
          </cell>
          <cell r="R315">
            <v>50</v>
          </cell>
          <cell r="S315">
            <v>25</v>
          </cell>
          <cell r="T315">
            <v>125</v>
          </cell>
          <cell r="U315">
            <v>50</v>
          </cell>
          <cell r="V315">
            <v>75</v>
          </cell>
          <cell r="W315">
            <v>125</v>
          </cell>
          <cell r="X315">
            <v>75</v>
          </cell>
          <cell r="Y315">
            <v>25</v>
          </cell>
          <cell r="Z315">
            <v>50</v>
          </cell>
          <cell r="AA315">
            <v>0</v>
          </cell>
          <cell r="AB315">
            <v>600</v>
          </cell>
        </row>
        <row r="316">
          <cell r="Q316">
            <v>-152.64999999999992</v>
          </cell>
          <cell r="R316">
            <v>323.86000000000013</v>
          </cell>
          <cell r="S316">
            <v>-253.44</v>
          </cell>
          <cell r="T316">
            <v>749.62999999999965</v>
          </cell>
          <cell r="U316">
            <v>183.70999999999981</v>
          </cell>
          <cell r="V316">
            <v>-1722.98</v>
          </cell>
          <cell r="W316">
            <v>-664.91000000000008</v>
          </cell>
          <cell r="X316">
            <v>598.77</v>
          </cell>
          <cell r="Y316">
            <v>-2183.94</v>
          </cell>
          <cell r="Z316">
            <v>-3681.0800000000004</v>
          </cell>
          <cell r="AA316">
            <v>0</v>
          </cell>
          <cell r="AB316">
            <v>-6650.380000000001</v>
          </cell>
        </row>
        <row r="317">
          <cell r="O317" t="str">
            <v>FINCHG</v>
          </cell>
          <cell r="P317" t="str">
            <v>FINANCE CHARGE</v>
          </cell>
          <cell r="Q317">
            <v>7379.8499999999995</v>
          </cell>
          <cell r="R317">
            <v>2398.5700000000002</v>
          </cell>
          <cell r="S317">
            <v>6558.6499999999987</v>
          </cell>
          <cell r="T317">
            <v>2114.9500000000003</v>
          </cell>
          <cell r="U317">
            <v>6595.71</v>
          </cell>
          <cell r="V317">
            <v>2259.3199999999997</v>
          </cell>
          <cell r="W317">
            <v>6544.18</v>
          </cell>
          <cell r="X317">
            <v>3475.25</v>
          </cell>
          <cell r="Y317">
            <v>6852.77</v>
          </cell>
          <cell r="Z317">
            <v>3525.5799999999995</v>
          </cell>
          <cell r="AA317">
            <v>0</v>
          </cell>
          <cell r="AB317">
            <v>40324.980000000003</v>
          </cell>
        </row>
        <row r="318">
          <cell r="Q318">
            <v>7379.8499999999995</v>
          </cell>
          <cell r="R318">
            <v>2398.5700000000002</v>
          </cell>
          <cell r="S318">
            <v>6558.6499999999987</v>
          </cell>
          <cell r="T318">
            <v>2114.9500000000003</v>
          </cell>
          <cell r="U318">
            <v>6595.71</v>
          </cell>
          <cell r="V318">
            <v>2259.3199999999997</v>
          </cell>
          <cell r="W318">
            <v>6544.18</v>
          </cell>
          <cell r="X318">
            <v>3475.25</v>
          </cell>
          <cell r="Y318">
            <v>6852.77</v>
          </cell>
          <cell r="Z318">
            <v>3525.5799999999995</v>
          </cell>
          <cell r="AA318">
            <v>0</v>
          </cell>
          <cell r="AB318">
            <v>40324.980000000003</v>
          </cell>
        </row>
        <row r="319">
          <cell r="O319" t="str">
            <v>CACCESS</v>
          </cell>
          <cell r="P319" t="str">
            <v>ACCESS CHARGE - PER MTH</v>
          </cell>
          <cell r="Q319">
            <v>4138.5599999999995</v>
          </cell>
          <cell r="R319">
            <v>4170.24</v>
          </cell>
          <cell r="S319">
            <v>4182.88</v>
          </cell>
          <cell r="T319">
            <v>4199.25</v>
          </cell>
          <cell r="U319">
            <v>4279.9800000000005</v>
          </cell>
          <cell r="V319">
            <v>4275.33</v>
          </cell>
          <cell r="W319">
            <v>4328.8399999999992</v>
          </cell>
          <cell r="X319">
            <v>4316.7</v>
          </cell>
          <cell r="Y319">
            <v>4150.5199999999995</v>
          </cell>
          <cell r="Z319">
            <v>4131.42</v>
          </cell>
          <cell r="AA319">
            <v>0</v>
          </cell>
          <cell r="AB319">
            <v>38035.159999999996</v>
          </cell>
        </row>
        <row r="320">
          <cell r="O320" t="str">
            <v>CACCESSEOW</v>
          </cell>
          <cell r="P320" t="str">
            <v>EOW MONTHLY ACCESS CHARGE</v>
          </cell>
          <cell r="Q320">
            <v>254.04</v>
          </cell>
          <cell r="R320">
            <v>255.19</v>
          </cell>
          <cell r="S320">
            <v>255.20999999999998</v>
          </cell>
          <cell r="T320">
            <v>261.52999999999997</v>
          </cell>
          <cell r="U320">
            <v>259.94</v>
          </cell>
          <cell r="V320">
            <v>263.11</v>
          </cell>
          <cell r="W320">
            <v>259.94</v>
          </cell>
          <cell r="X320">
            <v>256.77999999999997</v>
          </cell>
          <cell r="Y320">
            <v>255.19</v>
          </cell>
          <cell r="Z320">
            <v>255.19</v>
          </cell>
          <cell r="AA320">
            <v>0</v>
          </cell>
          <cell r="AB320">
            <v>2322.08</v>
          </cell>
        </row>
        <row r="321">
          <cell r="O321" t="str">
            <v>CC15Y1W</v>
          </cell>
          <cell r="P321" t="str">
            <v>1.5YD CONT 1X WEEKLY</v>
          </cell>
          <cell r="Q321">
            <v>10603.36</v>
          </cell>
          <cell r="R321">
            <v>10499.83</v>
          </cell>
          <cell r="S321">
            <v>10327.310000000001</v>
          </cell>
          <cell r="T321">
            <v>10450.540000000001</v>
          </cell>
          <cell r="U321">
            <v>10598.44</v>
          </cell>
          <cell r="V321">
            <v>10721.66</v>
          </cell>
          <cell r="W321">
            <v>10802.19</v>
          </cell>
          <cell r="X321">
            <v>10746.31</v>
          </cell>
          <cell r="Y321">
            <v>10031.539999999999</v>
          </cell>
          <cell r="Z321">
            <v>10006.879999999999</v>
          </cell>
          <cell r="AA321">
            <v>0</v>
          </cell>
          <cell r="AB321">
            <v>94184.7</v>
          </cell>
        </row>
        <row r="322">
          <cell r="O322" t="str">
            <v>CC15Y2W</v>
          </cell>
          <cell r="P322" t="str">
            <v>1.5YD CONT 2X WEEKLY</v>
          </cell>
          <cell r="Q322">
            <v>197.19</v>
          </cell>
          <cell r="R322">
            <v>197.19</v>
          </cell>
          <cell r="S322">
            <v>197.19</v>
          </cell>
          <cell r="T322">
            <v>197.19</v>
          </cell>
          <cell r="U322">
            <v>197.19</v>
          </cell>
          <cell r="V322">
            <v>197.19</v>
          </cell>
          <cell r="W322">
            <v>295.79000000000002</v>
          </cell>
          <cell r="X322">
            <v>394.38</v>
          </cell>
          <cell r="Y322">
            <v>394.38</v>
          </cell>
          <cell r="Z322">
            <v>394.38</v>
          </cell>
          <cell r="AA322">
            <v>0</v>
          </cell>
          <cell r="AB322">
            <v>2464.88</v>
          </cell>
        </row>
        <row r="323">
          <cell r="O323" t="str">
            <v>CC15YEOW</v>
          </cell>
          <cell r="P323" t="str">
            <v>1.5YD CONTAINER EOW</v>
          </cell>
          <cell r="Q323">
            <v>8399.7199999999993</v>
          </cell>
          <cell r="R323">
            <v>8300.89</v>
          </cell>
          <cell r="S323">
            <v>8325.59</v>
          </cell>
          <cell r="T323">
            <v>8375.0099999999984</v>
          </cell>
          <cell r="U323">
            <v>8276.1999999999989</v>
          </cell>
          <cell r="V323">
            <v>8424.41</v>
          </cell>
          <cell r="W323">
            <v>8337.94</v>
          </cell>
          <cell r="X323">
            <v>8325.6</v>
          </cell>
          <cell r="Y323">
            <v>8177.37</v>
          </cell>
          <cell r="Z323">
            <v>8202.09</v>
          </cell>
          <cell r="AA323">
            <v>0</v>
          </cell>
          <cell r="AB323">
            <v>74745.099999999991</v>
          </cell>
        </row>
        <row r="324">
          <cell r="O324" t="str">
            <v>CC15YPR</v>
          </cell>
          <cell r="P324" t="str">
            <v>PERM CONT RENT 1.5YD</v>
          </cell>
          <cell r="Q324">
            <v>3711.43</v>
          </cell>
          <cell r="R324">
            <v>3710.08</v>
          </cell>
          <cell r="S324">
            <v>3709.4</v>
          </cell>
          <cell r="T324">
            <v>3687.41</v>
          </cell>
          <cell r="U324">
            <v>3725.49</v>
          </cell>
          <cell r="V324">
            <v>3776.72</v>
          </cell>
          <cell r="W324">
            <v>3757.2299999999996</v>
          </cell>
          <cell r="X324">
            <v>3761.7599999999998</v>
          </cell>
          <cell r="Y324">
            <v>3642.5299999999997</v>
          </cell>
          <cell r="Z324">
            <v>3589.95</v>
          </cell>
          <cell r="AA324">
            <v>0</v>
          </cell>
          <cell r="AB324">
            <v>33360.569999999992</v>
          </cell>
        </row>
        <row r="325">
          <cell r="O325" t="str">
            <v>CC15YTR</v>
          </cell>
          <cell r="P325" t="str">
            <v>TEMP CONT RENT 1.5YD</v>
          </cell>
          <cell r="Q325">
            <v>64.83</v>
          </cell>
          <cell r="R325">
            <v>55.31</v>
          </cell>
          <cell r="S325">
            <v>74.8</v>
          </cell>
          <cell r="T325">
            <v>68.91</v>
          </cell>
          <cell r="U325">
            <v>96.109999999999985</v>
          </cell>
          <cell r="V325">
            <v>69.36</v>
          </cell>
          <cell r="W325">
            <v>84.31</v>
          </cell>
          <cell r="X325">
            <v>138.47</v>
          </cell>
          <cell r="Y325">
            <v>154.13</v>
          </cell>
          <cell r="Z325">
            <v>93.4</v>
          </cell>
          <cell r="AA325">
            <v>0</v>
          </cell>
          <cell r="AB325">
            <v>834.8</v>
          </cell>
        </row>
        <row r="326">
          <cell r="O326" t="str">
            <v>CC1Y1W</v>
          </cell>
          <cell r="P326" t="str">
            <v>1YD CONT 1X WEEKLY</v>
          </cell>
          <cell r="Q326">
            <v>22887.08</v>
          </cell>
          <cell r="R326">
            <v>22411.39</v>
          </cell>
          <cell r="S326">
            <v>23088.31</v>
          </cell>
          <cell r="T326">
            <v>23527.38</v>
          </cell>
          <cell r="U326">
            <v>23929.890000000003</v>
          </cell>
          <cell r="V326">
            <v>25730.18</v>
          </cell>
          <cell r="W326">
            <v>26729.010000000006</v>
          </cell>
          <cell r="X326">
            <v>24581.18</v>
          </cell>
          <cell r="Y326">
            <v>24570.22</v>
          </cell>
          <cell r="Z326">
            <v>26637.720000000005</v>
          </cell>
          <cell r="AA326">
            <v>0</v>
          </cell>
          <cell r="AB326">
            <v>221205.28</v>
          </cell>
        </row>
        <row r="327">
          <cell r="O327" t="str">
            <v>CC1Y2W</v>
          </cell>
          <cell r="P327" t="str">
            <v>1YD CONT 2X WEEKLY</v>
          </cell>
          <cell r="Q327">
            <v>0</v>
          </cell>
          <cell r="R327">
            <v>0</v>
          </cell>
          <cell r="S327">
            <v>0</v>
          </cell>
          <cell r="T327">
            <v>0</v>
          </cell>
          <cell r="U327">
            <v>0</v>
          </cell>
          <cell r="V327">
            <v>0</v>
          </cell>
          <cell r="W327">
            <v>0</v>
          </cell>
          <cell r="X327">
            <v>4829.55</v>
          </cell>
          <cell r="Y327">
            <v>4829.55</v>
          </cell>
          <cell r="Z327">
            <v>1317.23</v>
          </cell>
          <cell r="AA327">
            <v>0</v>
          </cell>
          <cell r="AB327">
            <v>10976.33</v>
          </cell>
        </row>
        <row r="328">
          <cell r="O328" t="str">
            <v>CC1YEOW</v>
          </cell>
          <cell r="P328" t="str">
            <v>1YD CONTAINER EOW</v>
          </cell>
          <cell r="Q328">
            <v>26217.47</v>
          </cell>
          <cell r="R328">
            <v>26366.95</v>
          </cell>
          <cell r="S328">
            <v>26302.05</v>
          </cell>
          <cell r="T328">
            <v>26301.66</v>
          </cell>
          <cell r="U328">
            <v>26439.13</v>
          </cell>
          <cell r="V328">
            <v>26118.23</v>
          </cell>
          <cell r="W328">
            <v>26081.579999999998</v>
          </cell>
          <cell r="X328">
            <v>26145.73</v>
          </cell>
          <cell r="Y328">
            <v>26274.1</v>
          </cell>
          <cell r="Z328">
            <v>26200.759999999995</v>
          </cell>
          <cell r="AA328">
            <v>0</v>
          </cell>
          <cell r="AB328">
            <v>236230.19</v>
          </cell>
        </row>
        <row r="329">
          <cell r="O329" t="str">
            <v>CC1YOC</v>
          </cell>
          <cell r="P329" t="str">
            <v>1YD CONT ON CALL RENTAL</v>
          </cell>
          <cell r="Q329">
            <v>12.03</v>
          </cell>
          <cell r="R329">
            <v>0</v>
          </cell>
          <cell r="S329">
            <v>0</v>
          </cell>
          <cell r="T329">
            <v>0</v>
          </cell>
          <cell r="U329">
            <v>0</v>
          </cell>
          <cell r="V329">
            <v>0</v>
          </cell>
          <cell r="W329">
            <v>0</v>
          </cell>
          <cell r="X329">
            <v>0</v>
          </cell>
          <cell r="Y329">
            <v>0</v>
          </cell>
          <cell r="Z329">
            <v>0</v>
          </cell>
          <cell r="AA329">
            <v>0</v>
          </cell>
          <cell r="AB329">
            <v>0</v>
          </cell>
        </row>
        <row r="330">
          <cell r="O330" t="str">
            <v>CC1YPR</v>
          </cell>
          <cell r="P330" t="str">
            <v>PERM CONT RENT 1YD</v>
          </cell>
          <cell r="Q330">
            <v>12304.5</v>
          </cell>
          <cell r="R330">
            <v>12351.21</v>
          </cell>
          <cell r="S330">
            <v>12409.179999999998</v>
          </cell>
          <cell r="T330">
            <v>12438.23</v>
          </cell>
          <cell r="U330">
            <v>12489.949999999999</v>
          </cell>
          <cell r="V330">
            <v>12700.079999999998</v>
          </cell>
          <cell r="W330">
            <v>12668.81</v>
          </cell>
          <cell r="X330">
            <v>12781.089999999998</v>
          </cell>
          <cell r="Y330">
            <v>12759.449999999999</v>
          </cell>
          <cell r="Z330">
            <v>12812.759999999998</v>
          </cell>
          <cell r="AA330">
            <v>0</v>
          </cell>
          <cell r="AB330">
            <v>113410.75999999998</v>
          </cell>
        </row>
        <row r="331">
          <cell r="O331" t="str">
            <v>CC1YTR</v>
          </cell>
          <cell r="P331" t="str">
            <v>TEMP CONT RENT 1YD</v>
          </cell>
          <cell r="Q331">
            <v>55.34</v>
          </cell>
          <cell r="R331">
            <v>58.15</v>
          </cell>
          <cell r="S331">
            <v>56.94</v>
          </cell>
          <cell r="T331">
            <v>52.129999999999995</v>
          </cell>
          <cell r="U331">
            <v>45.98</v>
          </cell>
          <cell r="V331">
            <v>118.33</v>
          </cell>
          <cell r="W331">
            <v>263.87</v>
          </cell>
          <cell r="X331">
            <v>249.83</v>
          </cell>
          <cell r="Y331">
            <v>228.57</v>
          </cell>
          <cell r="Z331">
            <v>234.59</v>
          </cell>
          <cell r="AA331">
            <v>0</v>
          </cell>
          <cell r="AB331">
            <v>1308.3899999999999</v>
          </cell>
        </row>
        <row r="332">
          <cell r="O332" t="str">
            <v>CC2Y1W</v>
          </cell>
          <cell r="P332" t="str">
            <v>2YD CONT 1X WEEKLY</v>
          </cell>
          <cell r="Q332">
            <v>45416.08</v>
          </cell>
          <cell r="R332">
            <v>45007.25</v>
          </cell>
          <cell r="S332">
            <v>45415.97</v>
          </cell>
          <cell r="T332">
            <v>45240.31</v>
          </cell>
          <cell r="U332">
            <v>47730.279999999992</v>
          </cell>
          <cell r="V332">
            <v>50373.58</v>
          </cell>
          <cell r="W332">
            <v>54057.43</v>
          </cell>
          <cell r="X332">
            <v>48433.22</v>
          </cell>
          <cell r="Y332">
            <v>48228.17</v>
          </cell>
          <cell r="Z332">
            <v>50601.02</v>
          </cell>
          <cell r="AA332">
            <v>0</v>
          </cell>
          <cell r="AB332">
            <v>435087.23000000004</v>
          </cell>
        </row>
        <row r="333">
          <cell r="O333" t="str">
            <v>CC2Y2W</v>
          </cell>
          <cell r="P333" t="str">
            <v>2YD CONT 2X WEEKLY</v>
          </cell>
          <cell r="Q333">
            <v>9796.3799999999992</v>
          </cell>
          <cell r="R333">
            <v>9796.3799999999992</v>
          </cell>
          <cell r="S333">
            <v>9620.6299999999992</v>
          </cell>
          <cell r="T333">
            <v>9298.41</v>
          </cell>
          <cell r="U333">
            <v>9327.7000000000007</v>
          </cell>
          <cell r="V333">
            <v>8917.61</v>
          </cell>
          <cell r="W333">
            <v>9737.8700000000008</v>
          </cell>
          <cell r="X333">
            <v>20722.490000000002</v>
          </cell>
          <cell r="Y333">
            <v>20605.310000000001</v>
          </cell>
          <cell r="Z333">
            <v>13370.2</v>
          </cell>
          <cell r="AA333">
            <v>0</v>
          </cell>
          <cell r="AB333">
            <v>111396.59999999999</v>
          </cell>
        </row>
        <row r="334">
          <cell r="O334" t="str">
            <v>CC2Y3W</v>
          </cell>
          <cell r="P334" t="str">
            <v>2YD CONT 3X WEEKLY</v>
          </cell>
          <cell r="Q334">
            <v>1757.55</v>
          </cell>
          <cell r="R334">
            <v>2109.06</v>
          </cell>
          <cell r="S334">
            <v>2109.06</v>
          </cell>
          <cell r="T334">
            <v>2109.06</v>
          </cell>
          <cell r="U334">
            <v>2109.06</v>
          </cell>
          <cell r="V334">
            <v>2460.5699999999997</v>
          </cell>
          <cell r="W334">
            <v>2372.6899999999996</v>
          </cell>
          <cell r="X334">
            <v>2109.06</v>
          </cell>
          <cell r="Y334">
            <v>2406.4899999999998</v>
          </cell>
          <cell r="Z334">
            <v>2284.8199999999997</v>
          </cell>
          <cell r="AA334">
            <v>0</v>
          </cell>
          <cell r="AB334">
            <v>20069.87</v>
          </cell>
        </row>
        <row r="335">
          <cell r="O335" t="str">
            <v>CC2Y4W</v>
          </cell>
          <cell r="P335" t="str">
            <v>2YD CONT 4X WEEKLY</v>
          </cell>
          <cell r="Q335">
            <v>820.19</v>
          </cell>
          <cell r="R335">
            <v>468.68</v>
          </cell>
          <cell r="S335">
            <v>468.68</v>
          </cell>
          <cell r="T335">
            <v>468.68</v>
          </cell>
          <cell r="U335">
            <v>468.68</v>
          </cell>
          <cell r="V335">
            <v>468.68</v>
          </cell>
          <cell r="W335">
            <v>468.68</v>
          </cell>
          <cell r="X335">
            <v>468.68</v>
          </cell>
          <cell r="Y335">
            <v>468.68</v>
          </cell>
          <cell r="Z335">
            <v>468.68</v>
          </cell>
          <cell r="AA335">
            <v>0</v>
          </cell>
          <cell r="AB335">
            <v>4218.12</v>
          </cell>
        </row>
        <row r="336">
          <cell r="O336" t="str">
            <v>CC2Y5W</v>
          </cell>
          <cell r="P336" t="str">
            <v>2YD CONT 5X WEEKLY</v>
          </cell>
          <cell r="Q336">
            <v>58.59</v>
          </cell>
          <cell r="R336">
            <v>0</v>
          </cell>
          <cell r="S336">
            <v>0</v>
          </cell>
          <cell r="T336">
            <v>0</v>
          </cell>
          <cell r="U336">
            <v>0</v>
          </cell>
          <cell r="V336">
            <v>0</v>
          </cell>
          <cell r="W336">
            <v>0</v>
          </cell>
          <cell r="X336">
            <v>0</v>
          </cell>
          <cell r="Y336">
            <v>0</v>
          </cell>
          <cell r="Z336">
            <v>0</v>
          </cell>
          <cell r="AA336">
            <v>0</v>
          </cell>
          <cell r="AB336">
            <v>0</v>
          </cell>
        </row>
        <row r="337">
          <cell r="O337" t="str">
            <v>CC2YEOW</v>
          </cell>
          <cell r="P337" t="str">
            <v>2YD CONTAINER EOW</v>
          </cell>
          <cell r="Q337">
            <v>19964.8</v>
          </cell>
          <cell r="R337">
            <v>19848.66</v>
          </cell>
          <cell r="S337">
            <v>19700.549999999996</v>
          </cell>
          <cell r="T337">
            <v>19964.8</v>
          </cell>
          <cell r="U337">
            <v>19553.73</v>
          </cell>
          <cell r="V337">
            <v>19084</v>
          </cell>
          <cell r="W337">
            <v>18702.320000000003</v>
          </cell>
          <cell r="X337">
            <v>18526.16</v>
          </cell>
          <cell r="Y337">
            <v>18279.54</v>
          </cell>
          <cell r="Z337">
            <v>18379.349999999999</v>
          </cell>
          <cell r="AA337">
            <v>0</v>
          </cell>
          <cell r="AB337">
            <v>172039.11000000002</v>
          </cell>
        </row>
        <row r="338">
          <cell r="O338" t="str">
            <v>CC2YOC</v>
          </cell>
          <cell r="P338" t="str">
            <v>2YD CONT ON CALL RENT</v>
          </cell>
          <cell r="Q338">
            <v>29.28</v>
          </cell>
          <cell r="R338">
            <v>0</v>
          </cell>
          <cell r="S338">
            <v>0</v>
          </cell>
          <cell r="T338">
            <v>0</v>
          </cell>
          <cell r="U338">
            <v>0</v>
          </cell>
          <cell r="V338">
            <v>0</v>
          </cell>
          <cell r="W338">
            <v>0</v>
          </cell>
          <cell r="X338">
            <v>0</v>
          </cell>
          <cell r="Y338">
            <v>0</v>
          </cell>
          <cell r="Z338">
            <v>0</v>
          </cell>
          <cell r="AA338">
            <v>0</v>
          </cell>
          <cell r="AB338">
            <v>0</v>
          </cell>
        </row>
        <row r="339">
          <cell r="O339" t="str">
            <v>CC2YPR</v>
          </cell>
          <cell r="P339" t="str">
            <v>PERM CONT RENT 2YD</v>
          </cell>
          <cell r="Q339">
            <v>11360.93</v>
          </cell>
          <cell r="R339">
            <v>11372.16</v>
          </cell>
          <cell r="S339">
            <v>11353.210000000001</v>
          </cell>
          <cell r="T339">
            <v>11252.84</v>
          </cell>
          <cell r="U339">
            <v>11460.249999999998</v>
          </cell>
          <cell r="V339">
            <v>11603.42</v>
          </cell>
          <cell r="W339">
            <v>11961.67</v>
          </cell>
          <cell r="X339">
            <v>11866.640000000001</v>
          </cell>
          <cell r="Y339">
            <v>11810.380000000001</v>
          </cell>
          <cell r="Z339">
            <v>11717.37</v>
          </cell>
          <cell r="AA339">
            <v>0</v>
          </cell>
          <cell r="AB339">
            <v>104397.94</v>
          </cell>
        </row>
        <row r="340">
          <cell r="O340" t="str">
            <v>CC2YTR</v>
          </cell>
          <cell r="P340" t="str">
            <v>TEMP CONT RENT 2YD</v>
          </cell>
          <cell r="Q340">
            <v>1050.6600000000001</v>
          </cell>
          <cell r="R340">
            <v>1029.19</v>
          </cell>
          <cell r="S340">
            <v>869.87</v>
          </cell>
          <cell r="T340">
            <v>938.90000000000009</v>
          </cell>
          <cell r="U340">
            <v>1138.48</v>
          </cell>
          <cell r="V340">
            <v>1191.1399999999999</v>
          </cell>
          <cell r="W340">
            <v>1333.24</v>
          </cell>
          <cell r="X340">
            <v>1335.18</v>
          </cell>
          <cell r="Y340">
            <v>1179.8800000000001</v>
          </cell>
          <cell r="Z340">
            <v>1130.19</v>
          </cell>
          <cell r="AA340">
            <v>0</v>
          </cell>
          <cell r="AB340">
            <v>10146.070000000002</v>
          </cell>
        </row>
        <row r="341">
          <cell r="O341" t="str">
            <v>CC32W1</v>
          </cell>
          <cell r="P341" t="str">
            <v>32GAL CAN WEEKLY-COM</v>
          </cell>
          <cell r="Q341">
            <v>10189.33</v>
          </cell>
          <cell r="R341">
            <v>10192.4</v>
          </cell>
          <cell r="S341">
            <v>10189.33</v>
          </cell>
          <cell r="T341">
            <v>10180.119999999999</v>
          </cell>
          <cell r="U341">
            <v>10201.609999999999</v>
          </cell>
          <cell r="V341">
            <v>10223.1</v>
          </cell>
          <cell r="W341">
            <v>10166.11</v>
          </cell>
          <cell r="X341">
            <v>10170.91</v>
          </cell>
          <cell r="Y341">
            <v>10155.56</v>
          </cell>
          <cell r="Z341">
            <v>10119.219999999999</v>
          </cell>
          <cell r="AA341">
            <v>0</v>
          </cell>
          <cell r="AB341">
            <v>91598.36</v>
          </cell>
        </row>
        <row r="342">
          <cell r="O342" t="str">
            <v>CC32W2</v>
          </cell>
          <cell r="P342" t="str">
            <v>2-32GAL CANS WEEKLY</v>
          </cell>
          <cell r="Q342">
            <v>1660.98</v>
          </cell>
          <cell r="R342">
            <v>1684.54</v>
          </cell>
          <cell r="S342">
            <v>1631.53</v>
          </cell>
          <cell r="T342">
            <v>1649.2</v>
          </cell>
          <cell r="U342">
            <v>1655.09</v>
          </cell>
          <cell r="V342">
            <v>1660.9799999999998</v>
          </cell>
          <cell r="W342">
            <v>1696.3199999999997</v>
          </cell>
          <cell r="X342">
            <v>1708.1</v>
          </cell>
          <cell r="Y342">
            <v>1672.76</v>
          </cell>
          <cell r="Z342">
            <v>1660.98</v>
          </cell>
          <cell r="AA342">
            <v>0</v>
          </cell>
          <cell r="AB342">
            <v>15019.5</v>
          </cell>
        </row>
        <row r="343">
          <cell r="O343" t="str">
            <v>CC32W3</v>
          </cell>
          <cell r="P343" t="str">
            <v>3-32GAL CANS WEEKLY</v>
          </cell>
          <cell r="Q343">
            <v>423.96000000000004</v>
          </cell>
          <cell r="R343">
            <v>423.96000000000004</v>
          </cell>
          <cell r="S343">
            <v>423.96000000000004</v>
          </cell>
          <cell r="T343">
            <v>423.96000000000004</v>
          </cell>
          <cell r="U343">
            <v>423.96000000000004</v>
          </cell>
          <cell r="V343">
            <v>423.96000000000004</v>
          </cell>
          <cell r="W343">
            <v>1607.18</v>
          </cell>
          <cell r="X343">
            <v>2384.2099999999996</v>
          </cell>
          <cell r="Y343">
            <v>397.46</v>
          </cell>
          <cell r="Z343">
            <v>423.96</v>
          </cell>
          <cell r="AA343">
            <v>0</v>
          </cell>
          <cell r="AB343">
            <v>6932.6100000000006</v>
          </cell>
        </row>
        <row r="344">
          <cell r="O344" t="str">
            <v>CC32W4</v>
          </cell>
          <cell r="P344" t="str">
            <v>4-32GAL CANS WEEKLY</v>
          </cell>
          <cell r="Q344">
            <v>376.88</v>
          </cell>
          <cell r="R344">
            <v>376.88</v>
          </cell>
          <cell r="S344">
            <v>376.88000000000005</v>
          </cell>
          <cell r="T344">
            <v>376.88000000000005</v>
          </cell>
          <cell r="U344">
            <v>376.88000000000005</v>
          </cell>
          <cell r="V344">
            <v>376.88000000000005</v>
          </cell>
          <cell r="W344">
            <v>376.88000000000005</v>
          </cell>
          <cell r="X344">
            <v>376.88000000000005</v>
          </cell>
          <cell r="Y344">
            <v>329.77000000000004</v>
          </cell>
          <cell r="Z344">
            <v>329.77000000000004</v>
          </cell>
          <cell r="AA344">
            <v>0</v>
          </cell>
          <cell r="AB344">
            <v>3297.7000000000003</v>
          </cell>
        </row>
        <row r="345">
          <cell r="O345" t="str">
            <v>CC32W5</v>
          </cell>
          <cell r="P345" t="str">
            <v>5-32GAL CANS WEEKLY</v>
          </cell>
          <cell r="Q345">
            <v>117.78</v>
          </cell>
          <cell r="R345">
            <v>117.78</v>
          </cell>
          <cell r="S345">
            <v>117.78</v>
          </cell>
          <cell r="T345">
            <v>117.78</v>
          </cell>
          <cell r="U345">
            <v>117.78</v>
          </cell>
          <cell r="V345">
            <v>117.78</v>
          </cell>
          <cell r="W345">
            <v>117.78</v>
          </cell>
          <cell r="X345">
            <v>117.78</v>
          </cell>
          <cell r="Y345">
            <v>88.34</v>
          </cell>
          <cell r="Z345">
            <v>58.89</v>
          </cell>
          <cell r="AA345">
            <v>0</v>
          </cell>
          <cell r="AB345">
            <v>971.68999999999994</v>
          </cell>
        </row>
        <row r="346">
          <cell r="O346" t="str">
            <v>CC32W6</v>
          </cell>
          <cell r="P346" t="str">
            <v>6-32GAL CANS WEEKLY</v>
          </cell>
          <cell r="Q346">
            <v>70.67</v>
          </cell>
          <cell r="R346">
            <v>70.67</v>
          </cell>
          <cell r="S346">
            <v>70.67</v>
          </cell>
          <cell r="T346">
            <v>70.67</v>
          </cell>
          <cell r="U346">
            <v>70.67</v>
          </cell>
          <cell r="V346">
            <v>70.67</v>
          </cell>
          <cell r="W346">
            <v>70.67</v>
          </cell>
          <cell r="X346">
            <v>70.67</v>
          </cell>
          <cell r="Y346">
            <v>70.67</v>
          </cell>
          <cell r="Z346">
            <v>70.67</v>
          </cell>
          <cell r="AA346">
            <v>0</v>
          </cell>
          <cell r="AB346">
            <v>636.03</v>
          </cell>
        </row>
        <row r="347">
          <cell r="O347" t="str">
            <v>CC32W8</v>
          </cell>
          <cell r="P347" t="str">
            <v>8-32GAL CANS WEEKLY</v>
          </cell>
          <cell r="Q347">
            <v>94.22</v>
          </cell>
          <cell r="R347">
            <v>94.22</v>
          </cell>
          <cell r="S347">
            <v>94.22</v>
          </cell>
          <cell r="T347">
            <v>94.22</v>
          </cell>
          <cell r="U347">
            <v>94.22</v>
          </cell>
          <cell r="V347">
            <v>94.22</v>
          </cell>
          <cell r="W347">
            <v>94.22</v>
          </cell>
          <cell r="X347">
            <v>94.22</v>
          </cell>
          <cell r="Y347">
            <v>94.22</v>
          </cell>
          <cell r="Z347">
            <v>94.22</v>
          </cell>
          <cell r="AA347">
            <v>0</v>
          </cell>
          <cell r="AB347">
            <v>847.98000000000013</v>
          </cell>
        </row>
        <row r="348">
          <cell r="O348" t="str">
            <v>CC32W9</v>
          </cell>
          <cell r="P348" t="str">
            <v>9-32GAL CANS WEEKLY</v>
          </cell>
          <cell r="Q348">
            <v>106</v>
          </cell>
          <cell r="R348">
            <v>106</v>
          </cell>
          <cell r="S348">
            <v>106</v>
          </cell>
          <cell r="T348">
            <v>106</v>
          </cell>
          <cell r="U348">
            <v>106</v>
          </cell>
          <cell r="V348">
            <v>106</v>
          </cell>
          <cell r="W348">
            <v>106</v>
          </cell>
          <cell r="X348">
            <v>106</v>
          </cell>
          <cell r="Y348">
            <v>106</v>
          </cell>
          <cell r="Z348">
            <v>106</v>
          </cell>
          <cell r="AA348">
            <v>0</v>
          </cell>
          <cell r="AB348">
            <v>954</v>
          </cell>
        </row>
        <row r="349">
          <cell r="O349" t="str">
            <v>CC3Y1W</v>
          </cell>
          <cell r="P349" t="str">
            <v>3YD CONT 1X WEEKLY</v>
          </cell>
          <cell r="Q349">
            <v>29856.720000000001</v>
          </cell>
          <cell r="R349">
            <v>30134.39</v>
          </cell>
          <cell r="S349">
            <v>30216.050000000003</v>
          </cell>
          <cell r="T349">
            <v>30542.720000000001</v>
          </cell>
          <cell r="U349">
            <v>30910.2</v>
          </cell>
          <cell r="V349">
            <v>31522.68</v>
          </cell>
          <cell r="W349">
            <v>31767.68</v>
          </cell>
          <cell r="X349">
            <v>30501.870000000003</v>
          </cell>
          <cell r="Y349">
            <v>30011.93</v>
          </cell>
          <cell r="Z349">
            <v>29113.580000000005</v>
          </cell>
          <cell r="AA349">
            <v>0</v>
          </cell>
          <cell r="AB349">
            <v>274721.09999999998</v>
          </cell>
        </row>
        <row r="350">
          <cell r="O350" t="str">
            <v>CC3Y2W</v>
          </cell>
          <cell r="P350" t="str">
            <v>3YD CONT 2X WEEKLY</v>
          </cell>
          <cell r="Q350">
            <v>17966.3</v>
          </cell>
          <cell r="R350">
            <v>17966.3</v>
          </cell>
          <cell r="S350">
            <v>18537.96</v>
          </cell>
          <cell r="T350">
            <v>18619.62</v>
          </cell>
          <cell r="U350">
            <v>18619.62</v>
          </cell>
          <cell r="V350">
            <v>18456.3</v>
          </cell>
          <cell r="W350">
            <v>18374.629999999997</v>
          </cell>
          <cell r="X350">
            <v>17966.3</v>
          </cell>
          <cell r="Y350">
            <v>17557.98</v>
          </cell>
          <cell r="Z350">
            <v>17835.64</v>
          </cell>
          <cell r="AA350">
            <v>0</v>
          </cell>
          <cell r="AB350">
            <v>163934.34999999998</v>
          </cell>
        </row>
        <row r="351">
          <cell r="O351" t="str">
            <v>CC3Y3W</v>
          </cell>
          <cell r="P351" t="str">
            <v>3YD CONT 3X WEEKLY</v>
          </cell>
          <cell r="Q351">
            <v>5879.76</v>
          </cell>
          <cell r="R351">
            <v>5879.76</v>
          </cell>
          <cell r="S351">
            <v>5879.76</v>
          </cell>
          <cell r="T351">
            <v>5593.9400000000005</v>
          </cell>
          <cell r="U351">
            <v>5389.7800000000007</v>
          </cell>
          <cell r="V351">
            <v>5389.7800000000007</v>
          </cell>
          <cell r="W351">
            <v>5389.7800000000007</v>
          </cell>
          <cell r="X351">
            <v>5389.7800000000007</v>
          </cell>
          <cell r="Y351">
            <v>4899.8</v>
          </cell>
          <cell r="Z351">
            <v>4899.8</v>
          </cell>
          <cell r="AA351">
            <v>0</v>
          </cell>
          <cell r="AB351">
            <v>48712.18</v>
          </cell>
        </row>
        <row r="352">
          <cell r="O352" t="str">
            <v>CC3Y4W</v>
          </cell>
          <cell r="P352" t="str">
            <v>3YD CONT 4X WEEKLY</v>
          </cell>
          <cell r="Q352">
            <v>653.30999999999995</v>
          </cell>
          <cell r="R352">
            <v>653.30999999999995</v>
          </cell>
          <cell r="S352">
            <v>653.30999999999995</v>
          </cell>
          <cell r="T352">
            <v>1143.29</v>
          </cell>
          <cell r="U352">
            <v>1306.6199999999999</v>
          </cell>
          <cell r="V352">
            <v>1306.6199999999999</v>
          </cell>
          <cell r="W352">
            <v>1306.6199999999999</v>
          </cell>
          <cell r="X352">
            <v>1306.6199999999999</v>
          </cell>
          <cell r="Y352">
            <v>653.30999999999995</v>
          </cell>
          <cell r="Z352">
            <v>653.30999999999995</v>
          </cell>
          <cell r="AA352">
            <v>0</v>
          </cell>
          <cell r="AB352">
            <v>8983.0099999999984</v>
          </cell>
        </row>
        <row r="353">
          <cell r="O353" t="str">
            <v>CC3Y5W</v>
          </cell>
          <cell r="P353" t="str">
            <v>3YD CONT 5X WEEKLY</v>
          </cell>
          <cell r="Q353">
            <v>0</v>
          </cell>
          <cell r="R353">
            <v>0</v>
          </cell>
          <cell r="S353">
            <v>0</v>
          </cell>
          <cell r="T353">
            <v>0</v>
          </cell>
          <cell r="U353">
            <v>816.64</v>
          </cell>
          <cell r="V353">
            <v>816.64</v>
          </cell>
          <cell r="W353">
            <v>816.64</v>
          </cell>
          <cell r="X353">
            <v>816.64</v>
          </cell>
          <cell r="Y353">
            <v>816.64</v>
          </cell>
          <cell r="Z353">
            <v>816.64</v>
          </cell>
          <cell r="AA353">
            <v>0</v>
          </cell>
          <cell r="AB353">
            <v>4899.84</v>
          </cell>
        </row>
        <row r="354">
          <cell r="O354" t="str">
            <v>CC3YEOW</v>
          </cell>
          <cell r="P354" t="str">
            <v>3YD CONTAINER EOW</v>
          </cell>
          <cell r="Q354">
            <v>2609.6</v>
          </cell>
          <cell r="R354">
            <v>2527.75</v>
          </cell>
          <cell r="S354">
            <v>2527.75</v>
          </cell>
          <cell r="T354">
            <v>2527.75</v>
          </cell>
          <cell r="U354">
            <v>2609.6000000000004</v>
          </cell>
          <cell r="V354">
            <v>2732.3799999999997</v>
          </cell>
          <cell r="W354">
            <v>2732.38</v>
          </cell>
          <cell r="X354">
            <v>2773.2999999999997</v>
          </cell>
          <cell r="Y354">
            <v>2609.6</v>
          </cell>
          <cell r="Z354">
            <v>2650.5299999999997</v>
          </cell>
          <cell r="AA354">
            <v>0</v>
          </cell>
          <cell r="AB354">
            <v>23691.039999999997</v>
          </cell>
        </row>
        <row r="355">
          <cell r="O355" t="str">
            <v>CC3YOC</v>
          </cell>
          <cell r="P355" t="str">
            <v>3YD CONT ON CALL RENTAL</v>
          </cell>
          <cell r="Q355">
            <v>31.38</v>
          </cell>
          <cell r="R355">
            <v>0</v>
          </cell>
          <cell r="S355">
            <v>0</v>
          </cell>
          <cell r="T355">
            <v>0</v>
          </cell>
          <cell r="U355">
            <v>0</v>
          </cell>
          <cell r="V355">
            <v>0</v>
          </cell>
          <cell r="W355">
            <v>0</v>
          </cell>
          <cell r="X355">
            <v>0</v>
          </cell>
          <cell r="Y355">
            <v>0</v>
          </cell>
          <cell r="Z355">
            <v>15.69</v>
          </cell>
          <cell r="AA355">
            <v>0</v>
          </cell>
          <cell r="AB355">
            <v>15.69</v>
          </cell>
        </row>
        <row r="356">
          <cell r="O356" t="str">
            <v>CC3YPR</v>
          </cell>
          <cell r="P356" t="str">
            <v>PERM CONT RENT 3YD</v>
          </cell>
          <cell r="Q356">
            <v>4401.57</v>
          </cell>
          <cell r="R356">
            <v>4408.3600000000006</v>
          </cell>
          <cell r="S356">
            <v>4438.96</v>
          </cell>
          <cell r="T356">
            <v>4487.8599999999997</v>
          </cell>
          <cell r="U356">
            <v>4543.29</v>
          </cell>
          <cell r="V356">
            <v>4603.97</v>
          </cell>
          <cell r="W356">
            <v>4603.46</v>
          </cell>
          <cell r="X356">
            <v>4469.03</v>
          </cell>
          <cell r="Y356">
            <v>4344.67</v>
          </cell>
          <cell r="Z356">
            <v>4308.99</v>
          </cell>
          <cell r="AA356">
            <v>0</v>
          </cell>
          <cell r="AB356">
            <v>40208.589999999997</v>
          </cell>
        </row>
        <row r="357">
          <cell r="O357" t="str">
            <v>CC3YTR</v>
          </cell>
          <cell r="P357" t="str">
            <v>TEMP CONT RENT 3YD</v>
          </cell>
          <cell r="Q357">
            <v>0</v>
          </cell>
          <cell r="R357">
            <v>31.38</v>
          </cell>
          <cell r="S357">
            <v>31.38</v>
          </cell>
          <cell r="T357">
            <v>31.38</v>
          </cell>
          <cell r="U357">
            <v>15.69</v>
          </cell>
          <cell r="V357">
            <v>15.69</v>
          </cell>
          <cell r="W357">
            <v>10.98</v>
          </cell>
          <cell r="X357">
            <v>0</v>
          </cell>
          <cell r="Y357">
            <v>0</v>
          </cell>
          <cell r="Z357">
            <v>0</v>
          </cell>
          <cell r="AA357">
            <v>0</v>
          </cell>
          <cell r="AB357">
            <v>136.5</v>
          </cell>
        </row>
        <row r="358">
          <cell r="O358" t="str">
            <v>CC4Y1W</v>
          </cell>
          <cell r="P358" t="str">
            <v>4YD CONT 1X WEEKLY</v>
          </cell>
          <cell r="Q358">
            <v>36898.160000000003</v>
          </cell>
          <cell r="R358">
            <v>37416.04</v>
          </cell>
          <cell r="S358">
            <v>36834.83</v>
          </cell>
          <cell r="T358">
            <v>36834.71</v>
          </cell>
          <cell r="U358">
            <v>36253.39</v>
          </cell>
          <cell r="V358">
            <v>36887.58</v>
          </cell>
          <cell r="W358">
            <v>37098.949999999997</v>
          </cell>
          <cell r="X358">
            <v>37113.06</v>
          </cell>
          <cell r="Y358">
            <v>35830.61</v>
          </cell>
          <cell r="Z358">
            <v>36570.479999999996</v>
          </cell>
          <cell r="AA358">
            <v>0</v>
          </cell>
          <cell r="AB358">
            <v>330839.64999999997</v>
          </cell>
        </row>
        <row r="359">
          <cell r="O359" t="str">
            <v>CC4Y2W</v>
          </cell>
          <cell r="P359" t="str">
            <v>4YD CONT 2X WEEKLY</v>
          </cell>
          <cell r="Q359">
            <v>32237</v>
          </cell>
          <cell r="R359">
            <v>32131.279999999999</v>
          </cell>
          <cell r="S359">
            <v>32765.45</v>
          </cell>
          <cell r="T359">
            <v>32518.829999999998</v>
          </cell>
          <cell r="U359">
            <v>33082.54</v>
          </cell>
          <cell r="V359">
            <v>33980.959999999999</v>
          </cell>
          <cell r="W359">
            <v>34350.880000000005</v>
          </cell>
          <cell r="X359">
            <v>34245.18</v>
          </cell>
          <cell r="Y359">
            <v>34086.65</v>
          </cell>
          <cell r="Z359">
            <v>33663.850000000006</v>
          </cell>
          <cell r="AA359">
            <v>0</v>
          </cell>
          <cell r="AB359">
            <v>300825.62</v>
          </cell>
        </row>
        <row r="360">
          <cell r="O360" t="str">
            <v>CC4Y3W</v>
          </cell>
          <cell r="P360" t="str">
            <v>4YD CONT 3X WEEKLY</v>
          </cell>
          <cell r="Q360">
            <v>15378.62</v>
          </cell>
          <cell r="R360">
            <v>15122.439999999999</v>
          </cell>
          <cell r="S360">
            <v>15220.08</v>
          </cell>
          <cell r="T360">
            <v>15220.08</v>
          </cell>
          <cell r="U360">
            <v>15220.08</v>
          </cell>
          <cell r="V360">
            <v>15220.08</v>
          </cell>
          <cell r="W360">
            <v>15854.25</v>
          </cell>
          <cell r="X360">
            <v>16488.43</v>
          </cell>
          <cell r="Y360">
            <v>15431.47</v>
          </cell>
          <cell r="Z360">
            <v>16805.509999999998</v>
          </cell>
          <cell r="AA360">
            <v>0</v>
          </cell>
          <cell r="AB360">
            <v>140582.42000000001</v>
          </cell>
        </row>
        <row r="361">
          <cell r="O361" t="str">
            <v>CC4Y4W</v>
          </cell>
          <cell r="P361" t="str">
            <v>4YD CONT 4X WEEKLY</v>
          </cell>
          <cell r="Q361">
            <v>3382.24</v>
          </cell>
          <cell r="R361">
            <v>3382.24</v>
          </cell>
          <cell r="S361">
            <v>3382.24</v>
          </cell>
          <cell r="T361">
            <v>3382.24</v>
          </cell>
          <cell r="U361">
            <v>3382.24</v>
          </cell>
          <cell r="V361">
            <v>3382.24</v>
          </cell>
          <cell r="W361">
            <v>3382.24</v>
          </cell>
          <cell r="X361">
            <v>3382.24</v>
          </cell>
          <cell r="Y361">
            <v>3382.24</v>
          </cell>
          <cell r="Z361">
            <v>3382.24</v>
          </cell>
          <cell r="AA361">
            <v>0</v>
          </cell>
          <cell r="AB361">
            <v>30440.159999999989</v>
          </cell>
        </row>
        <row r="362">
          <cell r="O362" t="str">
            <v>CC4Y5W</v>
          </cell>
          <cell r="P362" t="str">
            <v>4YD CONT 5X WEEKLY</v>
          </cell>
          <cell r="Q362">
            <v>3170.85</v>
          </cell>
          <cell r="R362">
            <v>3170.85</v>
          </cell>
          <cell r="S362">
            <v>3170.85</v>
          </cell>
          <cell r="T362">
            <v>3170.85</v>
          </cell>
          <cell r="U362">
            <v>3170.85</v>
          </cell>
          <cell r="V362">
            <v>3170.85</v>
          </cell>
          <cell r="W362">
            <v>3170.85</v>
          </cell>
          <cell r="X362">
            <v>3170.85</v>
          </cell>
          <cell r="Y362">
            <v>3170.85</v>
          </cell>
          <cell r="Z362">
            <v>4227.8</v>
          </cell>
          <cell r="AA362">
            <v>0</v>
          </cell>
          <cell r="AB362">
            <v>29594.599999999995</v>
          </cell>
        </row>
        <row r="363">
          <cell r="O363" t="str">
            <v>CC4Y6W</v>
          </cell>
          <cell r="P363" t="str">
            <v>4YD CONT 6X WEEKLY</v>
          </cell>
          <cell r="Q363">
            <v>2536.6799999999998</v>
          </cell>
          <cell r="R363">
            <v>2536.6799999999998</v>
          </cell>
          <cell r="S363">
            <v>2536.6799999999998</v>
          </cell>
          <cell r="T363">
            <v>2536.6799999999998</v>
          </cell>
          <cell r="U363">
            <v>2536.6799999999998</v>
          </cell>
          <cell r="V363">
            <v>2536.6799999999998</v>
          </cell>
          <cell r="W363">
            <v>2536.6799999999998</v>
          </cell>
          <cell r="X363">
            <v>2536.6799999999998</v>
          </cell>
          <cell r="Y363">
            <v>1268.3399999999999</v>
          </cell>
          <cell r="Z363">
            <v>1268.3399999999999</v>
          </cell>
          <cell r="AA363">
            <v>0</v>
          </cell>
          <cell r="AB363">
            <v>20293.439999999999</v>
          </cell>
        </row>
        <row r="364">
          <cell r="O364" t="str">
            <v>CC4YEOW</v>
          </cell>
          <cell r="P364" t="str">
            <v>4YD CONTAINER EOW</v>
          </cell>
          <cell r="Q364">
            <v>2383.65</v>
          </cell>
          <cell r="R364">
            <v>2330.6799999999998</v>
          </cell>
          <cell r="S364">
            <v>2383.65</v>
          </cell>
          <cell r="T364">
            <v>2436.6200000000003</v>
          </cell>
          <cell r="U364">
            <v>2330.6799999999998</v>
          </cell>
          <cell r="V364">
            <v>2330.6799999999998</v>
          </cell>
          <cell r="W364">
            <v>2330.6799999999998</v>
          </cell>
          <cell r="X364">
            <v>2330.6799999999998</v>
          </cell>
          <cell r="Y364">
            <v>2330.6799999999998</v>
          </cell>
          <cell r="Z364">
            <v>2330.6800000000003</v>
          </cell>
          <cell r="AA364">
            <v>0</v>
          </cell>
          <cell r="AB364">
            <v>21135.030000000002</v>
          </cell>
        </row>
        <row r="365">
          <cell r="O365" t="str">
            <v>CC4YPR</v>
          </cell>
          <cell r="P365" t="str">
            <v>PERM CONT RENT 4YD</v>
          </cell>
          <cell r="Q365">
            <v>5137.25</v>
          </cell>
          <cell r="R365">
            <v>5154.51</v>
          </cell>
          <cell r="S365">
            <v>5144.2</v>
          </cell>
          <cell r="T365">
            <v>5139.46</v>
          </cell>
          <cell r="U365">
            <v>5081.46</v>
          </cell>
          <cell r="V365">
            <v>5157.2999999999993</v>
          </cell>
          <cell r="W365">
            <v>5196.9000000000005</v>
          </cell>
          <cell r="X365">
            <v>5214.1899999999987</v>
          </cell>
          <cell r="Y365">
            <v>5068.3599999999997</v>
          </cell>
          <cell r="Z365">
            <v>5150.05</v>
          </cell>
          <cell r="AA365">
            <v>0</v>
          </cell>
          <cell r="AB365">
            <v>46306.43</v>
          </cell>
        </row>
        <row r="366">
          <cell r="O366" t="str">
            <v>CC5Y1W</v>
          </cell>
          <cell r="P366" t="str">
            <v>5YD CONT 1X WEEKLY</v>
          </cell>
          <cell r="Q366">
            <v>1298.1500000000001</v>
          </cell>
          <cell r="R366">
            <v>1298.1500000000001</v>
          </cell>
          <cell r="S366">
            <v>1298.1500000000001</v>
          </cell>
          <cell r="T366">
            <v>1298.1500000000001</v>
          </cell>
          <cell r="U366">
            <v>1298.1500000000001</v>
          </cell>
          <cell r="V366">
            <v>1298.1500000000001</v>
          </cell>
          <cell r="W366">
            <v>1298.1500000000001</v>
          </cell>
          <cell r="X366">
            <v>1298.1500000000001</v>
          </cell>
          <cell r="Y366">
            <v>1298.1500000000001</v>
          </cell>
          <cell r="Z366">
            <v>1298.1500000000001</v>
          </cell>
          <cell r="AA366">
            <v>0</v>
          </cell>
          <cell r="AB366">
            <v>11683.349999999999</v>
          </cell>
        </row>
        <row r="367">
          <cell r="O367" t="str">
            <v>CC5YEOW</v>
          </cell>
          <cell r="P367" t="str">
            <v>5YD CONTAINER EOW</v>
          </cell>
          <cell r="Q367">
            <v>130.11000000000001</v>
          </cell>
          <cell r="R367">
            <v>130.11000000000001</v>
          </cell>
          <cell r="S367">
            <v>130.11000000000001</v>
          </cell>
          <cell r="T367">
            <v>130.11000000000001</v>
          </cell>
          <cell r="U367">
            <v>130.11000000000001</v>
          </cell>
          <cell r="V367">
            <v>130.11000000000001</v>
          </cell>
          <cell r="W367">
            <v>130.11000000000001</v>
          </cell>
          <cell r="X367">
            <v>130.11000000000001</v>
          </cell>
          <cell r="Y367">
            <v>65.060000000000016</v>
          </cell>
          <cell r="Z367">
            <v>130.11000000000001</v>
          </cell>
          <cell r="AA367">
            <v>0</v>
          </cell>
          <cell r="AB367">
            <v>1105.94</v>
          </cell>
        </row>
        <row r="368">
          <cell r="O368" t="str">
            <v>CC5YPR</v>
          </cell>
          <cell r="P368" t="str">
            <v>PERM CONT RENT 5YD</v>
          </cell>
          <cell r="Q368">
            <v>106.68</v>
          </cell>
          <cell r="R368">
            <v>106.68</v>
          </cell>
          <cell r="S368">
            <v>106.68</v>
          </cell>
          <cell r="T368">
            <v>106.68</v>
          </cell>
          <cell r="U368">
            <v>106.68</v>
          </cell>
          <cell r="V368">
            <v>106.68</v>
          </cell>
          <cell r="W368">
            <v>106.68</v>
          </cell>
          <cell r="X368">
            <v>106.68</v>
          </cell>
          <cell r="Y368">
            <v>97.79</v>
          </cell>
          <cell r="Z368">
            <v>106.68</v>
          </cell>
          <cell r="AA368">
            <v>0</v>
          </cell>
          <cell r="AB368">
            <v>951.23000000000025</v>
          </cell>
        </row>
        <row r="369">
          <cell r="O369" t="str">
            <v>CC6Y1W</v>
          </cell>
          <cell r="P369" t="str">
            <v>6YD CONT 1X WEEKLY</v>
          </cell>
          <cell r="Q369">
            <v>28825.32</v>
          </cell>
          <cell r="R369">
            <v>28517.86</v>
          </cell>
          <cell r="S369">
            <v>28517.839999999997</v>
          </cell>
          <cell r="T369">
            <v>28748.44</v>
          </cell>
          <cell r="U369">
            <v>29363.379999999997</v>
          </cell>
          <cell r="V369">
            <v>29348.010000000002</v>
          </cell>
          <cell r="W369">
            <v>29055.910000000003</v>
          </cell>
          <cell r="X369">
            <v>27441.71</v>
          </cell>
          <cell r="Y369">
            <v>25366.28</v>
          </cell>
          <cell r="Z369">
            <v>25366.28</v>
          </cell>
          <cell r="AA369">
            <v>0</v>
          </cell>
          <cell r="AB369">
            <v>251725.71</v>
          </cell>
        </row>
        <row r="370">
          <cell r="O370" t="str">
            <v>CC6Y2W</v>
          </cell>
          <cell r="P370" t="str">
            <v>6YD CONT 2X WEEKLY</v>
          </cell>
          <cell r="Q370">
            <v>13836.38</v>
          </cell>
          <cell r="R370">
            <v>13528.9</v>
          </cell>
          <cell r="S370">
            <v>13067.69</v>
          </cell>
          <cell r="T370">
            <v>12990.82</v>
          </cell>
          <cell r="U370">
            <v>14143.85</v>
          </cell>
          <cell r="V370">
            <v>14297.590000000002</v>
          </cell>
          <cell r="W370">
            <v>14895.46</v>
          </cell>
          <cell r="X370">
            <v>14143.86</v>
          </cell>
          <cell r="Y370">
            <v>14605.060000000001</v>
          </cell>
          <cell r="Z370">
            <v>14758.8</v>
          </cell>
          <cell r="AA370">
            <v>0</v>
          </cell>
          <cell r="AB370">
            <v>126432.03</v>
          </cell>
        </row>
        <row r="371">
          <cell r="O371" t="str">
            <v>CC6Y3W</v>
          </cell>
          <cell r="P371" t="str">
            <v>6YD CONT 3X WEEKLY</v>
          </cell>
          <cell r="Q371">
            <v>7379.3600000000006</v>
          </cell>
          <cell r="R371">
            <v>7308.35</v>
          </cell>
          <cell r="S371">
            <v>8301.7799999999988</v>
          </cell>
          <cell r="T371">
            <v>7379.37</v>
          </cell>
          <cell r="U371">
            <v>6456.9400000000005</v>
          </cell>
          <cell r="V371">
            <v>6456.9400000000005</v>
          </cell>
          <cell r="W371">
            <v>6456.9400000000005</v>
          </cell>
          <cell r="X371">
            <v>6456.9400000000005</v>
          </cell>
          <cell r="Y371">
            <v>6456.9400000000005</v>
          </cell>
          <cell r="Z371">
            <v>6456.9400000000005</v>
          </cell>
          <cell r="AA371">
            <v>0</v>
          </cell>
          <cell r="AB371">
            <v>61731.140000000014</v>
          </cell>
        </row>
        <row r="372">
          <cell r="O372" t="str">
            <v>CC6Y5W</v>
          </cell>
          <cell r="P372" t="str">
            <v>6YD CONT 5X WEEKLY</v>
          </cell>
          <cell r="Q372">
            <v>3074.74</v>
          </cell>
          <cell r="R372">
            <v>3074.74</v>
          </cell>
          <cell r="S372">
            <v>1537.37</v>
          </cell>
          <cell r="T372">
            <v>1537.37</v>
          </cell>
          <cell r="U372">
            <v>1537.37</v>
          </cell>
          <cell r="V372">
            <v>1537.37</v>
          </cell>
          <cell r="W372">
            <v>1537.37</v>
          </cell>
          <cell r="X372">
            <v>1537.37</v>
          </cell>
          <cell r="Y372">
            <v>1537.37</v>
          </cell>
          <cell r="Z372">
            <v>1537.37</v>
          </cell>
          <cell r="AA372">
            <v>0</v>
          </cell>
          <cell r="AB372">
            <v>15373.699999999997</v>
          </cell>
        </row>
        <row r="373">
          <cell r="O373" t="str">
            <v>CC6YEOW</v>
          </cell>
          <cell r="P373" t="str">
            <v>6YD CONTAINER EOW</v>
          </cell>
          <cell r="Q373">
            <v>3158.8500000000004</v>
          </cell>
          <cell r="R373">
            <v>3081.8</v>
          </cell>
          <cell r="S373">
            <v>3081.8</v>
          </cell>
          <cell r="T373">
            <v>2927.71</v>
          </cell>
          <cell r="U373">
            <v>2927.71</v>
          </cell>
          <cell r="V373">
            <v>2927.71</v>
          </cell>
          <cell r="W373">
            <v>2773.6200000000003</v>
          </cell>
          <cell r="X373">
            <v>2773.6200000000003</v>
          </cell>
          <cell r="Y373">
            <v>2619.5300000000002</v>
          </cell>
          <cell r="Z373">
            <v>2619.5300000000002</v>
          </cell>
          <cell r="AA373">
            <v>0</v>
          </cell>
          <cell r="AB373">
            <v>25733.029999999995</v>
          </cell>
        </row>
        <row r="374">
          <cell r="O374" t="str">
            <v>CC6YPR</v>
          </cell>
          <cell r="P374" t="str">
            <v>PERM CONT RENT 6YD</v>
          </cell>
          <cell r="Q374">
            <v>2733.61</v>
          </cell>
          <cell r="R374">
            <v>2710.08</v>
          </cell>
          <cell r="S374">
            <v>2692.52</v>
          </cell>
          <cell r="T374">
            <v>2697.54</v>
          </cell>
          <cell r="U374">
            <v>2744.58</v>
          </cell>
          <cell r="V374">
            <v>2735.8</v>
          </cell>
          <cell r="W374">
            <v>2720.1200000000003</v>
          </cell>
          <cell r="X374">
            <v>2577.08</v>
          </cell>
          <cell r="Y374">
            <v>2455.6999999999998</v>
          </cell>
          <cell r="Z374">
            <v>2470.4299999999998</v>
          </cell>
          <cell r="AA374">
            <v>0</v>
          </cell>
          <cell r="AB374">
            <v>23803.850000000002</v>
          </cell>
        </row>
        <row r="375">
          <cell r="O375" t="str">
            <v>CC6YTR</v>
          </cell>
          <cell r="P375" t="str">
            <v>TEMP CONT RENT 6YD</v>
          </cell>
          <cell r="Q375">
            <v>0</v>
          </cell>
          <cell r="R375">
            <v>0</v>
          </cell>
          <cell r="S375">
            <v>0</v>
          </cell>
          <cell r="T375">
            <v>0</v>
          </cell>
          <cell r="U375">
            <v>0</v>
          </cell>
          <cell r="V375">
            <v>0</v>
          </cell>
          <cell r="W375">
            <v>0</v>
          </cell>
          <cell r="X375">
            <v>0</v>
          </cell>
          <cell r="Y375">
            <v>1.88</v>
          </cell>
          <cell r="Z375">
            <v>0</v>
          </cell>
          <cell r="AA375">
            <v>0</v>
          </cell>
          <cell r="AB375">
            <v>1.88</v>
          </cell>
        </row>
        <row r="376">
          <cell r="O376" t="str">
            <v>CC8Y1W</v>
          </cell>
          <cell r="P376" t="str">
            <v>8YD CONT 1X WEEKLY</v>
          </cell>
          <cell r="Q376">
            <v>16102.400000000001</v>
          </cell>
          <cell r="R376">
            <v>16102.400000000001</v>
          </cell>
          <cell r="S376">
            <v>16404.32</v>
          </cell>
          <cell r="T376">
            <v>16605.600000000002</v>
          </cell>
          <cell r="U376">
            <v>16203.04</v>
          </cell>
          <cell r="V376">
            <v>16504.96</v>
          </cell>
          <cell r="W376">
            <v>16102.4</v>
          </cell>
          <cell r="X376">
            <v>15699.84</v>
          </cell>
          <cell r="Y376">
            <v>15287.54</v>
          </cell>
          <cell r="Z376">
            <v>15901.12</v>
          </cell>
          <cell r="AA376">
            <v>0</v>
          </cell>
          <cell r="AB376">
            <v>144811.22</v>
          </cell>
        </row>
        <row r="377">
          <cell r="O377" t="str">
            <v>CC8Y2W</v>
          </cell>
          <cell r="P377" t="str">
            <v>8YD CONT 2X WEEKLY</v>
          </cell>
          <cell r="Q377">
            <v>9661.44</v>
          </cell>
          <cell r="R377">
            <v>9661.44</v>
          </cell>
          <cell r="S377">
            <v>9762.08</v>
          </cell>
          <cell r="T377">
            <v>10667.84</v>
          </cell>
          <cell r="U377">
            <v>11271.68</v>
          </cell>
          <cell r="V377">
            <v>11271.68</v>
          </cell>
          <cell r="W377">
            <v>12076.8</v>
          </cell>
          <cell r="X377">
            <v>10869.119999999999</v>
          </cell>
          <cell r="Y377">
            <v>11070.4</v>
          </cell>
          <cell r="Z377">
            <v>11171.039999999999</v>
          </cell>
          <cell r="AA377">
            <v>0</v>
          </cell>
          <cell r="AB377">
            <v>97822.079999999987</v>
          </cell>
        </row>
        <row r="378">
          <cell r="O378" t="str">
            <v>CC8Y3W</v>
          </cell>
          <cell r="P378" t="str">
            <v>8YD CONT 3X WEEKLY</v>
          </cell>
          <cell r="Q378">
            <v>4830.72</v>
          </cell>
          <cell r="R378">
            <v>4830.72</v>
          </cell>
          <cell r="S378">
            <v>4830.72</v>
          </cell>
          <cell r="T378">
            <v>4830.72</v>
          </cell>
          <cell r="U378">
            <v>4830.72</v>
          </cell>
          <cell r="V378">
            <v>4830.72</v>
          </cell>
          <cell r="W378">
            <v>4830.72</v>
          </cell>
          <cell r="X378">
            <v>4830.72</v>
          </cell>
          <cell r="Y378">
            <v>4830.72</v>
          </cell>
          <cell r="Z378">
            <v>4830.72</v>
          </cell>
          <cell r="AA378">
            <v>0</v>
          </cell>
          <cell r="AB378">
            <v>43476.480000000003</v>
          </cell>
        </row>
        <row r="379">
          <cell r="O379" t="str">
            <v>CC8Y4W</v>
          </cell>
          <cell r="P379" t="str">
            <v>8YD CONT 4X WEEKLY</v>
          </cell>
          <cell r="Q379">
            <v>1610.24</v>
          </cell>
          <cell r="R379">
            <v>1610.24</v>
          </cell>
          <cell r="S379">
            <v>1610.24</v>
          </cell>
          <cell r="T379">
            <v>1610.24</v>
          </cell>
          <cell r="U379">
            <v>1610.24</v>
          </cell>
          <cell r="V379">
            <v>1610.24</v>
          </cell>
          <cell r="W379">
            <v>1610.24</v>
          </cell>
          <cell r="X379">
            <v>1610.24</v>
          </cell>
          <cell r="Y379">
            <v>1610.24</v>
          </cell>
          <cell r="Z379">
            <v>1610.24</v>
          </cell>
          <cell r="AA379">
            <v>0</v>
          </cell>
          <cell r="AB379">
            <v>14492.16</v>
          </cell>
        </row>
        <row r="380">
          <cell r="O380" t="str">
            <v>CC8YEOW</v>
          </cell>
          <cell r="P380" t="str">
            <v>8YD CONTAINER EOW</v>
          </cell>
          <cell r="Q380">
            <v>907.83</v>
          </cell>
          <cell r="R380">
            <v>605.22</v>
          </cell>
          <cell r="S380">
            <v>605.22</v>
          </cell>
          <cell r="T380">
            <v>605.22</v>
          </cell>
          <cell r="U380">
            <v>605.22</v>
          </cell>
          <cell r="V380">
            <v>605.22</v>
          </cell>
          <cell r="W380">
            <v>806.96</v>
          </cell>
          <cell r="X380">
            <v>806.96</v>
          </cell>
          <cell r="Y380">
            <v>806.96</v>
          </cell>
          <cell r="Z380">
            <v>403.48</v>
          </cell>
          <cell r="AA380">
            <v>0</v>
          </cell>
          <cell r="AB380">
            <v>5850.4600000000009</v>
          </cell>
        </row>
        <row r="381">
          <cell r="O381" t="str">
            <v>CC8YPR</v>
          </cell>
          <cell r="P381" t="str">
            <v>PERM CONT RENT 8YD</v>
          </cell>
          <cell r="Q381">
            <v>1335.9099999999999</v>
          </cell>
          <cell r="R381">
            <v>1339.56</v>
          </cell>
          <cell r="S381">
            <v>1360.79</v>
          </cell>
          <cell r="T381">
            <v>1405.44</v>
          </cell>
          <cell r="U381">
            <v>1387.87</v>
          </cell>
          <cell r="V381">
            <v>1405.4400000000003</v>
          </cell>
          <cell r="W381">
            <v>1425.94</v>
          </cell>
          <cell r="X381">
            <v>1355.66</v>
          </cell>
          <cell r="Y381">
            <v>1306.6200000000001</v>
          </cell>
          <cell r="Z381">
            <v>1300.04</v>
          </cell>
          <cell r="AA381">
            <v>0</v>
          </cell>
          <cell r="AB381">
            <v>12287.36</v>
          </cell>
        </row>
        <row r="382">
          <cell r="O382" t="str">
            <v>CC8YTR</v>
          </cell>
          <cell r="P382" t="str">
            <v>TEMP CONT RENT 8YD</v>
          </cell>
          <cell r="Q382">
            <v>18.3</v>
          </cell>
          <cell r="R382">
            <v>21.96</v>
          </cell>
          <cell r="S382">
            <v>14.64</v>
          </cell>
          <cell r="T382">
            <v>0</v>
          </cell>
          <cell r="U382">
            <v>3.66</v>
          </cell>
          <cell r="V382">
            <v>8.0500000000000007</v>
          </cell>
          <cell r="W382">
            <v>0</v>
          </cell>
          <cell r="X382">
            <v>5.86</v>
          </cell>
          <cell r="Y382">
            <v>18.3</v>
          </cell>
          <cell r="Z382">
            <v>21.96</v>
          </cell>
          <cell r="AA382">
            <v>0</v>
          </cell>
          <cell r="AB382">
            <v>94.43</v>
          </cell>
        </row>
        <row r="383">
          <cell r="O383" t="str">
            <v>CCCMP2Y</v>
          </cell>
          <cell r="P383" t="str">
            <v>2YD COMP CONT 1X WKLY</v>
          </cell>
          <cell r="Q383">
            <v>244.77</v>
          </cell>
          <cell r="R383">
            <v>244.77</v>
          </cell>
          <cell r="S383">
            <v>244.77</v>
          </cell>
          <cell r="T383">
            <v>244.77</v>
          </cell>
          <cell r="U383">
            <v>244.77</v>
          </cell>
          <cell r="V383">
            <v>244.77</v>
          </cell>
          <cell r="W383">
            <v>244.77</v>
          </cell>
          <cell r="X383">
            <v>244.77</v>
          </cell>
          <cell r="Y383">
            <v>244.77</v>
          </cell>
          <cell r="Z383">
            <v>244.77</v>
          </cell>
          <cell r="AA383">
            <v>0</v>
          </cell>
          <cell r="AB383">
            <v>2202.9300000000003</v>
          </cell>
        </row>
        <row r="384">
          <cell r="O384" t="str">
            <v>CCCMP3Y</v>
          </cell>
          <cell r="P384" t="str">
            <v>3YD COMP CONT 1X WKLY</v>
          </cell>
          <cell r="Q384">
            <v>669.5</v>
          </cell>
          <cell r="R384">
            <v>669.5</v>
          </cell>
          <cell r="S384">
            <v>669.5</v>
          </cell>
          <cell r="T384">
            <v>669.5</v>
          </cell>
          <cell r="U384">
            <v>669.5</v>
          </cell>
          <cell r="V384">
            <v>669.5</v>
          </cell>
          <cell r="W384">
            <v>669.5</v>
          </cell>
          <cell r="X384">
            <v>669.5</v>
          </cell>
          <cell r="Y384">
            <v>669.5</v>
          </cell>
          <cell r="Z384">
            <v>0</v>
          </cell>
          <cell r="AA384">
            <v>0</v>
          </cell>
          <cell r="AB384">
            <v>5356</v>
          </cell>
        </row>
        <row r="385">
          <cell r="O385" t="str">
            <v>CCCMP4Y</v>
          </cell>
          <cell r="P385" t="str">
            <v>4YD COMP CONT 1X WKLY</v>
          </cell>
          <cell r="Q385">
            <v>2175.85</v>
          </cell>
          <cell r="R385">
            <v>2175.85</v>
          </cell>
          <cell r="S385">
            <v>2175.85</v>
          </cell>
          <cell r="T385">
            <v>2175.85</v>
          </cell>
          <cell r="U385">
            <v>2175.85</v>
          </cell>
          <cell r="V385">
            <v>2175.85</v>
          </cell>
          <cell r="W385">
            <v>2175.85</v>
          </cell>
          <cell r="X385">
            <v>2175.85</v>
          </cell>
          <cell r="Y385">
            <v>2175.85</v>
          </cell>
          <cell r="Z385">
            <v>2175.85</v>
          </cell>
          <cell r="AA385">
            <v>0</v>
          </cell>
          <cell r="AB385">
            <v>19582.649999999998</v>
          </cell>
        </row>
        <row r="386">
          <cell r="O386" t="str">
            <v>CCDISC</v>
          </cell>
          <cell r="P386" t="str">
            <v>COMPACTOR CONT DISCONNECT</v>
          </cell>
          <cell r="Q386">
            <v>188.35000000000002</v>
          </cell>
          <cell r="R386">
            <v>188.35000000000002</v>
          </cell>
          <cell r="S386">
            <v>188.35000000000002</v>
          </cell>
          <cell r="T386">
            <v>188.35000000000002</v>
          </cell>
          <cell r="U386">
            <v>188.35000000000002</v>
          </cell>
          <cell r="V386">
            <v>188.35000000000002</v>
          </cell>
          <cell r="W386">
            <v>188.35000000000002</v>
          </cell>
          <cell r="X386">
            <v>188.35000000000002</v>
          </cell>
          <cell r="Y386">
            <v>188.35000000000002</v>
          </cell>
          <cell r="Z386">
            <v>113.01</v>
          </cell>
          <cell r="AA386">
            <v>0</v>
          </cell>
          <cell r="AB386">
            <v>1619.8100000000002</v>
          </cell>
        </row>
        <row r="387">
          <cell r="O387" t="str">
            <v>CCDRVIN</v>
          </cell>
          <cell r="P387" t="str">
            <v>DRIVE IN CHARGE - PER MTH</v>
          </cell>
          <cell r="Q387">
            <v>174.79999999999998</v>
          </cell>
          <cell r="R387">
            <v>186.26999999999998</v>
          </cell>
          <cell r="S387">
            <v>186.26999999999998</v>
          </cell>
          <cell r="T387">
            <v>175.09</v>
          </cell>
          <cell r="U387">
            <v>175.09</v>
          </cell>
          <cell r="V387">
            <v>176.81</v>
          </cell>
          <cell r="W387">
            <v>175.08999999999997</v>
          </cell>
          <cell r="X387">
            <v>171.35999999999999</v>
          </cell>
          <cell r="Y387">
            <v>169.35999999999999</v>
          </cell>
          <cell r="Z387">
            <v>163.91</v>
          </cell>
          <cell r="AA387">
            <v>0</v>
          </cell>
          <cell r="AB387">
            <v>1579.2499999999998</v>
          </cell>
        </row>
        <row r="388">
          <cell r="O388" t="str">
            <v>CCEXCAN</v>
          </cell>
          <cell r="P388" t="str">
            <v>EXTRA = CANS - COM</v>
          </cell>
          <cell r="Q388">
            <v>596.75</v>
          </cell>
          <cell r="R388">
            <v>611.67000000000007</v>
          </cell>
          <cell r="S388">
            <v>474.03000000000003</v>
          </cell>
          <cell r="T388">
            <v>631.40000000000009</v>
          </cell>
          <cell r="U388">
            <v>592.9</v>
          </cell>
          <cell r="V388">
            <v>1001.0000000000001</v>
          </cell>
          <cell r="W388">
            <v>1328.25</v>
          </cell>
          <cell r="X388">
            <v>1436.0499999999997</v>
          </cell>
          <cell r="Y388">
            <v>1243.55</v>
          </cell>
          <cell r="Z388">
            <v>1112.49</v>
          </cell>
          <cell r="AA388">
            <v>0</v>
          </cell>
          <cell r="AB388">
            <v>8431.34</v>
          </cell>
        </row>
        <row r="389">
          <cell r="O389" t="str">
            <v>CCEXYD</v>
          </cell>
          <cell r="P389" t="str">
            <v>EXTRA = YARDS</v>
          </cell>
          <cell r="Q389">
            <v>7954.95</v>
          </cell>
          <cell r="R389">
            <v>8684.52</v>
          </cell>
          <cell r="S389">
            <v>9329.7100000000009</v>
          </cell>
          <cell r="T389">
            <v>7515.45</v>
          </cell>
          <cell r="U389">
            <v>6500.21</v>
          </cell>
          <cell r="V389">
            <v>8306.5499999999993</v>
          </cell>
          <cell r="W389">
            <v>6759.5099999999993</v>
          </cell>
          <cell r="X389">
            <v>6914.8700000000008</v>
          </cell>
          <cell r="Y389">
            <v>6276.09</v>
          </cell>
          <cell r="Z389">
            <v>5058.68</v>
          </cell>
          <cell r="AA389">
            <v>0</v>
          </cell>
          <cell r="AB389">
            <v>65345.590000000004</v>
          </cell>
        </row>
        <row r="390">
          <cell r="O390" t="str">
            <v>CCPLACE</v>
          </cell>
          <cell r="P390" t="str">
            <v>CONTAINER DELIVERY FEE</v>
          </cell>
          <cell r="Q390">
            <v>1130.4000000000001</v>
          </cell>
          <cell r="R390">
            <v>1130.4000000000001</v>
          </cell>
          <cell r="S390">
            <v>1130.4000000000001</v>
          </cell>
          <cell r="T390">
            <v>1821.2</v>
          </cell>
          <cell r="U390">
            <v>2417.7999999999997</v>
          </cell>
          <cell r="V390">
            <v>2700.4</v>
          </cell>
          <cell r="W390">
            <v>2135.1999999999998</v>
          </cell>
          <cell r="X390">
            <v>1946.8</v>
          </cell>
          <cell r="Y390">
            <v>1727</v>
          </cell>
          <cell r="Z390">
            <v>1821.2</v>
          </cell>
          <cell r="AA390">
            <v>0</v>
          </cell>
          <cell r="AB390">
            <v>16830.399999999998</v>
          </cell>
        </row>
        <row r="391">
          <cell r="O391" t="str">
            <v>CCSP15Y</v>
          </cell>
          <cell r="P391" t="str">
            <v>SPECIAL PICKUP 1.5YD CONT</v>
          </cell>
          <cell r="Q391">
            <v>23.77</v>
          </cell>
          <cell r="R391">
            <v>23.77</v>
          </cell>
          <cell r="S391">
            <v>118.85</v>
          </cell>
          <cell r="T391">
            <v>71.31</v>
          </cell>
          <cell r="U391">
            <v>71.31</v>
          </cell>
          <cell r="V391">
            <v>190.16</v>
          </cell>
          <cell r="W391">
            <v>71.31</v>
          </cell>
          <cell r="X391">
            <v>213.92999999999998</v>
          </cell>
          <cell r="Y391">
            <v>95.08</v>
          </cell>
          <cell r="Z391">
            <v>166.39000000000001</v>
          </cell>
          <cell r="AA391">
            <v>0</v>
          </cell>
          <cell r="AB391">
            <v>1022.11</v>
          </cell>
        </row>
        <row r="392">
          <cell r="O392" t="str">
            <v>CCSP1Y</v>
          </cell>
          <cell r="P392" t="str">
            <v>SPECIAL PICKUP 1YD CONT</v>
          </cell>
          <cell r="Q392">
            <v>358</v>
          </cell>
          <cell r="R392">
            <v>143.19999999999999</v>
          </cell>
          <cell r="S392">
            <v>590.70000000000005</v>
          </cell>
          <cell r="T392">
            <v>304.29999999999995</v>
          </cell>
          <cell r="U392">
            <v>501.2</v>
          </cell>
          <cell r="V392">
            <v>636.20000000000005</v>
          </cell>
          <cell r="W392">
            <v>698.1</v>
          </cell>
          <cell r="X392">
            <v>537</v>
          </cell>
          <cell r="Y392">
            <v>590.70000000000005</v>
          </cell>
          <cell r="Z392">
            <v>483.29999999999995</v>
          </cell>
          <cell r="AA392">
            <v>0</v>
          </cell>
          <cell r="AB392">
            <v>4484.7000000000007</v>
          </cell>
        </row>
        <row r="393">
          <cell r="O393" t="str">
            <v>CCSP2Y</v>
          </cell>
          <cell r="P393" t="str">
            <v>SPECIAL PICKUP 2YD CONT</v>
          </cell>
          <cell r="Q393">
            <v>364.78</v>
          </cell>
          <cell r="R393">
            <v>168.35999999999999</v>
          </cell>
          <cell r="S393">
            <v>533.14</v>
          </cell>
          <cell r="T393">
            <v>561.20000000000005</v>
          </cell>
          <cell r="U393">
            <v>280.60000000000002</v>
          </cell>
          <cell r="V393">
            <v>577.83999999999992</v>
          </cell>
          <cell r="W393">
            <v>797.10000000000014</v>
          </cell>
          <cell r="X393">
            <v>701.5</v>
          </cell>
          <cell r="Y393">
            <v>561.19999999999993</v>
          </cell>
          <cell r="Z393">
            <v>533.14</v>
          </cell>
          <cell r="AA393">
            <v>0</v>
          </cell>
          <cell r="AB393">
            <v>4714.0800000000008</v>
          </cell>
        </row>
        <row r="394">
          <cell r="O394" t="str">
            <v>CCSP3Y</v>
          </cell>
          <cell r="P394" t="str">
            <v>SPECIAL PICKUP 3YD CONT</v>
          </cell>
          <cell r="Q394">
            <v>154.88</v>
          </cell>
          <cell r="R394">
            <v>77.44</v>
          </cell>
          <cell r="S394">
            <v>154.88</v>
          </cell>
          <cell r="T394">
            <v>77.44</v>
          </cell>
          <cell r="U394">
            <v>116.16</v>
          </cell>
          <cell r="V394">
            <v>0</v>
          </cell>
          <cell r="W394">
            <v>154.88</v>
          </cell>
          <cell r="X394">
            <v>38.72</v>
          </cell>
          <cell r="Y394">
            <v>38.72</v>
          </cell>
          <cell r="Z394">
            <v>38.72</v>
          </cell>
          <cell r="AA394">
            <v>0</v>
          </cell>
          <cell r="AB394">
            <v>696.96</v>
          </cell>
        </row>
        <row r="395">
          <cell r="O395" t="str">
            <v>CCSP4Y</v>
          </cell>
          <cell r="P395" t="str">
            <v>SPECIAL PICKUP 4YD CONT</v>
          </cell>
          <cell r="Q395">
            <v>149.46</v>
          </cell>
          <cell r="R395">
            <v>0</v>
          </cell>
          <cell r="S395">
            <v>149.46</v>
          </cell>
          <cell r="T395">
            <v>99.64</v>
          </cell>
          <cell r="U395">
            <v>149.46</v>
          </cell>
          <cell r="V395">
            <v>0</v>
          </cell>
          <cell r="W395">
            <v>249.1</v>
          </cell>
          <cell r="X395">
            <v>0</v>
          </cell>
          <cell r="Y395">
            <v>298.92</v>
          </cell>
          <cell r="Z395">
            <v>199.28</v>
          </cell>
          <cell r="AA395">
            <v>0</v>
          </cell>
          <cell r="AB395">
            <v>1145.8600000000001</v>
          </cell>
        </row>
        <row r="396">
          <cell r="O396" t="str">
            <v>CCSP5Y</v>
          </cell>
          <cell r="P396" t="str">
            <v>SPECIAL PICKUP 5YD CONT</v>
          </cell>
          <cell r="Q396">
            <v>0</v>
          </cell>
          <cell r="R396">
            <v>0</v>
          </cell>
          <cell r="S396">
            <v>0</v>
          </cell>
          <cell r="T396">
            <v>0</v>
          </cell>
          <cell r="U396">
            <v>0</v>
          </cell>
          <cell r="V396">
            <v>0</v>
          </cell>
          <cell r="W396">
            <v>243.84</v>
          </cell>
          <cell r="X396">
            <v>60.96</v>
          </cell>
          <cell r="Y396">
            <v>60.96</v>
          </cell>
          <cell r="Z396">
            <v>60.96</v>
          </cell>
          <cell r="AA396">
            <v>0</v>
          </cell>
          <cell r="AB396">
            <v>426.71999999999997</v>
          </cell>
        </row>
        <row r="397">
          <cell r="O397" t="str">
            <v>CCSP6Y</v>
          </cell>
          <cell r="P397" t="str">
            <v>SPECIAL PICKUP 6YD CONT</v>
          </cell>
          <cell r="Q397">
            <v>144.02000000000001</v>
          </cell>
          <cell r="R397">
            <v>144.02000000000001</v>
          </cell>
          <cell r="S397">
            <v>360.05</v>
          </cell>
          <cell r="T397">
            <v>216.03</v>
          </cell>
          <cell r="U397">
            <v>360.05</v>
          </cell>
          <cell r="V397">
            <v>144.02000000000001</v>
          </cell>
          <cell r="W397">
            <v>216.03</v>
          </cell>
          <cell r="X397">
            <v>0</v>
          </cell>
          <cell r="Y397">
            <v>144.02000000000001</v>
          </cell>
          <cell r="Z397">
            <v>72.010000000000005</v>
          </cell>
          <cell r="AA397">
            <v>0</v>
          </cell>
          <cell r="AB397">
            <v>1656.23</v>
          </cell>
        </row>
        <row r="398">
          <cell r="O398" t="str">
            <v>CCSP8Y</v>
          </cell>
          <cell r="P398" t="str">
            <v>SPECIAL PICKUP 8YD CONT</v>
          </cell>
          <cell r="Q398">
            <v>93.97</v>
          </cell>
          <cell r="R398">
            <v>0</v>
          </cell>
          <cell r="S398">
            <v>165.98</v>
          </cell>
          <cell r="T398">
            <v>93.97</v>
          </cell>
          <cell r="U398">
            <v>93.97</v>
          </cell>
          <cell r="V398">
            <v>563.82000000000005</v>
          </cell>
          <cell r="W398">
            <v>281.90999999999997</v>
          </cell>
          <cell r="X398">
            <v>187.94</v>
          </cell>
          <cell r="Y398">
            <v>187.94</v>
          </cell>
          <cell r="Z398">
            <v>187.94</v>
          </cell>
          <cell r="AA398">
            <v>0</v>
          </cell>
          <cell r="AB398">
            <v>1763.4700000000003</v>
          </cell>
        </row>
        <row r="399">
          <cell r="O399" t="str">
            <v>CCTP15Y</v>
          </cell>
          <cell r="P399" t="str">
            <v>TEMP PICKUP 1.5YD CONT</v>
          </cell>
          <cell r="Q399">
            <v>113.85</v>
          </cell>
          <cell r="R399">
            <v>136.62</v>
          </cell>
          <cell r="S399">
            <v>204.93</v>
          </cell>
          <cell r="T399">
            <v>113.85</v>
          </cell>
          <cell r="U399">
            <v>318.77999999999997</v>
          </cell>
          <cell r="V399">
            <v>136.62</v>
          </cell>
          <cell r="W399">
            <v>364.32</v>
          </cell>
          <cell r="X399">
            <v>296.01</v>
          </cell>
          <cell r="Y399">
            <v>409.86</v>
          </cell>
          <cell r="Z399">
            <v>182.16000000000003</v>
          </cell>
          <cell r="AA399">
            <v>0</v>
          </cell>
          <cell r="AB399">
            <v>2163.1499999999996</v>
          </cell>
        </row>
        <row r="400">
          <cell r="O400" t="str">
            <v>CCTP1Y</v>
          </cell>
          <cell r="P400" t="str">
            <v>TEMP PICKUP 1YD CONT</v>
          </cell>
          <cell r="Q400">
            <v>253.5</v>
          </cell>
          <cell r="R400">
            <v>380.25</v>
          </cell>
          <cell r="S400">
            <v>507</v>
          </cell>
          <cell r="T400">
            <v>422.5</v>
          </cell>
          <cell r="U400">
            <v>388.7</v>
          </cell>
          <cell r="V400">
            <v>473.20000000000005</v>
          </cell>
          <cell r="W400">
            <v>574.6</v>
          </cell>
          <cell r="X400">
            <v>726.69999999999993</v>
          </cell>
          <cell r="Y400">
            <v>574.6</v>
          </cell>
          <cell r="Z400">
            <v>507</v>
          </cell>
          <cell r="AA400">
            <v>0</v>
          </cell>
          <cell r="AB400">
            <v>4554.5499999999993</v>
          </cell>
        </row>
        <row r="401">
          <cell r="O401" t="str">
            <v>CCTP2Y</v>
          </cell>
          <cell r="P401" t="str">
            <v>TEMP PICKUP 2YD CONT</v>
          </cell>
          <cell r="Q401">
            <v>2207.56</v>
          </cell>
          <cell r="R401">
            <v>1872.5500000000002</v>
          </cell>
          <cell r="S401">
            <v>1975.3799999999999</v>
          </cell>
          <cell r="T401">
            <v>2083.62</v>
          </cell>
          <cell r="U401">
            <v>2516.58</v>
          </cell>
          <cell r="V401">
            <v>3179.5499999999997</v>
          </cell>
          <cell r="W401">
            <v>2922.48</v>
          </cell>
          <cell r="X401">
            <v>3327.38</v>
          </cell>
          <cell r="Y401">
            <v>3490.74</v>
          </cell>
          <cell r="Z401">
            <v>2868.3599999999997</v>
          </cell>
          <cell r="AA401">
            <v>0</v>
          </cell>
          <cell r="AB401">
            <v>24236.639999999999</v>
          </cell>
        </row>
        <row r="402">
          <cell r="O402" t="str">
            <v>CCTP3Y</v>
          </cell>
          <cell r="P402" t="str">
            <v>TEMP PICKUP 3YD CONT</v>
          </cell>
          <cell r="Q402">
            <v>75.44</v>
          </cell>
          <cell r="R402">
            <v>37.72</v>
          </cell>
          <cell r="S402">
            <v>150.88</v>
          </cell>
          <cell r="T402">
            <v>0</v>
          </cell>
          <cell r="U402">
            <v>113.16</v>
          </cell>
          <cell r="V402">
            <v>226.32</v>
          </cell>
          <cell r="W402">
            <v>113.16</v>
          </cell>
          <cell r="X402">
            <v>75.44</v>
          </cell>
          <cell r="Y402">
            <v>75.44</v>
          </cell>
          <cell r="Z402">
            <v>37.72</v>
          </cell>
          <cell r="AA402">
            <v>0</v>
          </cell>
          <cell r="AB402">
            <v>829.83999999999992</v>
          </cell>
        </row>
        <row r="403">
          <cell r="O403" t="str">
            <v>CCTP4Y</v>
          </cell>
          <cell r="P403" t="str">
            <v>TEMP PICKUP 4YD CONT</v>
          </cell>
          <cell r="Q403">
            <v>0</v>
          </cell>
          <cell r="R403">
            <v>0</v>
          </cell>
          <cell r="S403">
            <v>48.82</v>
          </cell>
          <cell r="T403">
            <v>0</v>
          </cell>
          <cell r="U403">
            <v>0</v>
          </cell>
          <cell r="V403">
            <v>0</v>
          </cell>
          <cell r="W403">
            <v>0</v>
          </cell>
          <cell r="X403">
            <v>0</v>
          </cell>
          <cell r="Y403">
            <v>0</v>
          </cell>
          <cell r="Z403">
            <v>0</v>
          </cell>
          <cell r="AA403">
            <v>0</v>
          </cell>
          <cell r="AB403">
            <v>48.82</v>
          </cell>
        </row>
        <row r="404">
          <cell r="O404" t="str">
            <v>CCTP8Y</v>
          </cell>
          <cell r="P404" t="str">
            <v>TEMP PICKUP 8YD CONT</v>
          </cell>
          <cell r="Q404">
            <v>0</v>
          </cell>
          <cell r="R404">
            <v>92.97</v>
          </cell>
          <cell r="S404">
            <v>92.97</v>
          </cell>
          <cell r="T404">
            <v>0</v>
          </cell>
          <cell r="U404">
            <v>0</v>
          </cell>
          <cell r="V404">
            <v>0</v>
          </cell>
          <cell r="W404">
            <v>0</v>
          </cell>
          <cell r="X404">
            <v>0</v>
          </cell>
          <cell r="Y404">
            <v>0</v>
          </cell>
          <cell r="Z404">
            <v>0</v>
          </cell>
          <cell r="AA404">
            <v>0</v>
          </cell>
          <cell r="AB404">
            <v>185.94</v>
          </cell>
        </row>
        <row r="405">
          <cell r="O405" t="str">
            <v>CCTRIP</v>
          </cell>
          <cell r="P405" t="str">
            <v>TRIP CHARGE - CONTAINER</v>
          </cell>
          <cell r="Q405">
            <v>565.20000000000005</v>
          </cell>
          <cell r="R405">
            <v>314</v>
          </cell>
          <cell r="S405">
            <v>983.9</v>
          </cell>
          <cell r="T405">
            <v>753.6</v>
          </cell>
          <cell r="U405">
            <v>722.2</v>
          </cell>
          <cell r="V405">
            <v>952.5</v>
          </cell>
          <cell r="W405">
            <v>1078.0999999999999</v>
          </cell>
          <cell r="X405">
            <v>502.4</v>
          </cell>
          <cell r="Y405">
            <v>764.1</v>
          </cell>
          <cell r="Z405">
            <v>596.6</v>
          </cell>
          <cell r="AA405">
            <v>0</v>
          </cell>
          <cell r="AB405">
            <v>6667.4</v>
          </cell>
        </row>
        <row r="406">
          <cell r="O406" t="str">
            <v>CROLLOUT</v>
          </cell>
          <cell r="P406" t="str">
            <v>ROLLOUT CHARGE - PER MTH</v>
          </cell>
          <cell r="Q406">
            <v>4779.9799999999996</v>
          </cell>
          <cell r="R406">
            <v>4850.1100000000006</v>
          </cell>
          <cell r="S406">
            <v>4836.5499999999993</v>
          </cell>
          <cell r="T406">
            <v>4844.07</v>
          </cell>
          <cell r="U406">
            <v>4943.2500000000009</v>
          </cell>
          <cell r="V406">
            <v>5033.369999999999</v>
          </cell>
          <cell r="W406">
            <v>5053.75</v>
          </cell>
          <cell r="X406">
            <v>5153.12</v>
          </cell>
          <cell r="Y406">
            <v>4061.5</v>
          </cell>
          <cell r="Z406">
            <v>4950.9799999999996</v>
          </cell>
          <cell r="AA406">
            <v>0</v>
          </cell>
          <cell r="AB406">
            <v>43726.7</v>
          </cell>
        </row>
        <row r="407">
          <cell r="O407" t="str">
            <v>CROLLOUTEOW</v>
          </cell>
          <cell r="P407" t="str">
            <v>EOW CONT ROLLOUT CHARGE</v>
          </cell>
          <cell r="Q407">
            <v>222.46</v>
          </cell>
          <cell r="R407">
            <v>217.92000000000002</v>
          </cell>
          <cell r="S407">
            <v>224.73000000000002</v>
          </cell>
          <cell r="T407">
            <v>233.81</v>
          </cell>
          <cell r="U407">
            <v>211.11</v>
          </cell>
          <cell r="V407">
            <v>190.68</v>
          </cell>
          <cell r="W407">
            <v>190.68</v>
          </cell>
          <cell r="X407">
            <v>197.49</v>
          </cell>
          <cell r="Y407">
            <v>192.95000000000002</v>
          </cell>
          <cell r="Z407">
            <v>192.95000000000002</v>
          </cell>
          <cell r="AA407">
            <v>0</v>
          </cell>
          <cell r="AB407">
            <v>1852.3200000000002</v>
          </cell>
        </row>
        <row r="408">
          <cell r="O408" t="str">
            <v>CRTRIP</v>
          </cell>
          <cell r="P408" t="str">
            <v>TRIP CHARGE - CART/CAN</v>
          </cell>
          <cell r="Q408">
            <v>0</v>
          </cell>
          <cell r="R408">
            <v>12.4</v>
          </cell>
          <cell r="S408">
            <v>0</v>
          </cell>
          <cell r="T408">
            <v>0</v>
          </cell>
          <cell r="U408">
            <v>21</v>
          </cell>
          <cell r="V408">
            <v>0</v>
          </cell>
          <cell r="W408">
            <v>0</v>
          </cell>
          <cell r="X408">
            <v>0</v>
          </cell>
          <cell r="Y408">
            <v>10.5</v>
          </cell>
          <cell r="Z408">
            <v>0</v>
          </cell>
          <cell r="AA408">
            <v>0</v>
          </cell>
          <cell r="AB408">
            <v>43.9</v>
          </cell>
        </row>
        <row r="409">
          <cell r="O409" t="str">
            <v>CTIME1M</v>
          </cell>
          <cell r="P409" t="str">
            <v>TIME CHARGE - 1 MAN</v>
          </cell>
          <cell r="Q409">
            <v>0</v>
          </cell>
          <cell r="R409">
            <v>0</v>
          </cell>
          <cell r="S409">
            <v>0</v>
          </cell>
          <cell r="T409">
            <v>0</v>
          </cell>
          <cell r="U409">
            <v>0</v>
          </cell>
          <cell r="V409">
            <v>238.5</v>
          </cell>
          <cell r="W409">
            <v>0</v>
          </cell>
          <cell r="X409">
            <v>47.7</v>
          </cell>
          <cell r="Y409">
            <v>71.550000000000011</v>
          </cell>
          <cell r="Z409">
            <v>23.85</v>
          </cell>
          <cell r="AA409">
            <v>0</v>
          </cell>
          <cell r="AB409">
            <v>381.6</v>
          </cell>
        </row>
        <row r="410">
          <cell r="O410" t="str">
            <v>CTIME2M</v>
          </cell>
          <cell r="P410" t="str">
            <v>TIME CHARGE - 2 MAN</v>
          </cell>
          <cell r="Q410">
            <v>0</v>
          </cell>
          <cell r="R410">
            <v>0</v>
          </cell>
          <cell r="S410">
            <v>0</v>
          </cell>
          <cell r="T410">
            <v>0</v>
          </cell>
          <cell r="U410">
            <v>35.4</v>
          </cell>
          <cell r="V410">
            <v>0</v>
          </cell>
          <cell r="W410">
            <v>0</v>
          </cell>
          <cell r="X410">
            <v>0</v>
          </cell>
          <cell r="Y410">
            <v>35.4</v>
          </cell>
          <cell r="Z410">
            <v>0</v>
          </cell>
          <cell r="AA410">
            <v>0</v>
          </cell>
          <cell r="AB410">
            <v>70.8</v>
          </cell>
        </row>
        <row r="411">
          <cell r="O411" t="str">
            <v>CWSAN 1-5</v>
          </cell>
          <cell r="P411" t="str">
            <v>WASH &amp; SANITIZE CONT 1-5</v>
          </cell>
          <cell r="Q411">
            <v>0</v>
          </cell>
          <cell r="R411">
            <v>0</v>
          </cell>
          <cell r="S411">
            <v>0</v>
          </cell>
          <cell r="T411">
            <v>61.4</v>
          </cell>
          <cell r="U411">
            <v>0</v>
          </cell>
          <cell r="V411">
            <v>0</v>
          </cell>
          <cell r="W411">
            <v>0</v>
          </cell>
          <cell r="X411">
            <v>0</v>
          </cell>
          <cell r="Y411">
            <v>61.4</v>
          </cell>
          <cell r="Z411">
            <v>184.2</v>
          </cell>
          <cell r="AA411">
            <v>0</v>
          </cell>
          <cell r="AB411">
            <v>307</v>
          </cell>
        </row>
        <row r="412">
          <cell r="O412" t="str">
            <v>RCOF</v>
          </cell>
          <cell r="P412" t="str">
            <v>OVERFILLED CONTAINER</v>
          </cell>
          <cell r="Q412">
            <v>0</v>
          </cell>
          <cell r="R412">
            <v>0</v>
          </cell>
          <cell r="S412">
            <v>0</v>
          </cell>
          <cell r="T412">
            <v>0</v>
          </cell>
          <cell r="U412">
            <v>0</v>
          </cell>
          <cell r="V412">
            <v>0</v>
          </cell>
          <cell r="W412">
            <v>0</v>
          </cell>
          <cell r="X412">
            <v>70.319999999999993</v>
          </cell>
          <cell r="Y412">
            <v>0</v>
          </cell>
          <cell r="Z412">
            <v>17.579999999999998</v>
          </cell>
          <cell r="AA412">
            <v>0</v>
          </cell>
          <cell r="AB412">
            <v>87.899999999999991</v>
          </cell>
        </row>
        <row r="413">
          <cell r="O413" t="str">
            <v>VCA32W</v>
          </cell>
          <cell r="P413" t="str">
            <v>Automated 32gal Wkly-Com</v>
          </cell>
          <cell r="Q413">
            <v>0</v>
          </cell>
          <cell r="R413">
            <v>-50.52</v>
          </cell>
          <cell r="S413">
            <v>0</v>
          </cell>
          <cell r="T413">
            <v>0</v>
          </cell>
          <cell r="U413">
            <v>0</v>
          </cell>
          <cell r="V413">
            <v>0</v>
          </cell>
          <cell r="W413">
            <v>0</v>
          </cell>
          <cell r="X413">
            <v>0</v>
          </cell>
          <cell r="Y413">
            <v>0</v>
          </cell>
          <cell r="Z413">
            <v>0</v>
          </cell>
          <cell r="AA413">
            <v>0</v>
          </cell>
          <cell r="AB413">
            <v>-50.52</v>
          </cell>
        </row>
        <row r="414">
          <cell r="O414" t="str">
            <v>VCSP2YC</v>
          </cell>
          <cell r="P414" t="str">
            <v>SPECIAL PICKUP 2YD COMP</v>
          </cell>
          <cell r="Q414">
            <v>0</v>
          </cell>
          <cell r="R414">
            <v>0</v>
          </cell>
          <cell r="S414">
            <v>0</v>
          </cell>
          <cell r="T414">
            <v>0</v>
          </cell>
          <cell r="U414">
            <v>57.53</v>
          </cell>
          <cell r="V414">
            <v>57.09</v>
          </cell>
          <cell r="W414">
            <v>0</v>
          </cell>
          <cell r="X414">
            <v>0</v>
          </cell>
          <cell r="Y414">
            <v>0</v>
          </cell>
          <cell r="Z414">
            <v>0</v>
          </cell>
          <cell r="AA414">
            <v>0</v>
          </cell>
          <cell r="AB414">
            <v>114.62</v>
          </cell>
        </row>
        <row r="415">
          <cell r="O415" t="str">
            <v>VCSP4YC</v>
          </cell>
          <cell r="P415" t="str">
            <v>SPECIAL PICKUP 4YD COMP</v>
          </cell>
          <cell r="Q415">
            <v>406</v>
          </cell>
          <cell r="R415">
            <v>406</v>
          </cell>
          <cell r="S415">
            <v>406</v>
          </cell>
          <cell r="T415">
            <v>406</v>
          </cell>
          <cell r="U415">
            <v>203</v>
          </cell>
          <cell r="V415">
            <v>406</v>
          </cell>
          <cell r="W415">
            <v>406</v>
          </cell>
          <cell r="X415">
            <v>507.5</v>
          </cell>
          <cell r="Y415">
            <v>507.5</v>
          </cell>
          <cell r="Z415">
            <v>507.5</v>
          </cell>
          <cell r="AA415">
            <v>0</v>
          </cell>
          <cell r="AB415">
            <v>3755.5</v>
          </cell>
        </row>
        <row r="416">
          <cell r="O416" t="str">
            <v>VLOCK</v>
          </cell>
          <cell r="P416" t="str">
            <v>LOCK CHARGE - PER MTH</v>
          </cell>
          <cell r="Q416">
            <v>0</v>
          </cell>
          <cell r="R416">
            <v>0</v>
          </cell>
          <cell r="S416">
            <v>0</v>
          </cell>
          <cell r="T416">
            <v>0</v>
          </cell>
          <cell r="U416">
            <v>0</v>
          </cell>
          <cell r="V416">
            <v>0</v>
          </cell>
          <cell r="W416">
            <v>2.92</v>
          </cell>
          <cell r="X416">
            <v>8.76</v>
          </cell>
          <cell r="Y416">
            <v>4.38</v>
          </cell>
          <cell r="Z416">
            <v>4.38</v>
          </cell>
          <cell r="AA416">
            <v>0</v>
          </cell>
          <cell r="AB416">
            <v>20.439999999999998</v>
          </cell>
        </row>
        <row r="417">
          <cell r="Q417">
            <v>472721.19999999995</v>
          </cell>
          <cell r="R417">
            <v>470566.57999999984</v>
          </cell>
          <cell r="S417">
            <v>474425.39999999997</v>
          </cell>
          <cell r="T417">
            <v>473342.69999999995</v>
          </cell>
          <cell r="U417">
            <v>479131.17999999993</v>
          </cell>
          <cell r="V417">
            <v>490621.39</v>
          </cell>
          <cell r="W417">
            <v>498324.3899999999</v>
          </cell>
          <cell r="X417">
            <v>500766.76999999996</v>
          </cell>
          <cell r="Y417">
            <v>487190.37999999995</v>
          </cell>
          <cell r="Z417">
            <v>480872.65999999992</v>
          </cell>
          <cell r="AA417">
            <v>0</v>
          </cell>
          <cell r="AB417">
            <v>4355241.4499999993</v>
          </cell>
        </row>
        <row r="418">
          <cell r="O418" t="str">
            <v>CACOMPRNT</v>
          </cell>
          <cell r="P418" t="str">
            <v>COMPACTOR RENTAL</v>
          </cell>
          <cell r="Q418">
            <v>0</v>
          </cell>
          <cell r="R418">
            <v>0</v>
          </cell>
          <cell r="S418">
            <v>0</v>
          </cell>
          <cell r="T418">
            <v>0</v>
          </cell>
          <cell r="U418">
            <v>2177.25</v>
          </cell>
          <cell r="V418">
            <v>2177.25</v>
          </cell>
          <cell r="W418">
            <v>2177.25</v>
          </cell>
          <cell r="X418">
            <v>2177.25</v>
          </cell>
          <cell r="Y418">
            <v>2177.25</v>
          </cell>
          <cell r="Z418">
            <v>2177.25</v>
          </cell>
          <cell r="AA418">
            <v>0</v>
          </cell>
          <cell r="AB418">
            <v>13063.5</v>
          </cell>
        </row>
        <row r="419">
          <cell r="O419" t="str">
            <v>CCOMP15</v>
          </cell>
          <cell r="P419" t="str">
            <v>EMPTY 15YD COMPACTOR</v>
          </cell>
          <cell r="Q419">
            <v>2235.0300000000002</v>
          </cell>
          <cell r="R419">
            <v>1490.02</v>
          </cell>
          <cell r="S419">
            <v>1915.74</v>
          </cell>
          <cell r="T419">
            <v>1915.74</v>
          </cell>
          <cell r="U419">
            <v>1915.74</v>
          </cell>
          <cell r="V419">
            <v>2022.17</v>
          </cell>
          <cell r="W419">
            <v>1915.7400000000002</v>
          </cell>
          <cell r="X419">
            <v>1702.88</v>
          </cell>
          <cell r="Y419">
            <v>1383.59</v>
          </cell>
          <cell r="Z419">
            <v>1915.7400000000002</v>
          </cell>
          <cell r="AA419">
            <v>0</v>
          </cell>
          <cell r="AB419">
            <v>16177.359999999999</v>
          </cell>
        </row>
        <row r="420">
          <cell r="O420" t="str">
            <v>CCOMP20</v>
          </cell>
          <cell r="P420" t="str">
            <v>EMPTY 20YD COMPACTOR</v>
          </cell>
          <cell r="Q420">
            <v>6598.66</v>
          </cell>
          <cell r="R420">
            <v>5960.08</v>
          </cell>
          <cell r="S420">
            <v>6492.23</v>
          </cell>
          <cell r="T420">
            <v>7130.8099999999995</v>
          </cell>
          <cell r="U420">
            <v>5534.36</v>
          </cell>
          <cell r="V420">
            <v>5960.0800000000008</v>
          </cell>
          <cell r="W420">
            <v>6492.23</v>
          </cell>
          <cell r="X420">
            <v>5960.08</v>
          </cell>
          <cell r="Y420">
            <v>6811.5200000000013</v>
          </cell>
          <cell r="Z420">
            <v>6172.9400000000005</v>
          </cell>
          <cell r="AA420">
            <v>0</v>
          </cell>
          <cell r="AB420">
            <v>56514.330000000009</v>
          </cell>
        </row>
        <row r="421">
          <cell r="O421" t="str">
            <v>CCOMP25</v>
          </cell>
          <cell r="P421" t="str">
            <v>EMPTY 25YD COMPACTOR</v>
          </cell>
          <cell r="Q421">
            <v>4898.2700000000004</v>
          </cell>
          <cell r="R421">
            <v>4181.45</v>
          </cell>
          <cell r="S421">
            <v>4300.92</v>
          </cell>
          <cell r="T421">
            <v>5017.74</v>
          </cell>
          <cell r="U421">
            <v>4300.92</v>
          </cell>
          <cell r="V421">
            <v>4659.33</v>
          </cell>
          <cell r="W421">
            <v>4539.8599999999997</v>
          </cell>
          <cell r="X421">
            <v>4300.92</v>
          </cell>
          <cell r="Y421">
            <v>5854.0300000000007</v>
          </cell>
          <cell r="Z421">
            <v>4181.45</v>
          </cell>
          <cell r="AA421">
            <v>0</v>
          </cell>
          <cell r="AB421">
            <v>41336.619999999995</v>
          </cell>
        </row>
        <row r="422">
          <cell r="O422" t="str">
            <v>CCOMP30</v>
          </cell>
          <cell r="P422" t="str">
            <v>EMPTY 30YD COMPACTOR</v>
          </cell>
          <cell r="Q422">
            <v>3703.5699999999997</v>
          </cell>
          <cell r="R422">
            <v>3584.1</v>
          </cell>
          <cell r="S422">
            <v>3106.2200000000003</v>
          </cell>
          <cell r="T422">
            <v>4300.92</v>
          </cell>
          <cell r="U422">
            <v>3345.16</v>
          </cell>
          <cell r="V422">
            <v>3942.5099999999998</v>
          </cell>
          <cell r="W422">
            <v>3823.04</v>
          </cell>
          <cell r="X422">
            <v>3225.69</v>
          </cell>
          <cell r="Y422">
            <v>3703.5699999999997</v>
          </cell>
          <cell r="Z422">
            <v>3345.16</v>
          </cell>
          <cell r="AA422">
            <v>0</v>
          </cell>
          <cell r="AB422">
            <v>32376.37</v>
          </cell>
        </row>
        <row r="423">
          <cell r="O423" t="str">
            <v>CCOMP40</v>
          </cell>
          <cell r="P423" t="str">
            <v>EMPTY 40YD COMPACTOR</v>
          </cell>
          <cell r="Q423">
            <v>1672.58</v>
          </cell>
          <cell r="R423">
            <v>2030.99</v>
          </cell>
          <cell r="S423">
            <v>1433.64</v>
          </cell>
          <cell r="T423">
            <v>1553.11</v>
          </cell>
          <cell r="U423">
            <v>1739.17</v>
          </cell>
          <cell r="V423">
            <v>3680.46</v>
          </cell>
          <cell r="W423">
            <v>3101.52</v>
          </cell>
          <cell r="X423">
            <v>2743.1099999999997</v>
          </cell>
          <cell r="Y423">
            <v>2299.6999999999998</v>
          </cell>
          <cell r="Z423">
            <v>1941.2900000000002</v>
          </cell>
          <cell r="AA423">
            <v>0</v>
          </cell>
          <cell r="AB423">
            <v>20522.990000000002</v>
          </cell>
        </row>
        <row r="424">
          <cell r="O424" t="str">
            <v>FWCOMP</v>
          </cell>
          <cell r="P424" t="str">
            <v>COMPOST COMPACTOR HAUL</v>
          </cell>
          <cell r="Q424">
            <v>696.95</v>
          </cell>
          <cell r="R424">
            <v>418.17</v>
          </cell>
          <cell r="S424">
            <v>557.55999999999995</v>
          </cell>
          <cell r="T424">
            <v>696.95</v>
          </cell>
          <cell r="U424">
            <v>557.55999999999995</v>
          </cell>
          <cell r="V424">
            <v>557.55999999999995</v>
          </cell>
          <cell r="W424">
            <v>696.95</v>
          </cell>
          <cell r="X424">
            <v>557.55999999999995</v>
          </cell>
          <cell r="Y424">
            <v>278.77999999999997</v>
          </cell>
          <cell r="Z424">
            <v>418.17</v>
          </cell>
          <cell r="AA424">
            <v>0</v>
          </cell>
          <cell r="AB424">
            <v>4739.26</v>
          </cell>
        </row>
        <row r="425">
          <cell r="O425" t="str">
            <v>SPDISCO</v>
          </cell>
          <cell r="P425" t="str">
            <v>COMPACTOR DISCONNECT FEE</v>
          </cell>
          <cell r="Q425">
            <v>1365.9</v>
          </cell>
          <cell r="R425">
            <v>1218</v>
          </cell>
          <cell r="S425">
            <v>1235.4000000000001</v>
          </cell>
          <cell r="T425">
            <v>1400.6999999999998</v>
          </cell>
          <cell r="U425">
            <v>1183.1999999999998</v>
          </cell>
          <cell r="V425">
            <v>1339.8000000000002</v>
          </cell>
          <cell r="W425">
            <v>1305</v>
          </cell>
          <cell r="X425">
            <v>1200.5999999999999</v>
          </cell>
          <cell r="Y425">
            <v>1339.8000000000002</v>
          </cell>
          <cell r="Z425">
            <v>1165.8</v>
          </cell>
          <cell r="AA425">
            <v>0</v>
          </cell>
          <cell r="AB425">
            <v>11388.3</v>
          </cell>
        </row>
        <row r="426">
          <cell r="Q426">
            <v>21170.960000000003</v>
          </cell>
          <cell r="R426">
            <v>18882.809999999998</v>
          </cell>
          <cell r="S426">
            <v>19041.710000000003</v>
          </cell>
          <cell r="T426">
            <v>22015.97</v>
          </cell>
          <cell r="U426">
            <v>20753.36</v>
          </cell>
          <cell r="V426">
            <v>24339.16</v>
          </cell>
          <cell r="W426">
            <v>24051.59</v>
          </cell>
          <cell r="X426">
            <v>21868.09</v>
          </cell>
          <cell r="Y426">
            <v>23848.239999999998</v>
          </cell>
          <cell r="Z426">
            <v>21317.8</v>
          </cell>
          <cell r="AA426">
            <v>0</v>
          </cell>
          <cell r="AB426">
            <v>196118.72999999998</v>
          </cell>
        </row>
        <row r="427">
          <cell r="O427" t="str">
            <v>CMFREC</v>
          </cell>
          <cell r="P427" t="str">
            <v>MULTI-FAMILY RECYCLE</v>
          </cell>
          <cell r="Q427">
            <v>30878.82</v>
          </cell>
          <cell r="R427">
            <v>30406.5</v>
          </cell>
          <cell r="S427">
            <v>30380.98</v>
          </cell>
          <cell r="T427">
            <v>30380.98</v>
          </cell>
          <cell r="U427">
            <v>30380.98</v>
          </cell>
          <cell r="V427">
            <v>30380.98</v>
          </cell>
          <cell r="W427">
            <v>30396.910000000003</v>
          </cell>
          <cell r="X427">
            <v>30495.82</v>
          </cell>
          <cell r="Y427">
            <v>29513.3</v>
          </cell>
          <cell r="Z427">
            <v>29644.670000000002</v>
          </cell>
          <cell r="AA427">
            <v>0</v>
          </cell>
          <cell r="AB427">
            <v>271981.12</v>
          </cell>
        </row>
        <row r="428">
          <cell r="Q428">
            <v>30878.82</v>
          </cell>
          <cell r="R428">
            <v>30406.5</v>
          </cell>
          <cell r="S428">
            <v>30380.98</v>
          </cell>
          <cell r="T428">
            <v>30380.98</v>
          </cell>
          <cell r="U428">
            <v>30380.98</v>
          </cell>
          <cell r="V428">
            <v>30380.98</v>
          </cell>
          <cell r="W428">
            <v>30396.910000000003</v>
          </cell>
          <cell r="X428">
            <v>30495.82</v>
          </cell>
          <cell r="Y428">
            <v>29513.3</v>
          </cell>
          <cell r="Z428">
            <v>29644.670000000002</v>
          </cell>
          <cell r="AA428">
            <v>0</v>
          </cell>
          <cell r="AB428">
            <v>271981.12</v>
          </cell>
        </row>
        <row r="429">
          <cell r="O429" t="str">
            <v>0CRYEX1.5YD</v>
          </cell>
          <cell r="P429" t="str">
            <v>ON-CALL P/U 1.5YD RECYCLE</v>
          </cell>
          <cell r="Q429">
            <v>0</v>
          </cell>
          <cell r="R429">
            <v>0</v>
          </cell>
          <cell r="S429">
            <v>0</v>
          </cell>
          <cell r="T429">
            <v>0</v>
          </cell>
          <cell r="U429">
            <v>0</v>
          </cell>
          <cell r="V429">
            <v>0</v>
          </cell>
          <cell r="W429">
            <v>22.83</v>
          </cell>
          <cell r="X429">
            <v>0</v>
          </cell>
          <cell r="Y429">
            <v>0</v>
          </cell>
          <cell r="Z429">
            <v>0</v>
          </cell>
          <cell r="AA429">
            <v>0</v>
          </cell>
          <cell r="AB429">
            <v>22.83</v>
          </cell>
        </row>
        <row r="430">
          <cell r="O430" t="str">
            <v>0CRYEX1YD</v>
          </cell>
          <cell r="P430" t="str">
            <v>ON-CALL P/U 1YD RECYCLE</v>
          </cell>
          <cell r="Q430">
            <v>45.66</v>
          </cell>
          <cell r="R430">
            <v>45.66</v>
          </cell>
          <cell r="S430">
            <v>45.66</v>
          </cell>
          <cell r="T430">
            <v>136.97999999999999</v>
          </cell>
          <cell r="U430">
            <v>91.32</v>
          </cell>
          <cell r="V430">
            <v>136.97999999999999</v>
          </cell>
          <cell r="W430">
            <v>136.97999999999999</v>
          </cell>
          <cell r="X430">
            <v>91.32</v>
          </cell>
          <cell r="Y430">
            <v>68.489999999999995</v>
          </cell>
          <cell r="Z430">
            <v>47.94</v>
          </cell>
          <cell r="AA430">
            <v>0</v>
          </cell>
          <cell r="AB430">
            <v>801.33000000000015</v>
          </cell>
        </row>
        <row r="431">
          <cell r="O431" t="str">
            <v>0CRYEX2YD</v>
          </cell>
          <cell r="P431" t="str">
            <v>ON-CALL P/U 2YD RECYCLE</v>
          </cell>
          <cell r="Q431">
            <v>125.6</v>
          </cell>
          <cell r="R431">
            <v>50.24</v>
          </cell>
          <cell r="S431">
            <v>0</v>
          </cell>
          <cell r="T431">
            <v>75.36</v>
          </cell>
          <cell r="U431">
            <v>50.24</v>
          </cell>
          <cell r="V431">
            <v>125.6</v>
          </cell>
          <cell r="W431">
            <v>125.60000000000001</v>
          </cell>
          <cell r="X431">
            <v>75.36</v>
          </cell>
          <cell r="Y431">
            <v>100.48</v>
          </cell>
          <cell r="Z431">
            <v>86.44</v>
          </cell>
          <cell r="AA431">
            <v>0</v>
          </cell>
          <cell r="AB431">
            <v>689.31999999999994</v>
          </cell>
        </row>
        <row r="432">
          <cell r="O432" t="str">
            <v>0CRYEX3YD</v>
          </cell>
          <cell r="P432" t="str">
            <v>ON-CALL P/U 3YD RECYCLE</v>
          </cell>
          <cell r="Q432">
            <v>167.88</v>
          </cell>
          <cell r="R432">
            <v>83.94</v>
          </cell>
          <cell r="S432">
            <v>195.86</v>
          </cell>
          <cell r="T432">
            <v>111.92</v>
          </cell>
          <cell r="U432">
            <v>167.88</v>
          </cell>
          <cell r="V432">
            <v>167.88</v>
          </cell>
          <cell r="W432">
            <v>83.94</v>
          </cell>
          <cell r="X432">
            <v>167.88</v>
          </cell>
          <cell r="Y432">
            <v>195.85999999999999</v>
          </cell>
          <cell r="Z432">
            <v>117.52</v>
          </cell>
          <cell r="AA432">
            <v>0</v>
          </cell>
          <cell r="AB432">
            <v>1292.68</v>
          </cell>
        </row>
        <row r="433">
          <cell r="O433" t="str">
            <v>0CRYEX4YD</v>
          </cell>
          <cell r="P433" t="str">
            <v>ON-CALL P/U 4YD RECYCLE</v>
          </cell>
          <cell r="Q433">
            <v>171.3</v>
          </cell>
          <cell r="R433">
            <v>85.65</v>
          </cell>
          <cell r="S433">
            <v>57.1</v>
          </cell>
          <cell r="T433">
            <v>171.3</v>
          </cell>
          <cell r="U433">
            <v>85.65</v>
          </cell>
          <cell r="V433">
            <v>142.75</v>
          </cell>
          <cell r="W433">
            <v>85.65</v>
          </cell>
          <cell r="X433">
            <v>169.38</v>
          </cell>
          <cell r="Y433">
            <v>265.93</v>
          </cell>
          <cell r="Z433">
            <v>119.92</v>
          </cell>
          <cell r="AA433">
            <v>0</v>
          </cell>
          <cell r="AB433">
            <v>1183.3300000000002</v>
          </cell>
        </row>
        <row r="434">
          <cell r="O434" t="str">
            <v>0CRYEX6YD</v>
          </cell>
          <cell r="P434" t="str">
            <v>ON-CALL P/U 6YD RECYCLE</v>
          </cell>
          <cell r="Q434">
            <v>61.66</v>
          </cell>
          <cell r="R434">
            <v>61.66</v>
          </cell>
          <cell r="S434">
            <v>0</v>
          </cell>
          <cell r="T434">
            <v>0</v>
          </cell>
          <cell r="U434">
            <v>0</v>
          </cell>
          <cell r="V434">
            <v>0</v>
          </cell>
          <cell r="W434">
            <v>30.83</v>
          </cell>
          <cell r="X434">
            <v>25.22</v>
          </cell>
          <cell r="Y434">
            <v>12.61</v>
          </cell>
          <cell r="Z434">
            <v>0</v>
          </cell>
          <cell r="AA434">
            <v>0</v>
          </cell>
          <cell r="AB434">
            <v>130.32</v>
          </cell>
        </row>
        <row r="435">
          <cell r="O435" t="str">
            <v>0CRYEX90</v>
          </cell>
          <cell r="P435" t="str">
            <v>ON-CALL P/U 1-90GAL RECY</v>
          </cell>
          <cell r="Q435">
            <v>342.6</v>
          </cell>
          <cell r="R435">
            <v>222.69</v>
          </cell>
          <cell r="S435">
            <v>376.86</v>
          </cell>
          <cell r="T435">
            <v>274.08</v>
          </cell>
          <cell r="U435">
            <v>256.95</v>
          </cell>
          <cell r="V435">
            <v>359.72999999999996</v>
          </cell>
          <cell r="W435">
            <v>342.59999999999997</v>
          </cell>
          <cell r="X435">
            <v>239.82</v>
          </cell>
          <cell r="Y435">
            <v>342.59999999999997</v>
          </cell>
          <cell r="Z435">
            <v>358.08000000000004</v>
          </cell>
          <cell r="AA435">
            <v>0</v>
          </cell>
          <cell r="AB435">
            <v>2773.41</v>
          </cell>
        </row>
        <row r="436">
          <cell r="O436" t="str">
            <v>0CRYEXC</v>
          </cell>
          <cell r="P436" t="str">
            <v>REC EXTRA YARDS</v>
          </cell>
          <cell r="Q436">
            <v>184.32</v>
          </cell>
          <cell r="R436">
            <v>69.12</v>
          </cell>
          <cell r="S436">
            <v>178.56</v>
          </cell>
          <cell r="T436">
            <v>141.12</v>
          </cell>
          <cell r="U436">
            <v>339.84</v>
          </cell>
          <cell r="V436">
            <v>270.71999999999997</v>
          </cell>
          <cell r="W436">
            <v>126.72</v>
          </cell>
          <cell r="X436">
            <v>242.29999999999998</v>
          </cell>
          <cell r="Y436">
            <v>487.28999999999996</v>
          </cell>
          <cell r="Z436">
            <v>134.30000000000001</v>
          </cell>
          <cell r="AA436">
            <v>0</v>
          </cell>
          <cell r="AB436">
            <v>1989.9699999999998</v>
          </cell>
        </row>
        <row r="437">
          <cell r="O437" t="str">
            <v>CFR65G1X</v>
          </cell>
          <cell r="P437" t="str">
            <v>65G FOOD COMPOST 1X WKLY</v>
          </cell>
          <cell r="Q437">
            <v>2030.9299999999998</v>
          </cell>
          <cell r="R437">
            <v>2144.2799999999997</v>
          </cell>
          <cell r="S437">
            <v>2144.2800000000002</v>
          </cell>
          <cell r="T437">
            <v>2144.2800000000002</v>
          </cell>
          <cell r="U437">
            <v>2229.2800000000002</v>
          </cell>
          <cell r="V437">
            <v>2301.35</v>
          </cell>
          <cell r="W437">
            <v>2315.9299999999998</v>
          </cell>
          <cell r="X437">
            <v>309.31</v>
          </cell>
          <cell r="Y437">
            <v>-114.71000000000009</v>
          </cell>
          <cell r="Z437">
            <v>2211.6800000000003</v>
          </cell>
          <cell r="AA437">
            <v>0</v>
          </cell>
          <cell r="AB437">
            <v>15685.68</v>
          </cell>
        </row>
        <row r="438">
          <cell r="O438" t="str">
            <v>CFR65G2X</v>
          </cell>
          <cell r="P438" t="str">
            <v>65G FOOD COMPOST 2X WKLY</v>
          </cell>
          <cell r="Q438">
            <v>603.05999999999995</v>
          </cell>
          <cell r="R438">
            <v>603.05999999999995</v>
          </cell>
          <cell r="S438">
            <v>603.05999999999995</v>
          </cell>
          <cell r="T438">
            <v>617.64</v>
          </cell>
          <cell r="U438">
            <v>1040.32</v>
          </cell>
          <cell r="V438">
            <v>1094.48</v>
          </cell>
          <cell r="W438">
            <v>1094.48</v>
          </cell>
          <cell r="X438">
            <v>1094.48</v>
          </cell>
          <cell r="Y438">
            <v>1098.8400000000001</v>
          </cell>
          <cell r="Z438">
            <v>1098.8400000000001</v>
          </cell>
          <cell r="AA438">
            <v>0</v>
          </cell>
          <cell r="AB438">
            <v>8345.2000000000007</v>
          </cell>
        </row>
        <row r="439">
          <cell r="O439" t="str">
            <v>COMREC</v>
          </cell>
          <cell r="P439" t="str">
            <v>SCHOOL RECYCLE SERVICE</v>
          </cell>
          <cell r="Q439">
            <v>5423.15</v>
          </cell>
          <cell r="R439">
            <v>5468.91</v>
          </cell>
          <cell r="S439">
            <v>5468.91</v>
          </cell>
          <cell r="T439">
            <v>5468.91</v>
          </cell>
          <cell r="U439">
            <v>5422.2199999999993</v>
          </cell>
          <cell r="V439">
            <v>5363.78</v>
          </cell>
          <cell r="W439">
            <v>5326.77</v>
          </cell>
          <cell r="X439">
            <v>750.93</v>
          </cell>
          <cell r="Y439">
            <v>2938.05</v>
          </cell>
          <cell r="Z439">
            <v>5231.3600000000006</v>
          </cell>
          <cell r="AA439">
            <v>0</v>
          </cell>
          <cell r="AB439">
            <v>41439.839999999997</v>
          </cell>
        </row>
        <row r="440">
          <cell r="O440" t="str">
            <v xml:space="preserve">CRY1.5EOW </v>
          </cell>
          <cell r="P440" t="str">
            <v>1.5YD RECYCLE EOW</v>
          </cell>
          <cell r="Q440">
            <v>221.94</v>
          </cell>
          <cell r="R440">
            <v>221.94</v>
          </cell>
          <cell r="S440">
            <v>221.94</v>
          </cell>
          <cell r="T440">
            <v>253.48</v>
          </cell>
          <cell r="U440">
            <v>285.02</v>
          </cell>
          <cell r="V440">
            <v>537.33999999999992</v>
          </cell>
          <cell r="W440">
            <v>285.02</v>
          </cell>
          <cell r="X440">
            <v>316.56</v>
          </cell>
          <cell r="Y440">
            <v>348.1</v>
          </cell>
          <cell r="Z440">
            <v>363.44</v>
          </cell>
          <cell r="AA440">
            <v>0</v>
          </cell>
          <cell r="AB440">
            <v>2832.8399999999997</v>
          </cell>
        </row>
        <row r="441">
          <cell r="O441" t="str">
            <v>CRY1.5Y1X</v>
          </cell>
          <cell r="P441" t="str">
            <v>1.5YD RECYCLE 1X WKLY</v>
          </cell>
          <cell r="Q441">
            <v>1065.4100000000001</v>
          </cell>
          <cell r="R441">
            <v>754.19</v>
          </cell>
          <cell r="S441">
            <v>975.88000000000011</v>
          </cell>
          <cell r="T441">
            <v>975.88000000000011</v>
          </cell>
          <cell r="U441">
            <v>1053.0999999999999</v>
          </cell>
          <cell r="V441">
            <v>667</v>
          </cell>
          <cell r="W441">
            <v>1053.0999999999999</v>
          </cell>
          <cell r="X441">
            <v>975.88000000000011</v>
          </cell>
          <cell r="Y441">
            <v>886.35000000000014</v>
          </cell>
          <cell r="Z441">
            <v>930.69</v>
          </cell>
          <cell r="AA441">
            <v>0</v>
          </cell>
          <cell r="AB441">
            <v>8272.07</v>
          </cell>
        </row>
        <row r="442">
          <cell r="O442" t="str">
            <v>CRY1.5Y2X</v>
          </cell>
          <cell r="P442" t="str">
            <v>1.5YD RECYCLE 2X WKLY</v>
          </cell>
          <cell r="Q442">
            <v>0</v>
          </cell>
          <cell r="R442">
            <v>0</v>
          </cell>
          <cell r="S442">
            <v>0</v>
          </cell>
          <cell r="T442">
            <v>0</v>
          </cell>
          <cell r="U442">
            <v>0</v>
          </cell>
          <cell r="V442">
            <v>0</v>
          </cell>
          <cell r="W442">
            <v>70.069999999999993</v>
          </cell>
          <cell r="X442">
            <v>186.86</v>
          </cell>
          <cell r="Y442">
            <v>186.86</v>
          </cell>
          <cell r="Z442">
            <v>196.2</v>
          </cell>
          <cell r="AA442">
            <v>0</v>
          </cell>
          <cell r="AB442">
            <v>639.99</v>
          </cell>
        </row>
        <row r="443">
          <cell r="O443" t="str">
            <v>CRY1Y1X</v>
          </cell>
          <cell r="P443" t="str">
            <v>1YD RECYCLE 1X WKLY</v>
          </cell>
          <cell r="Q443">
            <v>2374.52</v>
          </cell>
          <cell r="R443">
            <v>2313.2599999999998</v>
          </cell>
          <cell r="S443">
            <v>2254.2399999999998</v>
          </cell>
          <cell r="T443">
            <v>2334.2799999999997</v>
          </cell>
          <cell r="U443">
            <v>2166.16</v>
          </cell>
          <cell r="V443">
            <v>2195.58</v>
          </cell>
          <cell r="W443">
            <v>2145.14</v>
          </cell>
          <cell r="X443">
            <v>2208.19</v>
          </cell>
          <cell r="Y443">
            <v>2271.23</v>
          </cell>
          <cell r="Z443">
            <v>2424.2600000000002</v>
          </cell>
          <cell r="AA443">
            <v>0</v>
          </cell>
          <cell r="AB443">
            <v>20312.339999999997</v>
          </cell>
        </row>
        <row r="444">
          <cell r="O444" t="str">
            <v>CRY1Y2X</v>
          </cell>
          <cell r="P444" t="str">
            <v>1YD RECYCLE 2X WKLY</v>
          </cell>
          <cell r="Q444">
            <v>0</v>
          </cell>
          <cell r="R444">
            <v>0</v>
          </cell>
          <cell r="S444">
            <v>0</v>
          </cell>
          <cell r="T444">
            <v>0</v>
          </cell>
          <cell r="U444">
            <v>0</v>
          </cell>
          <cell r="V444">
            <v>0</v>
          </cell>
          <cell r="W444">
            <v>0</v>
          </cell>
          <cell r="X444">
            <v>0</v>
          </cell>
          <cell r="Y444">
            <v>0</v>
          </cell>
          <cell r="Z444">
            <v>117.61</v>
          </cell>
          <cell r="AA444">
            <v>0</v>
          </cell>
          <cell r="AB444">
            <v>117.61</v>
          </cell>
        </row>
        <row r="445">
          <cell r="O445" t="str">
            <v>CRY1YEOW</v>
          </cell>
          <cell r="P445" t="str">
            <v>1YD RECYCLE EOW</v>
          </cell>
          <cell r="Q445">
            <v>2381.0100000000002</v>
          </cell>
          <cell r="R445">
            <v>2295.41</v>
          </cell>
          <cell r="S445">
            <v>2325.9700000000003</v>
          </cell>
          <cell r="T445">
            <v>2295.41</v>
          </cell>
          <cell r="U445">
            <v>2295.41</v>
          </cell>
          <cell r="V445">
            <v>2264.85</v>
          </cell>
          <cell r="W445">
            <v>2280.83</v>
          </cell>
          <cell r="X445">
            <v>2311.3900000000003</v>
          </cell>
          <cell r="Y445">
            <v>2331.2400000000002</v>
          </cell>
          <cell r="Z445">
            <v>2418.48</v>
          </cell>
          <cell r="AA445">
            <v>0</v>
          </cell>
          <cell r="AB445">
            <v>20818.990000000002</v>
          </cell>
        </row>
        <row r="446">
          <cell r="O446" t="str">
            <v>CRY1YGLS1X</v>
          </cell>
          <cell r="P446" t="str">
            <v>1 YD GLASS CONT 1X WKLY</v>
          </cell>
          <cell r="Q446">
            <v>0</v>
          </cell>
          <cell r="R446">
            <v>0</v>
          </cell>
          <cell r="S446">
            <v>0</v>
          </cell>
          <cell r="T446">
            <v>0</v>
          </cell>
          <cell r="U446">
            <v>0</v>
          </cell>
          <cell r="V446">
            <v>0</v>
          </cell>
          <cell r="W446">
            <v>0</v>
          </cell>
          <cell r="X446">
            <v>47.25</v>
          </cell>
          <cell r="Y446">
            <v>280.5</v>
          </cell>
          <cell r="Z446">
            <v>315</v>
          </cell>
          <cell r="AA446">
            <v>0</v>
          </cell>
          <cell r="AB446">
            <v>642.75</v>
          </cell>
        </row>
        <row r="447">
          <cell r="O447" t="str">
            <v>CRY1YOC</v>
          </cell>
          <cell r="P447" t="str">
            <v>1YD RECYCLE ON CALL RENT</v>
          </cell>
          <cell r="Q447">
            <v>178.8</v>
          </cell>
          <cell r="R447">
            <v>178.8</v>
          </cell>
          <cell r="S447">
            <v>178.8</v>
          </cell>
          <cell r="T447">
            <v>178.8</v>
          </cell>
          <cell r="U447">
            <v>151.19999999999999</v>
          </cell>
          <cell r="V447">
            <v>151.19999999999999</v>
          </cell>
          <cell r="W447">
            <v>141</v>
          </cell>
          <cell r="X447">
            <v>127.2</v>
          </cell>
          <cell r="Y447">
            <v>127.2</v>
          </cell>
          <cell r="Z447">
            <v>133.56</v>
          </cell>
          <cell r="AA447">
            <v>0</v>
          </cell>
          <cell r="AB447">
            <v>1367.7600000000002</v>
          </cell>
        </row>
        <row r="448">
          <cell r="O448" t="str">
            <v>CRY2-1Y1X</v>
          </cell>
          <cell r="P448" t="str">
            <v>2-1YD RECYCLE 1X WKLY</v>
          </cell>
          <cell r="Q448">
            <v>144.27000000000001</v>
          </cell>
          <cell r="R448">
            <v>144.27000000000001</v>
          </cell>
          <cell r="S448">
            <v>144.27000000000001</v>
          </cell>
          <cell r="T448">
            <v>144.27000000000001</v>
          </cell>
          <cell r="U448">
            <v>144.27000000000001</v>
          </cell>
          <cell r="V448">
            <v>144.27000000000001</v>
          </cell>
          <cell r="W448">
            <v>144.27000000000001</v>
          </cell>
          <cell r="X448">
            <v>144.27000000000001</v>
          </cell>
          <cell r="Y448">
            <v>144.27000000000001</v>
          </cell>
          <cell r="Z448">
            <v>151.47999999999999</v>
          </cell>
          <cell r="AA448">
            <v>0</v>
          </cell>
          <cell r="AB448">
            <v>1305.6400000000001</v>
          </cell>
        </row>
        <row r="449">
          <cell r="O449" t="str">
            <v>CRY2-3Y1X</v>
          </cell>
          <cell r="P449" t="str">
            <v>2-3YD RECYCLE 1X WKLY</v>
          </cell>
          <cell r="Q449">
            <v>204.03</v>
          </cell>
          <cell r="R449">
            <v>204.03</v>
          </cell>
          <cell r="S449">
            <v>204.03</v>
          </cell>
          <cell r="T449">
            <v>204.03</v>
          </cell>
          <cell r="U449">
            <v>204.03</v>
          </cell>
          <cell r="V449">
            <v>204.03</v>
          </cell>
          <cell r="W449">
            <v>255.04</v>
          </cell>
          <cell r="X449">
            <v>408.06</v>
          </cell>
          <cell r="Y449">
            <v>408.06</v>
          </cell>
          <cell r="Z449">
            <v>428.46</v>
          </cell>
          <cell r="AA449">
            <v>0</v>
          </cell>
          <cell r="AB449">
            <v>2519.77</v>
          </cell>
        </row>
        <row r="450">
          <cell r="O450" t="str">
            <v>CRY2-4Y1X</v>
          </cell>
          <cell r="P450" t="str">
            <v>2-4YD RECYCLE 1X WKLY</v>
          </cell>
          <cell r="Q450">
            <v>255</v>
          </cell>
          <cell r="R450">
            <v>255</v>
          </cell>
          <cell r="S450">
            <v>255</v>
          </cell>
          <cell r="T450">
            <v>255</v>
          </cell>
          <cell r="U450">
            <v>255</v>
          </cell>
          <cell r="V450">
            <v>255</v>
          </cell>
          <cell r="W450">
            <v>255</v>
          </cell>
          <cell r="X450">
            <v>255</v>
          </cell>
          <cell r="Y450">
            <v>255</v>
          </cell>
          <cell r="Z450">
            <v>267.75</v>
          </cell>
          <cell r="AA450">
            <v>0</v>
          </cell>
          <cell r="AB450">
            <v>2307.75</v>
          </cell>
        </row>
        <row r="451">
          <cell r="O451" t="str">
            <v>CRY2-4Y2X</v>
          </cell>
          <cell r="P451" t="str">
            <v>2-4YD RECYCLE 2X WKLY</v>
          </cell>
          <cell r="Q451">
            <v>748.58</v>
          </cell>
          <cell r="R451">
            <v>748.58</v>
          </cell>
          <cell r="S451">
            <v>748.58</v>
          </cell>
          <cell r="T451">
            <v>748.58</v>
          </cell>
          <cell r="U451">
            <v>748.58</v>
          </cell>
          <cell r="V451">
            <v>748.58</v>
          </cell>
          <cell r="W451">
            <v>748.58</v>
          </cell>
          <cell r="X451">
            <v>748.58</v>
          </cell>
          <cell r="Y451">
            <v>748.58</v>
          </cell>
          <cell r="Z451">
            <v>786.01</v>
          </cell>
          <cell r="AA451">
            <v>0</v>
          </cell>
          <cell r="AB451">
            <v>6774.6500000000005</v>
          </cell>
        </row>
        <row r="452">
          <cell r="O452" t="str">
            <v>CRY2-5Y1X</v>
          </cell>
          <cell r="P452" t="str">
            <v>2-5YD RECYCLE 1X WKLY</v>
          </cell>
          <cell r="Q452">
            <v>85</v>
          </cell>
          <cell r="R452">
            <v>85</v>
          </cell>
          <cell r="S452">
            <v>85</v>
          </cell>
          <cell r="T452">
            <v>85</v>
          </cell>
          <cell r="U452">
            <v>42.5</v>
          </cell>
          <cell r="V452">
            <v>21.25</v>
          </cell>
          <cell r="W452">
            <v>85</v>
          </cell>
          <cell r="X452">
            <v>85</v>
          </cell>
          <cell r="Y452">
            <v>85</v>
          </cell>
          <cell r="Z452">
            <v>89.25</v>
          </cell>
          <cell r="AA452">
            <v>0</v>
          </cell>
          <cell r="AB452">
            <v>663</v>
          </cell>
        </row>
        <row r="453">
          <cell r="O453" t="str">
            <v>CRY2Y1MO</v>
          </cell>
          <cell r="P453" t="str">
            <v>2YD RECYCLE 1X MTHLY</v>
          </cell>
          <cell r="Q453">
            <v>105.93</v>
          </cell>
          <cell r="R453">
            <v>105.93</v>
          </cell>
          <cell r="S453">
            <v>105.93</v>
          </cell>
          <cell r="T453">
            <v>105.93</v>
          </cell>
          <cell r="U453">
            <v>105.93</v>
          </cell>
          <cell r="V453">
            <v>105.93</v>
          </cell>
          <cell r="W453">
            <v>105.93</v>
          </cell>
          <cell r="X453">
            <v>105.93</v>
          </cell>
          <cell r="Y453">
            <v>105.93</v>
          </cell>
          <cell r="Z453">
            <v>111.24</v>
          </cell>
          <cell r="AA453">
            <v>0</v>
          </cell>
          <cell r="AB453">
            <v>958.68000000000029</v>
          </cell>
        </row>
        <row r="454">
          <cell r="O454" t="str">
            <v>CRY2Y1X</v>
          </cell>
          <cell r="P454" t="str">
            <v>2YD RECYCLE 1X WKLY</v>
          </cell>
          <cell r="Q454">
            <v>7670.97</v>
          </cell>
          <cell r="R454">
            <v>7672.52</v>
          </cell>
          <cell r="S454">
            <v>7699.69</v>
          </cell>
          <cell r="T454">
            <v>7862.68</v>
          </cell>
          <cell r="U454">
            <v>7944.18</v>
          </cell>
          <cell r="V454">
            <v>8257.1400000000012</v>
          </cell>
          <cell r="W454">
            <v>8229.9800000000014</v>
          </cell>
          <cell r="X454">
            <v>7985.4900000000007</v>
          </cell>
          <cell r="Y454">
            <v>7618.38</v>
          </cell>
          <cell r="Z454">
            <v>7993.3399999999992</v>
          </cell>
          <cell r="AA454">
            <v>0</v>
          </cell>
          <cell r="AB454">
            <v>71263.399999999994</v>
          </cell>
        </row>
        <row r="455">
          <cell r="O455" t="str">
            <v>CRY2Y2X</v>
          </cell>
          <cell r="P455" t="str">
            <v>2YD RECYCLE 2X WKLY</v>
          </cell>
          <cell r="Q455">
            <v>1124.04</v>
          </cell>
          <cell r="R455">
            <v>1124.04</v>
          </cell>
          <cell r="S455">
            <v>1320.44</v>
          </cell>
          <cell r="T455">
            <v>1320.44</v>
          </cell>
          <cell r="U455">
            <v>1320.44</v>
          </cell>
          <cell r="V455">
            <v>1320.44</v>
          </cell>
          <cell r="W455">
            <v>1320.44</v>
          </cell>
          <cell r="X455">
            <v>1320.44</v>
          </cell>
          <cell r="Y455">
            <v>1567.13</v>
          </cell>
          <cell r="Z455">
            <v>1768.3400000000001</v>
          </cell>
          <cell r="AA455">
            <v>0</v>
          </cell>
          <cell r="AB455">
            <v>12382.150000000001</v>
          </cell>
        </row>
        <row r="456">
          <cell r="O456" t="str">
            <v>CRY2YEOW</v>
          </cell>
          <cell r="P456" t="str">
            <v>2YD RECYCLE EOW</v>
          </cell>
          <cell r="Q456">
            <v>3094.15</v>
          </cell>
          <cell r="R456">
            <v>3099.8199999999997</v>
          </cell>
          <cell r="S456">
            <v>3066.3199999999997</v>
          </cell>
          <cell r="T456">
            <v>3133.33</v>
          </cell>
          <cell r="U456">
            <v>3066.32</v>
          </cell>
          <cell r="V456">
            <v>3041.66</v>
          </cell>
          <cell r="W456">
            <v>3050.4900000000002</v>
          </cell>
          <cell r="X456">
            <v>3151.0099999999998</v>
          </cell>
          <cell r="Y456">
            <v>2940.18</v>
          </cell>
          <cell r="Z456">
            <v>2975.27</v>
          </cell>
          <cell r="AA456">
            <v>0</v>
          </cell>
          <cell r="AB456">
            <v>27524.399999999998</v>
          </cell>
        </row>
        <row r="457">
          <cell r="O457" t="str">
            <v>CRY2YOC</v>
          </cell>
          <cell r="P457" t="str">
            <v>2YD RECYCLE ON CALL RENT</v>
          </cell>
          <cell r="Q457">
            <v>165.87</v>
          </cell>
          <cell r="R457">
            <v>165.87</v>
          </cell>
          <cell r="S457">
            <v>165.87</v>
          </cell>
          <cell r="T457">
            <v>165.87</v>
          </cell>
          <cell r="U457">
            <v>165.87</v>
          </cell>
          <cell r="V457">
            <v>181.64999999999998</v>
          </cell>
          <cell r="W457">
            <v>165.87</v>
          </cell>
          <cell r="X457">
            <v>165.87</v>
          </cell>
          <cell r="Y457">
            <v>165.87</v>
          </cell>
          <cell r="Z457">
            <v>220.77</v>
          </cell>
          <cell r="AA457">
            <v>0</v>
          </cell>
          <cell r="AB457">
            <v>1563.5099999999998</v>
          </cell>
        </row>
        <row r="458">
          <cell r="O458" t="str">
            <v>CRY3Y1X</v>
          </cell>
          <cell r="P458" t="str">
            <v>3YD RECYCLE 1X WKLY</v>
          </cell>
          <cell r="Q458">
            <v>4199.29</v>
          </cell>
          <cell r="R458">
            <v>4201.08</v>
          </cell>
          <cell r="S458">
            <v>4141.97</v>
          </cell>
          <cell r="T458">
            <v>4186.9400000000005</v>
          </cell>
          <cell r="U458">
            <v>4482.5200000000004</v>
          </cell>
          <cell r="V458">
            <v>4539</v>
          </cell>
          <cell r="W458">
            <v>4450.33</v>
          </cell>
          <cell r="X458">
            <v>4568.5499999999993</v>
          </cell>
          <cell r="Y458">
            <v>4381.26</v>
          </cell>
          <cell r="Z458">
            <v>4461.2999999999993</v>
          </cell>
          <cell r="AA458">
            <v>0</v>
          </cell>
          <cell r="AB458">
            <v>39412.949999999997</v>
          </cell>
        </row>
        <row r="459">
          <cell r="O459" t="str">
            <v>CRY3Y2X</v>
          </cell>
          <cell r="P459" t="str">
            <v>3YD RECYCLE 2X WKLY</v>
          </cell>
          <cell r="Q459">
            <v>2663.69</v>
          </cell>
          <cell r="R459">
            <v>2684.3199999999997</v>
          </cell>
          <cell r="S459">
            <v>2817.79</v>
          </cell>
          <cell r="T459">
            <v>3000.68</v>
          </cell>
          <cell r="U459">
            <v>2788.16</v>
          </cell>
          <cell r="V459">
            <v>2788.16</v>
          </cell>
          <cell r="W459">
            <v>3001.71</v>
          </cell>
          <cell r="X459">
            <v>3001.71</v>
          </cell>
          <cell r="Y459">
            <v>2681.39</v>
          </cell>
          <cell r="Z459">
            <v>2693.06</v>
          </cell>
          <cell r="AA459">
            <v>0</v>
          </cell>
          <cell r="AB459">
            <v>25456.98</v>
          </cell>
        </row>
        <row r="460">
          <cell r="O460" t="str">
            <v>CRY3Y3X</v>
          </cell>
          <cell r="P460" t="str">
            <v>3YD RECYCLE 3X WKLY</v>
          </cell>
          <cell r="Q460">
            <v>308.89999999999998</v>
          </cell>
          <cell r="R460">
            <v>308.89999999999998</v>
          </cell>
          <cell r="S460">
            <v>308.89999999999998</v>
          </cell>
          <cell r="T460">
            <v>308.89999999999998</v>
          </cell>
          <cell r="U460">
            <v>308.89999999999998</v>
          </cell>
          <cell r="V460">
            <v>308.89999999999998</v>
          </cell>
          <cell r="W460">
            <v>308.89999999999998</v>
          </cell>
          <cell r="X460">
            <v>308.89999999999998</v>
          </cell>
          <cell r="Y460">
            <v>308.89999999999998</v>
          </cell>
          <cell r="Z460">
            <v>324.35000000000002</v>
          </cell>
          <cell r="AA460">
            <v>0</v>
          </cell>
          <cell r="AB460">
            <v>2795.55</v>
          </cell>
        </row>
        <row r="461">
          <cell r="O461" t="str">
            <v>CRY3Y4X</v>
          </cell>
          <cell r="P461" t="str">
            <v>3YD RECYCLE 4X WKLY</v>
          </cell>
          <cell r="Q461">
            <v>0</v>
          </cell>
          <cell r="R461">
            <v>0</v>
          </cell>
          <cell r="S461">
            <v>0</v>
          </cell>
          <cell r="T461">
            <v>0</v>
          </cell>
          <cell r="U461">
            <v>404.24</v>
          </cell>
          <cell r="V461">
            <v>404.24</v>
          </cell>
          <cell r="W461">
            <v>404.24</v>
          </cell>
          <cell r="X461">
            <v>404.24</v>
          </cell>
          <cell r="Y461">
            <v>404.24</v>
          </cell>
          <cell r="Z461">
            <v>404.24</v>
          </cell>
          <cell r="AA461">
            <v>0</v>
          </cell>
          <cell r="AB461">
            <v>2425.44</v>
          </cell>
        </row>
        <row r="462">
          <cell r="O462" t="str">
            <v>CRY3YEOW</v>
          </cell>
          <cell r="P462" t="str">
            <v>3YD RECYCLE EOW</v>
          </cell>
          <cell r="Q462">
            <v>986.11</v>
          </cell>
          <cell r="R462">
            <v>986.11</v>
          </cell>
          <cell r="S462">
            <v>986.11</v>
          </cell>
          <cell r="T462">
            <v>1022.58</v>
          </cell>
          <cell r="U462">
            <v>986.11</v>
          </cell>
          <cell r="V462">
            <v>986.11</v>
          </cell>
          <cell r="W462">
            <v>986.11</v>
          </cell>
          <cell r="X462">
            <v>889.78000000000009</v>
          </cell>
          <cell r="Y462">
            <v>826.38</v>
          </cell>
          <cell r="Z462">
            <v>864.36</v>
          </cell>
          <cell r="AA462">
            <v>0</v>
          </cell>
          <cell r="AB462">
            <v>8533.65</v>
          </cell>
        </row>
        <row r="463">
          <cell r="O463" t="str">
            <v>CRY3YOC</v>
          </cell>
          <cell r="P463" t="str">
            <v>3YD RECY ON CALL RENTAL</v>
          </cell>
          <cell r="Q463">
            <v>137.1</v>
          </cell>
          <cell r="R463">
            <v>137.1</v>
          </cell>
          <cell r="S463">
            <v>137.1</v>
          </cell>
          <cell r="T463">
            <v>137.1</v>
          </cell>
          <cell r="U463">
            <v>137.1</v>
          </cell>
          <cell r="V463">
            <v>137.1</v>
          </cell>
          <cell r="W463">
            <v>137.1</v>
          </cell>
          <cell r="X463">
            <v>137.1</v>
          </cell>
          <cell r="Y463">
            <v>153.91999999999999</v>
          </cell>
          <cell r="Z463">
            <v>127.13</v>
          </cell>
          <cell r="AA463">
            <v>0</v>
          </cell>
          <cell r="AB463">
            <v>1240.75</v>
          </cell>
        </row>
        <row r="464">
          <cell r="O464" t="str">
            <v>CRY4Y1X</v>
          </cell>
          <cell r="P464" t="str">
            <v>4YD RECYCLE 1X WKLY</v>
          </cell>
          <cell r="Q464">
            <v>8640.64</v>
          </cell>
          <cell r="R464">
            <v>8447.26</v>
          </cell>
          <cell r="S464">
            <v>8390.8700000000008</v>
          </cell>
          <cell r="T464">
            <v>8334.49</v>
          </cell>
          <cell r="U464">
            <v>8042.66</v>
          </cell>
          <cell r="V464">
            <v>8334.48</v>
          </cell>
          <cell r="W464">
            <v>8464.18</v>
          </cell>
          <cell r="X464">
            <v>8464.18</v>
          </cell>
          <cell r="Y464">
            <v>8403.91</v>
          </cell>
          <cell r="Z464">
            <v>8958.380000000001</v>
          </cell>
          <cell r="AA464">
            <v>0</v>
          </cell>
          <cell r="AB464">
            <v>75840.41</v>
          </cell>
        </row>
        <row r="465">
          <cell r="O465" t="str">
            <v>CRY4Y2X</v>
          </cell>
          <cell r="P465" t="str">
            <v>4YD RECYCLE 2X WKLY</v>
          </cell>
          <cell r="Q465">
            <v>4947.0600000000004</v>
          </cell>
          <cell r="R465">
            <v>4955.22</v>
          </cell>
          <cell r="S465">
            <v>4955.22</v>
          </cell>
          <cell r="T465">
            <v>5013.38</v>
          </cell>
          <cell r="U465">
            <v>5015.8799999999992</v>
          </cell>
          <cell r="V465">
            <v>5044.96</v>
          </cell>
          <cell r="W465">
            <v>5190.3600000000006</v>
          </cell>
          <cell r="X465">
            <v>4837.4800000000005</v>
          </cell>
          <cell r="Y465">
            <v>4728.63</v>
          </cell>
          <cell r="Z465">
            <v>4583.3999999999996</v>
          </cell>
          <cell r="AA465">
            <v>0</v>
          </cell>
          <cell r="AB465">
            <v>44324.53</v>
          </cell>
        </row>
        <row r="466">
          <cell r="O466" t="str">
            <v>CRY4Y3X</v>
          </cell>
          <cell r="P466" t="str">
            <v>4YD RECYCLE 3X WKLY</v>
          </cell>
          <cell r="Q466">
            <v>2215.0100000000002</v>
          </cell>
          <cell r="R466">
            <v>2215.0100000000002</v>
          </cell>
          <cell r="S466">
            <v>2215.0100000000002</v>
          </cell>
          <cell r="T466">
            <v>2215.0100000000002</v>
          </cell>
          <cell r="U466">
            <v>2215.0100000000002</v>
          </cell>
          <cell r="V466">
            <v>2215.0100000000002</v>
          </cell>
          <cell r="W466">
            <v>2217.08</v>
          </cell>
          <cell r="X466">
            <v>2217.08</v>
          </cell>
          <cell r="Y466">
            <v>1633.4199999999998</v>
          </cell>
          <cell r="Z466">
            <v>1698.3200000000002</v>
          </cell>
          <cell r="AA466">
            <v>0</v>
          </cell>
          <cell r="AB466">
            <v>18840.95</v>
          </cell>
        </row>
        <row r="467">
          <cell r="O467" t="str">
            <v>CRY4Y4X</v>
          </cell>
          <cell r="P467" t="str">
            <v>4YD RECYCLE 4X WKLY</v>
          </cell>
          <cell r="Q467">
            <v>491.94</v>
          </cell>
          <cell r="R467">
            <v>491.94</v>
          </cell>
          <cell r="S467">
            <v>491.94</v>
          </cell>
          <cell r="T467">
            <v>491.94</v>
          </cell>
          <cell r="U467">
            <v>491.94</v>
          </cell>
          <cell r="V467">
            <v>491.94</v>
          </cell>
          <cell r="W467">
            <v>491.94</v>
          </cell>
          <cell r="X467">
            <v>491.94</v>
          </cell>
          <cell r="Y467">
            <v>0</v>
          </cell>
          <cell r="Z467">
            <v>0</v>
          </cell>
          <cell r="AA467">
            <v>0</v>
          </cell>
          <cell r="AB467">
            <v>3443.58</v>
          </cell>
        </row>
        <row r="468">
          <cell r="O468" t="str">
            <v>CRY4Y5X</v>
          </cell>
          <cell r="P468" t="str">
            <v>4YD RECYCLE 5X WKLY</v>
          </cell>
          <cell r="Q468">
            <v>541.53</v>
          </cell>
          <cell r="R468">
            <v>541.53</v>
          </cell>
          <cell r="S468">
            <v>541.53</v>
          </cell>
          <cell r="T468">
            <v>541.53</v>
          </cell>
          <cell r="U468">
            <v>541.53</v>
          </cell>
          <cell r="V468">
            <v>541.53</v>
          </cell>
          <cell r="W468">
            <v>541.53</v>
          </cell>
          <cell r="X468">
            <v>541.53</v>
          </cell>
          <cell r="Y468">
            <v>541.53</v>
          </cell>
          <cell r="Z468">
            <v>1137.22</v>
          </cell>
          <cell r="AA468">
            <v>0</v>
          </cell>
          <cell r="AB468">
            <v>5469.4599999999991</v>
          </cell>
        </row>
        <row r="469">
          <cell r="O469" t="str">
            <v>CRY4YEOW</v>
          </cell>
          <cell r="P469" t="str">
            <v>4YD RECYCLE EOW</v>
          </cell>
          <cell r="Q469">
            <v>1552.48</v>
          </cell>
          <cell r="R469">
            <v>1634.8700000000001</v>
          </cell>
          <cell r="S469">
            <v>1634.8700000000001</v>
          </cell>
          <cell r="T469">
            <v>1594.46</v>
          </cell>
          <cell r="U469">
            <v>1604.99</v>
          </cell>
          <cell r="V469">
            <v>1604.99</v>
          </cell>
          <cell r="W469">
            <v>1645.4</v>
          </cell>
          <cell r="X469">
            <v>1603.69</v>
          </cell>
          <cell r="Y469">
            <v>1575.1100000000001</v>
          </cell>
          <cell r="Z469">
            <v>1578.32</v>
          </cell>
          <cell r="AA469">
            <v>0</v>
          </cell>
          <cell r="AB469">
            <v>14476.7</v>
          </cell>
        </row>
        <row r="470">
          <cell r="O470" t="str">
            <v>CRY4YOC</v>
          </cell>
          <cell r="P470" t="str">
            <v>4YD RECY ON CALL RENTAL</v>
          </cell>
          <cell r="Q470">
            <v>230.83</v>
          </cell>
          <cell r="R470">
            <v>230.83</v>
          </cell>
          <cell r="S470">
            <v>230.83</v>
          </cell>
          <cell r="T470">
            <v>230.83</v>
          </cell>
          <cell r="U470">
            <v>220.54</v>
          </cell>
          <cell r="V470">
            <v>199.97</v>
          </cell>
          <cell r="W470">
            <v>199.97</v>
          </cell>
          <cell r="X470">
            <v>199.97</v>
          </cell>
          <cell r="Y470">
            <v>237.42000000000002</v>
          </cell>
          <cell r="Z470">
            <v>249.27999999999997</v>
          </cell>
          <cell r="AA470">
            <v>0</v>
          </cell>
          <cell r="AB470">
            <v>1999.64</v>
          </cell>
        </row>
        <row r="471">
          <cell r="O471" t="str">
            <v>CRY5Y1X</v>
          </cell>
          <cell r="P471" t="str">
            <v>5YD RECYCLE 1X WKLY</v>
          </cell>
          <cell r="Q471">
            <v>135.58000000000001</v>
          </cell>
          <cell r="R471">
            <v>135.58000000000001</v>
          </cell>
          <cell r="S471">
            <v>135.58000000000001</v>
          </cell>
          <cell r="T471">
            <v>135.58000000000001</v>
          </cell>
          <cell r="U471">
            <v>135.58000000000001</v>
          </cell>
          <cell r="V471">
            <v>135.58000000000001</v>
          </cell>
          <cell r="W471">
            <v>135.58000000000001</v>
          </cell>
          <cell r="X471">
            <v>135.58000000000001</v>
          </cell>
          <cell r="Y471">
            <v>135.58000000000001</v>
          </cell>
          <cell r="Z471">
            <v>142.36000000000001</v>
          </cell>
          <cell r="AA471">
            <v>0</v>
          </cell>
          <cell r="AB471">
            <v>1227</v>
          </cell>
        </row>
        <row r="472">
          <cell r="O472" t="str">
            <v>CRY5Y3X</v>
          </cell>
          <cell r="P472" t="str">
            <v>5YD RECYCLE 3X WKLY</v>
          </cell>
          <cell r="Q472">
            <v>360.36</v>
          </cell>
          <cell r="R472">
            <v>360.36</v>
          </cell>
          <cell r="S472">
            <v>360.36</v>
          </cell>
          <cell r="T472">
            <v>360.36</v>
          </cell>
          <cell r="U472">
            <v>360.36</v>
          </cell>
          <cell r="V472">
            <v>360.36</v>
          </cell>
          <cell r="W472">
            <v>360.36</v>
          </cell>
          <cell r="X472">
            <v>360.36</v>
          </cell>
          <cell r="Y472">
            <v>360.36</v>
          </cell>
          <cell r="Z472">
            <v>378.38</v>
          </cell>
          <cell r="AA472">
            <v>0</v>
          </cell>
          <cell r="AB472">
            <v>3261.2600000000007</v>
          </cell>
        </row>
        <row r="473">
          <cell r="O473" t="str">
            <v>CRY5YOC</v>
          </cell>
          <cell r="P473" t="str">
            <v>5YD RECY ON CALL RENTAL</v>
          </cell>
          <cell r="Q473">
            <v>0</v>
          </cell>
          <cell r="R473">
            <v>0</v>
          </cell>
          <cell r="S473">
            <v>0</v>
          </cell>
          <cell r="T473">
            <v>0</v>
          </cell>
          <cell r="U473">
            <v>24.96</v>
          </cell>
          <cell r="V473">
            <v>0</v>
          </cell>
          <cell r="W473">
            <v>0</v>
          </cell>
          <cell r="X473">
            <v>0</v>
          </cell>
          <cell r="Y473">
            <v>0</v>
          </cell>
          <cell r="Z473">
            <v>0</v>
          </cell>
          <cell r="AA473">
            <v>0</v>
          </cell>
          <cell r="AB473">
            <v>24.96</v>
          </cell>
        </row>
        <row r="474">
          <cell r="O474" t="str">
            <v>CRY6Y1X</v>
          </cell>
          <cell r="P474" t="str">
            <v>6YD RECYCLE 1X WKLY</v>
          </cell>
          <cell r="Q474">
            <v>2308.4899999999998</v>
          </cell>
          <cell r="R474">
            <v>2308.4899999999998</v>
          </cell>
          <cell r="S474">
            <v>2345.67</v>
          </cell>
          <cell r="T474">
            <v>2420.0300000000002</v>
          </cell>
          <cell r="U474">
            <v>2457.21</v>
          </cell>
          <cell r="V474">
            <v>2605.9300000000003</v>
          </cell>
          <cell r="W474">
            <v>2643.11</v>
          </cell>
          <cell r="X474">
            <v>2568.75</v>
          </cell>
          <cell r="Y474">
            <v>2588.1499999999996</v>
          </cell>
          <cell r="Z474">
            <v>2677.21</v>
          </cell>
          <cell r="AA474">
            <v>0</v>
          </cell>
          <cell r="AB474">
            <v>22614.550000000003</v>
          </cell>
        </row>
        <row r="475">
          <cell r="O475" t="str">
            <v>CRY6Y2X</v>
          </cell>
          <cell r="P475" t="str">
            <v>6YD RECYCLE 2X WKLY</v>
          </cell>
          <cell r="Q475">
            <v>1037.43</v>
          </cell>
          <cell r="R475">
            <v>1239.07</v>
          </cell>
          <cell r="S475">
            <v>1575.13</v>
          </cell>
          <cell r="T475">
            <v>1575.13</v>
          </cell>
          <cell r="U475">
            <v>1510.75</v>
          </cell>
          <cell r="V475">
            <v>1553.67</v>
          </cell>
          <cell r="W475">
            <v>1553.67</v>
          </cell>
          <cell r="X475">
            <v>1553.67</v>
          </cell>
          <cell r="Y475">
            <v>1553.67</v>
          </cell>
          <cell r="Z475">
            <v>1618.99</v>
          </cell>
          <cell r="AA475">
            <v>0</v>
          </cell>
          <cell r="AB475">
            <v>13733.75</v>
          </cell>
        </row>
        <row r="476">
          <cell r="O476" t="str">
            <v>CRY6Y3X</v>
          </cell>
          <cell r="P476" t="str">
            <v>6YD RECYCLE 3X WKLY</v>
          </cell>
          <cell r="Q476">
            <v>1434.27</v>
          </cell>
          <cell r="R476">
            <v>1434.27</v>
          </cell>
          <cell r="S476">
            <v>1060.28</v>
          </cell>
          <cell r="T476">
            <v>1060.28</v>
          </cell>
          <cell r="U476">
            <v>1060.28</v>
          </cell>
          <cell r="V476">
            <v>1060.28</v>
          </cell>
          <cell r="W476">
            <v>1060.28</v>
          </cell>
          <cell r="X476">
            <v>1060.28</v>
          </cell>
          <cell r="Y476">
            <v>673.2</v>
          </cell>
          <cell r="Z476">
            <v>706.86</v>
          </cell>
          <cell r="AA476">
            <v>0</v>
          </cell>
          <cell r="AB476">
            <v>9176.01</v>
          </cell>
        </row>
        <row r="477">
          <cell r="O477" t="str">
            <v>CRY6YEOW</v>
          </cell>
          <cell r="P477" t="str">
            <v>6YD RECYCLE EOW</v>
          </cell>
          <cell r="Q477">
            <v>358.41</v>
          </cell>
          <cell r="R477">
            <v>358.41</v>
          </cell>
          <cell r="S477">
            <v>358.41</v>
          </cell>
          <cell r="T477">
            <v>358.41</v>
          </cell>
          <cell r="U477">
            <v>404.72</v>
          </cell>
          <cell r="V477">
            <v>451.03000000000003</v>
          </cell>
          <cell r="W477">
            <v>543.65</v>
          </cell>
          <cell r="X477">
            <v>543.65</v>
          </cell>
          <cell r="Y477">
            <v>543.65</v>
          </cell>
          <cell r="Z477">
            <v>522.21</v>
          </cell>
          <cell r="AA477">
            <v>0</v>
          </cell>
          <cell r="AB477">
            <v>4084.1400000000003</v>
          </cell>
        </row>
        <row r="478">
          <cell r="O478" t="str">
            <v>CRY6YOC</v>
          </cell>
          <cell r="P478" t="str">
            <v>6YD RECY ON CALL RENTAL</v>
          </cell>
          <cell r="Q478">
            <v>108.00999999999999</v>
          </cell>
          <cell r="R478">
            <v>108.00999999999999</v>
          </cell>
          <cell r="S478">
            <v>108.00999999999999</v>
          </cell>
          <cell r="T478">
            <v>108.00999999999999</v>
          </cell>
          <cell r="U478">
            <v>108.00999999999999</v>
          </cell>
          <cell r="V478">
            <v>106.87</v>
          </cell>
          <cell r="W478">
            <v>73.72</v>
          </cell>
          <cell r="X478">
            <v>73.72</v>
          </cell>
          <cell r="Y478">
            <v>73.72</v>
          </cell>
          <cell r="Z478">
            <v>91.210000000000008</v>
          </cell>
          <cell r="AA478">
            <v>0</v>
          </cell>
          <cell r="AB478">
            <v>851.28000000000009</v>
          </cell>
        </row>
        <row r="479">
          <cell r="O479" t="str">
            <v>CRY8Y1X</v>
          </cell>
          <cell r="P479" t="str">
            <v>8YD RECYCLE 1X WKLY</v>
          </cell>
          <cell r="Q479">
            <v>1120.6399999999999</v>
          </cell>
          <cell r="R479">
            <v>1120.6399999999999</v>
          </cell>
          <cell r="S479">
            <v>1120.6399999999999</v>
          </cell>
          <cell r="T479">
            <v>1120.6399999999999</v>
          </cell>
          <cell r="U479">
            <v>1120.6399999999999</v>
          </cell>
          <cell r="V479">
            <v>1120.6399999999999</v>
          </cell>
          <cell r="W479">
            <v>1001.9499999999999</v>
          </cell>
          <cell r="X479">
            <v>1160.2</v>
          </cell>
          <cell r="Y479">
            <v>1183.44</v>
          </cell>
          <cell r="Z479">
            <v>1242.5999999999999</v>
          </cell>
          <cell r="AA479">
            <v>0</v>
          </cell>
          <cell r="AB479">
            <v>10191.39</v>
          </cell>
        </row>
        <row r="480">
          <cell r="O480" t="str">
            <v>CRY8Y2X</v>
          </cell>
          <cell r="P480" t="str">
            <v>8YD RECYCLE 2X WKLY</v>
          </cell>
          <cell r="Q480">
            <v>1646.23</v>
          </cell>
          <cell r="R480">
            <v>1646.23</v>
          </cell>
          <cell r="S480">
            <v>1646.23</v>
          </cell>
          <cell r="T480">
            <v>1646.23</v>
          </cell>
          <cell r="U480">
            <v>1646.23</v>
          </cell>
          <cell r="V480">
            <v>1646.23</v>
          </cell>
          <cell r="W480">
            <v>1646.23</v>
          </cell>
          <cell r="X480">
            <v>1646.23</v>
          </cell>
          <cell r="Y480">
            <v>1646.23</v>
          </cell>
          <cell r="Z480">
            <v>1725.48</v>
          </cell>
          <cell r="AA480">
            <v>0</v>
          </cell>
          <cell r="AB480">
            <v>14895.319999999998</v>
          </cell>
        </row>
        <row r="481">
          <cell r="O481" t="str">
            <v>CRY8Y3X</v>
          </cell>
          <cell r="P481" t="str">
            <v>8YD RECYCLE 3X WKLY</v>
          </cell>
          <cell r="Q481">
            <v>990.99</v>
          </cell>
          <cell r="R481">
            <v>990.99</v>
          </cell>
          <cell r="S481">
            <v>990.99</v>
          </cell>
          <cell r="T481">
            <v>990.99</v>
          </cell>
          <cell r="U481">
            <v>990.99</v>
          </cell>
          <cell r="V481">
            <v>990.99</v>
          </cell>
          <cell r="W481">
            <v>990.99</v>
          </cell>
          <cell r="X481">
            <v>990.99</v>
          </cell>
          <cell r="Y481">
            <v>990.99</v>
          </cell>
          <cell r="Z481">
            <v>1014.04</v>
          </cell>
          <cell r="AA481">
            <v>0</v>
          </cell>
          <cell r="AB481">
            <v>8941.9599999999991</v>
          </cell>
        </row>
        <row r="482">
          <cell r="O482" t="str">
            <v>CRY901X</v>
          </cell>
          <cell r="P482" t="str">
            <v>90GAL RECYCLE 1X WKLY</v>
          </cell>
          <cell r="Q482">
            <v>2638.08</v>
          </cell>
          <cell r="R482">
            <v>2629.54</v>
          </cell>
          <cell r="S482">
            <v>2725.76</v>
          </cell>
          <cell r="T482">
            <v>2821.96</v>
          </cell>
          <cell r="U482">
            <v>2789.8900000000003</v>
          </cell>
          <cell r="V482">
            <v>2709.7100000000005</v>
          </cell>
          <cell r="W482">
            <v>2677.65</v>
          </cell>
          <cell r="X482">
            <v>2677.6500000000005</v>
          </cell>
          <cell r="Y482">
            <v>2709.7200000000007</v>
          </cell>
          <cell r="Z482">
            <v>2799.63</v>
          </cell>
          <cell r="AA482">
            <v>0</v>
          </cell>
          <cell r="AB482">
            <v>24541.510000000006</v>
          </cell>
        </row>
        <row r="483">
          <cell r="O483" t="str">
            <v>CRY901X2</v>
          </cell>
          <cell r="P483" t="str">
            <v>2-90GAL RECYCLE 1X WKLY</v>
          </cell>
          <cell r="Q483">
            <v>575.52</v>
          </cell>
          <cell r="R483">
            <v>-57.36000000000007</v>
          </cell>
          <cell r="S483">
            <v>539.55999999999995</v>
          </cell>
          <cell r="T483">
            <v>503.58</v>
          </cell>
          <cell r="U483">
            <v>503.58</v>
          </cell>
          <cell r="V483">
            <v>503.58</v>
          </cell>
          <cell r="W483">
            <v>503.58</v>
          </cell>
          <cell r="X483">
            <v>503.58</v>
          </cell>
          <cell r="Y483">
            <v>503.58</v>
          </cell>
          <cell r="Z483">
            <v>472.13</v>
          </cell>
          <cell r="AA483">
            <v>0</v>
          </cell>
          <cell r="AB483">
            <v>3975.81</v>
          </cell>
        </row>
        <row r="484">
          <cell r="O484" t="str">
            <v>CRY901X3</v>
          </cell>
          <cell r="P484" t="str">
            <v>3-90GAL RECYCLE 1X WKLY</v>
          </cell>
          <cell r="Q484">
            <v>263.31</v>
          </cell>
          <cell r="R484">
            <v>263.31</v>
          </cell>
          <cell r="S484">
            <v>263.31</v>
          </cell>
          <cell r="T484">
            <v>263.31</v>
          </cell>
          <cell r="U484">
            <v>263.31</v>
          </cell>
          <cell r="V484">
            <v>263.31</v>
          </cell>
          <cell r="W484">
            <v>263.31</v>
          </cell>
          <cell r="X484">
            <v>263.31</v>
          </cell>
          <cell r="Y484">
            <v>263.31</v>
          </cell>
          <cell r="Z484">
            <v>253.44</v>
          </cell>
          <cell r="AA484">
            <v>0</v>
          </cell>
          <cell r="AB484">
            <v>2359.92</v>
          </cell>
        </row>
        <row r="485">
          <cell r="O485" t="str">
            <v>CRY902X</v>
          </cell>
          <cell r="P485" t="str">
            <v>90GAL RECYCLE 2X WKLY</v>
          </cell>
          <cell r="Q485">
            <v>121.06</v>
          </cell>
          <cell r="R485">
            <v>121.06</v>
          </cell>
          <cell r="S485">
            <v>121.06</v>
          </cell>
          <cell r="T485">
            <v>121.06</v>
          </cell>
          <cell r="U485">
            <v>121.06</v>
          </cell>
          <cell r="V485">
            <v>121.06</v>
          </cell>
          <cell r="W485">
            <v>121.06</v>
          </cell>
          <cell r="X485">
            <v>121.06</v>
          </cell>
          <cell r="Y485">
            <v>121.06</v>
          </cell>
          <cell r="Z485">
            <v>121.06</v>
          </cell>
          <cell r="AA485">
            <v>0</v>
          </cell>
          <cell r="AB485">
            <v>1089.5399999999997</v>
          </cell>
        </row>
        <row r="486">
          <cell r="O486" t="str">
            <v>CRY90EOW</v>
          </cell>
          <cell r="P486" t="str">
            <v>90GAL RECYCLE EOW</v>
          </cell>
          <cell r="Q486">
            <v>2249.54</v>
          </cell>
          <cell r="R486">
            <v>2315.2200000000003</v>
          </cell>
          <cell r="S486">
            <v>2430.1600000000003</v>
          </cell>
          <cell r="T486">
            <v>2397.3200000000002</v>
          </cell>
          <cell r="U486">
            <v>2249.54</v>
          </cell>
          <cell r="V486">
            <v>2495.8399999999997</v>
          </cell>
          <cell r="W486">
            <v>2462.9999999999995</v>
          </cell>
          <cell r="X486">
            <v>2561.5199999999995</v>
          </cell>
          <cell r="Y486">
            <v>2479.42</v>
          </cell>
          <cell r="Z486">
            <v>2552.34</v>
          </cell>
          <cell r="AA486">
            <v>0</v>
          </cell>
          <cell r="AB486">
            <v>21944.360000000004</v>
          </cell>
        </row>
        <row r="487">
          <cell r="O487" t="str">
            <v>CRY90EOW2</v>
          </cell>
          <cell r="P487" t="str">
            <v>2-90GAL RECYCLE EOW</v>
          </cell>
          <cell r="Q487">
            <v>398.12</v>
          </cell>
          <cell r="R487">
            <v>755.96</v>
          </cell>
          <cell r="S487">
            <v>459.14</v>
          </cell>
          <cell r="T487">
            <v>479.48</v>
          </cell>
          <cell r="U487">
            <v>479.48</v>
          </cell>
          <cell r="V487">
            <v>479.48</v>
          </cell>
          <cell r="W487">
            <v>459.14000000000004</v>
          </cell>
          <cell r="X487">
            <v>520.16</v>
          </cell>
          <cell r="Y487">
            <v>520.16</v>
          </cell>
          <cell r="Z487">
            <v>499.78</v>
          </cell>
          <cell r="AA487">
            <v>0</v>
          </cell>
          <cell r="AB487">
            <v>4652.78</v>
          </cell>
        </row>
        <row r="488">
          <cell r="O488" t="str">
            <v>CRY90EOW3</v>
          </cell>
          <cell r="P488" t="str">
            <v>3-90GAL RECYCLE EOW</v>
          </cell>
          <cell r="Q488">
            <v>97</v>
          </cell>
          <cell r="R488">
            <v>97</v>
          </cell>
          <cell r="S488">
            <v>97</v>
          </cell>
          <cell r="T488">
            <v>97</v>
          </cell>
          <cell r="U488">
            <v>97</v>
          </cell>
          <cell r="V488">
            <v>97</v>
          </cell>
          <cell r="W488">
            <v>145.5</v>
          </cell>
          <cell r="X488">
            <v>97</v>
          </cell>
          <cell r="Y488">
            <v>97</v>
          </cell>
          <cell r="Z488">
            <v>101.86</v>
          </cell>
          <cell r="AA488">
            <v>0</v>
          </cell>
          <cell r="AB488">
            <v>926.36</v>
          </cell>
        </row>
        <row r="489">
          <cell r="O489" t="str">
            <v>CRY90OC</v>
          </cell>
          <cell r="P489" t="str">
            <v>90GAL RECY ON CALL RENTAL</v>
          </cell>
          <cell r="Q489">
            <v>212.35</v>
          </cell>
          <cell r="R489">
            <v>207.69</v>
          </cell>
          <cell r="S489">
            <v>211.69000000000003</v>
          </cell>
          <cell r="T489">
            <v>199.70000000000002</v>
          </cell>
          <cell r="U489">
            <v>199.70000000000002</v>
          </cell>
          <cell r="V489">
            <v>183.06</v>
          </cell>
          <cell r="W489">
            <v>181.53</v>
          </cell>
          <cell r="X489">
            <v>171.74</v>
          </cell>
          <cell r="Y489">
            <v>170.61</v>
          </cell>
          <cell r="Z489">
            <v>174.32999999999998</v>
          </cell>
          <cell r="AA489">
            <v>0</v>
          </cell>
          <cell r="AB489">
            <v>1700.0500000000002</v>
          </cell>
        </row>
        <row r="490">
          <cell r="O490" t="str">
            <v>CRY90OC2</v>
          </cell>
          <cell r="P490" t="str">
            <v>2-90GAL RECY ON CALL RENT</v>
          </cell>
          <cell r="Q490">
            <v>17.14</v>
          </cell>
          <cell r="R490">
            <v>17.14</v>
          </cell>
          <cell r="S490">
            <v>17.14</v>
          </cell>
          <cell r="T490">
            <v>17.14</v>
          </cell>
          <cell r="U490">
            <v>17.14</v>
          </cell>
          <cell r="V490">
            <v>17.14</v>
          </cell>
          <cell r="W490">
            <v>17.14</v>
          </cell>
          <cell r="X490">
            <v>17.14</v>
          </cell>
          <cell r="Y490">
            <v>17.14</v>
          </cell>
          <cell r="Z490">
            <v>18</v>
          </cell>
          <cell r="AA490">
            <v>0</v>
          </cell>
          <cell r="AB490">
            <v>155.12</v>
          </cell>
        </row>
        <row r="491">
          <cell r="O491" t="str">
            <v>CRY90OC3</v>
          </cell>
          <cell r="P491" t="str">
            <v>3-90GAL RECY ON CALL RENT</v>
          </cell>
          <cell r="Q491">
            <v>11.15</v>
          </cell>
          <cell r="R491">
            <v>11.15</v>
          </cell>
          <cell r="S491">
            <v>11.15</v>
          </cell>
          <cell r="T491">
            <v>11.15</v>
          </cell>
          <cell r="U491">
            <v>11.15</v>
          </cell>
          <cell r="V491">
            <v>11.15</v>
          </cell>
          <cell r="W491">
            <v>11.15</v>
          </cell>
          <cell r="X491">
            <v>11.15</v>
          </cell>
          <cell r="Y491">
            <v>11.15</v>
          </cell>
          <cell r="Z491">
            <v>11.15</v>
          </cell>
          <cell r="AA491">
            <v>0</v>
          </cell>
          <cell r="AB491">
            <v>100.35000000000002</v>
          </cell>
        </row>
        <row r="492">
          <cell r="O492" t="str">
            <v>CRYACC</v>
          </cell>
          <cell r="P492" t="str">
            <v>RECY ACCESS CHARGE</v>
          </cell>
          <cell r="Q492">
            <v>1563.17</v>
          </cell>
          <cell r="R492">
            <v>1574.24</v>
          </cell>
          <cell r="S492">
            <v>1602.6399999999999</v>
          </cell>
          <cell r="T492">
            <v>1650.58</v>
          </cell>
          <cell r="U492">
            <v>1656.5100000000002</v>
          </cell>
          <cell r="V492">
            <v>1689.78</v>
          </cell>
          <cell r="W492">
            <v>1695.66</v>
          </cell>
          <cell r="X492">
            <v>1693.69</v>
          </cell>
          <cell r="Y492">
            <v>1511.25</v>
          </cell>
          <cell r="Z492">
            <v>1623.87</v>
          </cell>
          <cell r="AA492">
            <v>0</v>
          </cell>
          <cell r="AB492">
            <v>14698.220000000001</v>
          </cell>
        </row>
        <row r="493">
          <cell r="O493" t="str">
            <v>CRYEX1YD</v>
          </cell>
          <cell r="P493" t="str">
            <v>SPECIAL PU 1YD RECYCLE</v>
          </cell>
          <cell r="Q493">
            <v>-22.83</v>
          </cell>
          <cell r="R493">
            <v>0</v>
          </cell>
          <cell r="S493">
            <v>0</v>
          </cell>
          <cell r="T493">
            <v>0</v>
          </cell>
          <cell r="U493">
            <v>0</v>
          </cell>
          <cell r="V493">
            <v>0</v>
          </cell>
          <cell r="W493">
            <v>0</v>
          </cell>
          <cell r="X493">
            <v>0</v>
          </cell>
          <cell r="Y493">
            <v>0</v>
          </cell>
          <cell r="Z493">
            <v>0</v>
          </cell>
          <cell r="AA493">
            <v>0</v>
          </cell>
          <cell r="AB493">
            <v>0</v>
          </cell>
        </row>
        <row r="494">
          <cell r="O494" t="str">
            <v>CRYEX2YD</v>
          </cell>
          <cell r="P494" t="str">
            <v>SPECIAL PU 2YD RECYCLE</v>
          </cell>
          <cell r="Q494">
            <v>0</v>
          </cell>
          <cell r="R494">
            <v>0</v>
          </cell>
          <cell r="S494">
            <v>0</v>
          </cell>
          <cell r="T494">
            <v>0</v>
          </cell>
          <cell r="U494">
            <v>25.12</v>
          </cell>
          <cell r="V494">
            <v>0</v>
          </cell>
          <cell r="W494">
            <v>41.96</v>
          </cell>
          <cell r="X494">
            <v>0</v>
          </cell>
          <cell r="Y494">
            <v>25.12</v>
          </cell>
          <cell r="Z494">
            <v>0</v>
          </cell>
          <cell r="AA494">
            <v>0</v>
          </cell>
          <cell r="AB494">
            <v>92.2</v>
          </cell>
        </row>
        <row r="495">
          <cell r="O495" t="str">
            <v>CRYEX4YD</v>
          </cell>
          <cell r="P495" t="str">
            <v>SPECIAL PU 4YD RECYCLE</v>
          </cell>
          <cell r="Q495">
            <v>28.55</v>
          </cell>
          <cell r="R495">
            <v>0</v>
          </cell>
          <cell r="S495">
            <v>28.55</v>
          </cell>
          <cell r="T495">
            <v>0</v>
          </cell>
          <cell r="U495">
            <v>28.55</v>
          </cell>
          <cell r="V495">
            <v>28.55</v>
          </cell>
          <cell r="W495">
            <v>57.1</v>
          </cell>
          <cell r="X495">
            <v>28.55</v>
          </cell>
          <cell r="Y495">
            <v>78.900000000000006</v>
          </cell>
          <cell r="Z495">
            <v>0</v>
          </cell>
          <cell r="AA495">
            <v>0</v>
          </cell>
          <cell r="AB495">
            <v>250.20000000000002</v>
          </cell>
        </row>
        <row r="496">
          <cell r="O496" t="str">
            <v>CRYEX5YD</v>
          </cell>
          <cell r="P496" t="str">
            <v>SPECIAL PU 5YD RECYCLE</v>
          </cell>
          <cell r="Q496">
            <v>0</v>
          </cell>
          <cell r="R496">
            <v>0</v>
          </cell>
          <cell r="S496">
            <v>0</v>
          </cell>
          <cell r="T496">
            <v>0</v>
          </cell>
          <cell r="U496">
            <v>0</v>
          </cell>
          <cell r="V496">
            <v>56.38</v>
          </cell>
          <cell r="W496">
            <v>0</v>
          </cell>
          <cell r="X496">
            <v>0</v>
          </cell>
          <cell r="Y496">
            <v>0</v>
          </cell>
          <cell r="Z496">
            <v>0</v>
          </cell>
          <cell r="AA496">
            <v>0</v>
          </cell>
          <cell r="AB496">
            <v>56.38</v>
          </cell>
        </row>
        <row r="497">
          <cell r="O497" t="str">
            <v>CRYEX6YD</v>
          </cell>
          <cell r="P497" t="str">
            <v>SPECIAL PU 6YD RECYCLE</v>
          </cell>
          <cell r="Q497">
            <v>0</v>
          </cell>
          <cell r="R497">
            <v>0</v>
          </cell>
          <cell r="S497">
            <v>0</v>
          </cell>
          <cell r="T497">
            <v>0</v>
          </cell>
          <cell r="U497">
            <v>0</v>
          </cell>
          <cell r="V497">
            <v>0</v>
          </cell>
          <cell r="W497">
            <v>12.61</v>
          </cell>
          <cell r="X497">
            <v>0</v>
          </cell>
          <cell r="Y497">
            <v>25.1</v>
          </cell>
          <cell r="Z497">
            <v>0</v>
          </cell>
          <cell r="AA497">
            <v>0</v>
          </cell>
          <cell r="AB497">
            <v>37.71</v>
          </cell>
        </row>
        <row r="498">
          <cell r="O498" t="str">
            <v>CRYEX8YD</v>
          </cell>
          <cell r="P498" t="str">
            <v>SPECIAL PU 8YD RECYCLE</v>
          </cell>
          <cell r="Q498">
            <v>0</v>
          </cell>
          <cell r="R498">
            <v>0</v>
          </cell>
          <cell r="S498">
            <v>0</v>
          </cell>
          <cell r="T498">
            <v>0</v>
          </cell>
          <cell r="U498">
            <v>0</v>
          </cell>
          <cell r="V498">
            <v>0</v>
          </cell>
          <cell r="W498">
            <v>32.020000000000003</v>
          </cell>
          <cell r="X498">
            <v>0</v>
          </cell>
          <cell r="Y498">
            <v>67.150000000000006</v>
          </cell>
          <cell r="Z498">
            <v>0</v>
          </cell>
          <cell r="AA498">
            <v>0</v>
          </cell>
          <cell r="AB498">
            <v>99.170000000000016</v>
          </cell>
        </row>
        <row r="499">
          <cell r="O499" t="str">
            <v>CRYEX90</v>
          </cell>
          <cell r="P499" t="str">
            <v>SPECIAL PU 1-90GAL RECY</v>
          </cell>
          <cell r="Q499">
            <v>17.13</v>
          </cell>
          <cell r="R499">
            <v>0</v>
          </cell>
          <cell r="S499">
            <v>85.649999999999991</v>
          </cell>
          <cell r="T499">
            <v>0</v>
          </cell>
          <cell r="U499">
            <v>0</v>
          </cell>
          <cell r="V499">
            <v>34.26</v>
          </cell>
          <cell r="W499">
            <v>0</v>
          </cell>
          <cell r="X499">
            <v>0</v>
          </cell>
          <cell r="Y499">
            <v>0</v>
          </cell>
          <cell r="Z499">
            <v>0</v>
          </cell>
          <cell r="AA499">
            <v>0</v>
          </cell>
          <cell r="AB499">
            <v>119.91</v>
          </cell>
        </row>
        <row r="500">
          <cell r="O500" t="str">
            <v>CRYEXC</v>
          </cell>
          <cell r="P500" t="str">
            <v>REC EXTRA YARDS</v>
          </cell>
          <cell r="Q500">
            <v>4300.8</v>
          </cell>
          <cell r="R500">
            <v>3415.04</v>
          </cell>
          <cell r="S500">
            <v>6263.04</v>
          </cell>
          <cell r="T500">
            <v>4560.6399999999994</v>
          </cell>
          <cell r="U500">
            <v>5519.3600000000006</v>
          </cell>
          <cell r="V500">
            <v>7572.48</v>
          </cell>
          <cell r="W500">
            <v>4720.6399999999994</v>
          </cell>
          <cell r="X500">
            <v>4532.68</v>
          </cell>
          <cell r="Y500">
            <v>5917.2</v>
          </cell>
          <cell r="Z500">
            <v>5532.17</v>
          </cell>
          <cell r="AA500">
            <v>0</v>
          </cell>
          <cell r="AB500">
            <v>48033.25</v>
          </cell>
        </row>
        <row r="501">
          <cell r="O501" t="str">
            <v>CRYGLASS1X</v>
          </cell>
          <cell r="P501" t="str">
            <v>96G GLASS CART 1X WKLY</v>
          </cell>
          <cell r="Q501">
            <v>383.19</v>
          </cell>
          <cell r="R501">
            <v>319.8</v>
          </cell>
          <cell r="S501">
            <v>374.51000000000005</v>
          </cell>
          <cell r="T501">
            <v>383.68</v>
          </cell>
          <cell r="U501">
            <v>383.68</v>
          </cell>
          <cell r="V501">
            <v>383.68</v>
          </cell>
          <cell r="W501">
            <v>383.68</v>
          </cell>
          <cell r="X501">
            <v>523.55999999999995</v>
          </cell>
          <cell r="Y501">
            <v>562.72</v>
          </cell>
          <cell r="Z501">
            <v>654.13</v>
          </cell>
          <cell r="AA501">
            <v>0</v>
          </cell>
          <cell r="AB501">
            <v>3969.4400000000005</v>
          </cell>
        </row>
        <row r="502">
          <cell r="O502" t="str">
            <v>CRYLOCK</v>
          </cell>
          <cell r="P502" t="str">
            <v>RECY LOCK CHARGE</v>
          </cell>
          <cell r="Q502">
            <v>11.88</v>
          </cell>
          <cell r="R502">
            <v>11.88</v>
          </cell>
          <cell r="S502">
            <v>11.88</v>
          </cell>
          <cell r="T502">
            <v>11.88</v>
          </cell>
          <cell r="U502">
            <v>11.88</v>
          </cell>
          <cell r="V502">
            <v>11.88</v>
          </cell>
          <cell r="W502">
            <v>11.88</v>
          </cell>
          <cell r="X502">
            <v>11.88</v>
          </cell>
          <cell r="Y502">
            <v>11.88</v>
          </cell>
          <cell r="Z502">
            <v>12.48</v>
          </cell>
          <cell r="AA502">
            <v>0</v>
          </cell>
          <cell r="AB502">
            <v>107.52</v>
          </cell>
        </row>
        <row r="503">
          <cell r="O503" t="str">
            <v>CRYPLACE</v>
          </cell>
          <cell r="P503" t="str">
            <v>RECY CONT DELIVERY FEE</v>
          </cell>
          <cell r="Q503">
            <v>88.710000000000008</v>
          </cell>
          <cell r="R503">
            <v>0</v>
          </cell>
          <cell r="S503">
            <v>177.42</v>
          </cell>
          <cell r="T503">
            <v>177.42000000000002</v>
          </cell>
          <cell r="U503">
            <v>266.13</v>
          </cell>
          <cell r="V503">
            <v>325.27</v>
          </cell>
          <cell r="W503">
            <v>88.710000000000008</v>
          </cell>
          <cell r="X503">
            <v>384.40999999999997</v>
          </cell>
          <cell r="Y503">
            <v>295.7</v>
          </cell>
          <cell r="Z503">
            <v>309.02000000000004</v>
          </cell>
          <cell r="AA503">
            <v>0</v>
          </cell>
          <cell r="AB503">
            <v>2024.0800000000002</v>
          </cell>
        </row>
        <row r="504">
          <cell r="O504" t="str">
            <v>CRYRO</v>
          </cell>
          <cell r="P504" t="str">
            <v>RECY CONT ROLLOUT CHARGE</v>
          </cell>
          <cell r="Q504">
            <v>1325.2</v>
          </cell>
          <cell r="R504">
            <v>1322.35</v>
          </cell>
          <cell r="S504">
            <v>1321.37</v>
          </cell>
          <cell r="T504">
            <v>1347.79</v>
          </cell>
          <cell r="U504">
            <v>1379.17</v>
          </cell>
          <cell r="V504">
            <v>1373.99</v>
          </cell>
          <cell r="W504">
            <v>1387.71</v>
          </cell>
          <cell r="X504">
            <v>1385.73</v>
          </cell>
          <cell r="Y504">
            <v>1273.75</v>
          </cell>
          <cell r="Z504">
            <v>1367.69</v>
          </cell>
          <cell r="AA504">
            <v>0</v>
          </cell>
          <cell r="AB504">
            <v>12159.550000000001</v>
          </cell>
        </row>
        <row r="505">
          <cell r="O505" t="str">
            <v>CRYTRIP</v>
          </cell>
          <cell r="P505" t="str">
            <v>TRIP CHARGE - RECYCLING</v>
          </cell>
          <cell r="Q505">
            <v>42.78</v>
          </cell>
          <cell r="R505">
            <v>14.26</v>
          </cell>
          <cell r="S505">
            <v>57.04</v>
          </cell>
          <cell r="T505">
            <v>42.78</v>
          </cell>
          <cell r="U505">
            <v>49.91</v>
          </cell>
          <cell r="V505">
            <v>71.72</v>
          </cell>
          <cell r="W505">
            <v>71.3</v>
          </cell>
          <cell r="X505">
            <v>71.3</v>
          </cell>
          <cell r="Y505">
            <v>114.08</v>
          </cell>
          <cell r="Z505">
            <v>148.99</v>
          </cell>
          <cell r="AA505">
            <v>0</v>
          </cell>
          <cell r="AB505">
            <v>641.38</v>
          </cell>
        </row>
        <row r="506">
          <cell r="O506" t="str">
            <v>MFTOTE</v>
          </cell>
          <cell r="P506" t="str">
            <v>EXTRA RECY CANS/BAGS</v>
          </cell>
          <cell r="Q506">
            <v>524.52</v>
          </cell>
          <cell r="R506">
            <v>217.62</v>
          </cell>
          <cell r="S506">
            <v>666.81</v>
          </cell>
          <cell r="T506">
            <v>574.74</v>
          </cell>
          <cell r="U506">
            <v>502.20000000000005</v>
          </cell>
          <cell r="V506">
            <v>586.46</v>
          </cell>
          <cell r="W506">
            <v>385.02</v>
          </cell>
          <cell r="X506">
            <v>647.16999999999996</v>
          </cell>
          <cell r="Y506">
            <v>587.22</v>
          </cell>
          <cell r="Z506">
            <v>568.42000000000007</v>
          </cell>
          <cell r="AA506">
            <v>0</v>
          </cell>
          <cell r="AB506">
            <v>4735.66</v>
          </cell>
        </row>
        <row r="507">
          <cell r="O507" t="str">
            <v>SCHX</v>
          </cell>
          <cell r="P507" t="str">
            <v>SCHOOL RECY EX YDS/EX PU</v>
          </cell>
          <cell r="Q507">
            <v>44.4</v>
          </cell>
          <cell r="R507">
            <v>228.81</v>
          </cell>
          <cell r="S507">
            <v>100.75</v>
          </cell>
          <cell r="T507">
            <v>78.55</v>
          </cell>
          <cell r="U507">
            <v>64.89</v>
          </cell>
          <cell r="V507">
            <v>87.09</v>
          </cell>
          <cell r="W507">
            <v>431.65999999999997</v>
          </cell>
          <cell r="X507">
            <v>77.17</v>
          </cell>
          <cell r="Y507">
            <v>411.36</v>
          </cell>
          <cell r="Z507">
            <v>295.05999999999995</v>
          </cell>
          <cell r="AA507">
            <v>0</v>
          </cell>
          <cell r="AB507">
            <v>1775.3400000000001</v>
          </cell>
        </row>
        <row r="508">
          <cell r="O508" t="str">
            <v>WCCLEAN</v>
          </cell>
          <cell r="P508" t="str">
            <v>WASH &amp; SANITIZE FW CART</v>
          </cell>
          <cell r="Q508">
            <v>0</v>
          </cell>
          <cell r="R508">
            <v>0</v>
          </cell>
          <cell r="S508">
            <v>0</v>
          </cell>
          <cell r="T508">
            <v>0</v>
          </cell>
          <cell r="U508">
            <v>0</v>
          </cell>
          <cell r="V508">
            <v>0</v>
          </cell>
          <cell r="W508">
            <v>40.4</v>
          </cell>
          <cell r="X508">
            <v>0</v>
          </cell>
          <cell r="Y508">
            <v>0</v>
          </cell>
          <cell r="Z508">
            <v>0</v>
          </cell>
          <cell r="AA508">
            <v>0</v>
          </cell>
          <cell r="AB508">
            <v>40.4</v>
          </cell>
        </row>
        <row r="509">
          <cell r="Q509">
            <v>80281.440000000017</v>
          </cell>
          <cell r="R509">
            <v>78204.800000000003</v>
          </cell>
          <cell r="S509">
            <v>82941.319999999978</v>
          </cell>
          <cell r="T509">
            <v>81797.83</v>
          </cell>
          <cell r="U509">
            <v>83310.269999999975</v>
          </cell>
          <cell r="V509">
            <v>86790.030000000013</v>
          </cell>
          <cell r="W509">
            <v>84279.890000000029</v>
          </cell>
          <cell r="X509">
            <v>77769.010000000009</v>
          </cell>
          <cell r="Y509">
            <v>79264.999999999985</v>
          </cell>
          <cell r="Z509">
            <v>85811.479999999981</v>
          </cell>
          <cell r="AA509">
            <v>0</v>
          </cell>
          <cell r="AB509">
            <v>740169.63</v>
          </cell>
        </row>
        <row r="510">
          <cell r="O510" t="str">
            <v>CR32MO</v>
          </cell>
          <cell r="P510" t="str">
            <v>1 32GAL CAN ONCE A MTH</v>
          </cell>
          <cell r="Q510">
            <v>6396</v>
          </cell>
          <cell r="R510">
            <v>6348</v>
          </cell>
          <cell r="S510">
            <v>6458.4</v>
          </cell>
          <cell r="T510">
            <v>6424.7999999999993</v>
          </cell>
          <cell r="U510">
            <v>6619.2</v>
          </cell>
          <cell r="V510">
            <v>6556.7999999999993</v>
          </cell>
          <cell r="W510">
            <v>6568.8</v>
          </cell>
          <cell r="X510">
            <v>6496.8</v>
          </cell>
          <cell r="Y510">
            <v>6206.7150000000011</v>
          </cell>
          <cell r="Z510">
            <v>6235.5150000000003</v>
          </cell>
          <cell r="AA510">
            <v>0</v>
          </cell>
          <cell r="AB510">
            <v>57915.030000000006</v>
          </cell>
        </row>
        <row r="511">
          <cell r="O511" t="str">
            <v>CR32W1</v>
          </cell>
          <cell r="P511" t="str">
            <v>1 32GAL CAN WEEKLY</v>
          </cell>
          <cell r="Q511">
            <v>554454.78</v>
          </cell>
          <cell r="R511">
            <v>549950.94999999995</v>
          </cell>
          <cell r="S511">
            <v>554047.91</v>
          </cell>
          <cell r="T511">
            <v>551022.61</v>
          </cell>
          <cell r="U511">
            <v>560073.79500000004</v>
          </cell>
          <cell r="V511">
            <v>556856.68499999994</v>
          </cell>
          <cell r="W511">
            <v>564566.89</v>
          </cell>
          <cell r="X511">
            <v>561923.81000000006</v>
          </cell>
          <cell r="Y511">
            <v>554416.77</v>
          </cell>
          <cell r="Z511">
            <v>551344.64999999991</v>
          </cell>
          <cell r="AA511">
            <v>0</v>
          </cell>
          <cell r="AB511">
            <v>5004204.07</v>
          </cell>
        </row>
        <row r="512">
          <cell r="O512" t="str">
            <v>CR32W2</v>
          </cell>
          <cell r="P512" t="str">
            <v>2-32GAL CANS WEEKLY</v>
          </cell>
          <cell r="Q512">
            <v>198979.52000000002</v>
          </cell>
          <cell r="R512">
            <v>197397.6</v>
          </cell>
          <cell r="S512">
            <v>199735.26500000001</v>
          </cell>
          <cell r="T512">
            <v>198624.85499999998</v>
          </cell>
          <cell r="U512">
            <v>200718.34</v>
          </cell>
          <cell r="V512">
            <v>199529.34999999998</v>
          </cell>
          <cell r="W512">
            <v>202985.36500000002</v>
          </cell>
          <cell r="X512">
            <v>201536.125</v>
          </cell>
          <cell r="Y512">
            <v>201901.23499999999</v>
          </cell>
          <cell r="Z512">
            <v>200233.785</v>
          </cell>
          <cell r="AA512">
            <v>0</v>
          </cell>
          <cell r="AB512">
            <v>1802661.9199999997</v>
          </cell>
        </row>
        <row r="513">
          <cell r="O513" t="str">
            <v>CR32W3</v>
          </cell>
          <cell r="P513" t="str">
            <v>3-32GAL CANS WEEKLY</v>
          </cell>
          <cell r="Q513">
            <v>18937.27</v>
          </cell>
          <cell r="R513">
            <v>18620.93</v>
          </cell>
          <cell r="S513">
            <v>18929.745000000003</v>
          </cell>
          <cell r="T513">
            <v>18782.325000000001</v>
          </cell>
          <cell r="U513">
            <v>19385.349999999999</v>
          </cell>
          <cell r="V513">
            <v>19258.989999999998</v>
          </cell>
          <cell r="W513">
            <v>19747.280000000002</v>
          </cell>
          <cell r="X513">
            <v>19571.77</v>
          </cell>
          <cell r="Y513">
            <v>20732.474999999999</v>
          </cell>
          <cell r="Z513">
            <v>20416.614999999998</v>
          </cell>
          <cell r="AA513">
            <v>0</v>
          </cell>
          <cell r="AB513">
            <v>175445.47999999998</v>
          </cell>
        </row>
        <row r="514">
          <cell r="O514" t="str">
            <v>CR32W4</v>
          </cell>
          <cell r="P514" t="str">
            <v>4-32GAL CANS WEEKLY</v>
          </cell>
          <cell r="Q514">
            <v>4015.5600000000004</v>
          </cell>
          <cell r="R514">
            <v>3937.07</v>
          </cell>
          <cell r="S514">
            <v>4207.3999999999996</v>
          </cell>
          <cell r="T514">
            <v>4181.2299999999996</v>
          </cell>
          <cell r="U514">
            <v>4425.3999999999996</v>
          </cell>
          <cell r="V514">
            <v>4373.08</v>
          </cell>
          <cell r="W514">
            <v>4641.97</v>
          </cell>
          <cell r="X514">
            <v>4572.2</v>
          </cell>
          <cell r="Y514">
            <v>4571.9549999999999</v>
          </cell>
          <cell r="Z514">
            <v>4467.3150000000005</v>
          </cell>
          <cell r="AA514">
            <v>0</v>
          </cell>
          <cell r="AB514">
            <v>39377.620000000003</v>
          </cell>
        </row>
        <row r="515">
          <cell r="O515" t="str">
            <v>CR32W5</v>
          </cell>
          <cell r="P515" t="str">
            <v>5-32GAL CANS WEEKLY</v>
          </cell>
          <cell r="Q515">
            <v>707.53</v>
          </cell>
          <cell r="R515">
            <v>620.44999999999993</v>
          </cell>
          <cell r="S515">
            <v>696.64</v>
          </cell>
          <cell r="T515">
            <v>696.64</v>
          </cell>
          <cell r="U515">
            <v>718.41</v>
          </cell>
          <cell r="V515">
            <v>707.52</v>
          </cell>
          <cell r="W515">
            <v>718.41</v>
          </cell>
          <cell r="X515">
            <v>696.64</v>
          </cell>
          <cell r="Y515">
            <v>702.08500000000004</v>
          </cell>
          <cell r="Z515">
            <v>702.08500000000004</v>
          </cell>
          <cell r="AA515">
            <v>0</v>
          </cell>
          <cell r="AB515">
            <v>6258.88</v>
          </cell>
        </row>
        <row r="516">
          <cell r="O516" t="str">
            <v>CR32W6</v>
          </cell>
          <cell r="P516" t="str">
            <v>6-32GAL CANS WEEKLY</v>
          </cell>
          <cell r="Q516">
            <v>215.69499999999999</v>
          </cell>
          <cell r="R516">
            <v>215.69499999999999</v>
          </cell>
          <cell r="S516">
            <v>209.16</v>
          </cell>
          <cell r="T516">
            <v>209.16</v>
          </cell>
          <cell r="U516">
            <v>287.59500000000003</v>
          </cell>
          <cell r="V516">
            <v>287.59500000000003</v>
          </cell>
          <cell r="W516">
            <v>261.45</v>
          </cell>
          <cell r="X516">
            <v>261.45</v>
          </cell>
          <cell r="Y516">
            <v>294.13</v>
          </cell>
          <cell r="Z516">
            <v>294.13</v>
          </cell>
          <cell r="AA516">
            <v>0</v>
          </cell>
          <cell r="AB516">
            <v>2320.3650000000002</v>
          </cell>
        </row>
        <row r="517">
          <cell r="O517" t="str">
            <v>CR32W7</v>
          </cell>
          <cell r="P517" t="str">
            <v>7-32GAL CANS WEEKLY</v>
          </cell>
          <cell r="Q517">
            <v>121.18</v>
          </cell>
          <cell r="R517">
            <v>121.18</v>
          </cell>
          <cell r="S517">
            <v>121.18</v>
          </cell>
          <cell r="T517">
            <v>121.18</v>
          </cell>
          <cell r="U517">
            <v>121.18</v>
          </cell>
          <cell r="V517">
            <v>121.18</v>
          </cell>
          <cell r="W517">
            <v>189.345</v>
          </cell>
          <cell r="X517">
            <v>189.345</v>
          </cell>
          <cell r="Y517">
            <v>181.77</v>
          </cell>
          <cell r="Z517">
            <v>181.77</v>
          </cell>
          <cell r="AA517">
            <v>0</v>
          </cell>
          <cell r="AB517">
            <v>1348.13</v>
          </cell>
        </row>
        <row r="518">
          <cell r="O518" t="str">
            <v>CR32W8</v>
          </cell>
          <cell r="P518" t="str">
            <v>8-32GAL CANS WEEKLY</v>
          </cell>
          <cell r="Q518">
            <v>266.16000000000003</v>
          </cell>
          <cell r="R518">
            <v>266.16000000000003</v>
          </cell>
          <cell r="S518">
            <v>266.16000000000003</v>
          </cell>
          <cell r="T518">
            <v>266.16000000000003</v>
          </cell>
          <cell r="U518">
            <v>266.16000000000003</v>
          </cell>
          <cell r="V518">
            <v>266.16000000000003</v>
          </cell>
          <cell r="W518">
            <v>266.16000000000003</v>
          </cell>
          <cell r="X518">
            <v>266.16000000000003</v>
          </cell>
          <cell r="Y518">
            <v>266.16000000000003</v>
          </cell>
          <cell r="Z518">
            <v>266.16000000000003</v>
          </cell>
          <cell r="AA518">
            <v>0</v>
          </cell>
          <cell r="AB518">
            <v>2395.44</v>
          </cell>
        </row>
        <row r="519">
          <cell r="O519" t="str">
            <v>CRDRVIN</v>
          </cell>
          <cell r="P519" t="str">
            <v>DRIVE IN CHG -RESIDENTIAL</v>
          </cell>
          <cell r="Q519">
            <v>1452.6200000000001</v>
          </cell>
          <cell r="R519">
            <v>-13.040000000000001</v>
          </cell>
          <cell r="S519">
            <v>1404.3400000000001</v>
          </cell>
          <cell r="T519">
            <v>-5.59</v>
          </cell>
          <cell r="U519">
            <v>1460.1999999999998</v>
          </cell>
          <cell r="V519">
            <v>0</v>
          </cell>
          <cell r="W519">
            <v>1419.23</v>
          </cell>
          <cell r="X519">
            <v>0</v>
          </cell>
          <cell r="Y519">
            <v>1422.81</v>
          </cell>
          <cell r="Z519">
            <v>0</v>
          </cell>
          <cell r="AA519">
            <v>0</v>
          </cell>
          <cell r="AB519">
            <v>5687.9499999999989</v>
          </cell>
        </row>
        <row r="520">
          <cell r="O520" t="str">
            <v>CREOW</v>
          </cell>
          <cell r="P520" t="str">
            <v>1 32GAL CAN EOW</v>
          </cell>
          <cell r="Q520">
            <v>75270.39</v>
          </cell>
          <cell r="R520">
            <v>74482.040000000008</v>
          </cell>
          <cell r="S520">
            <v>75786.179999999993</v>
          </cell>
          <cell r="T520">
            <v>75105.38</v>
          </cell>
          <cell r="U520">
            <v>76698.05</v>
          </cell>
          <cell r="V520">
            <v>75842.460000000021</v>
          </cell>
          <cell r="W520">
            <v>76767.665000000008</v>
          </cell>
          <cell r="X520">
            <v>75415.395000000004</v>
          </cell>
          <cell r="Y520">
            <v>73325.654999999999</v>
          </cell>
          <cell r="Z520">
            <v>72649.404999999999</v>
          </cell>
          <cell r="AA520">
            <v>0</v>
          </cell>
          <cell r="AB520">
            <v>676072.2300000001</v>
          </cell>
        </row>
        <row r="521">
          <cell r="O521" t="str">
            <v>CRMC</v>
          </cell>
          <cell r="P521" t="str">
            <v>20GAL CAN WEEKLY</v>
          </cell>
          <cell r="Q521">
            <v>6498.5599999999995</v>
          </cell>
          <cell r="R521">
            <v>6425.63</v>
          </cell>
          <cell r="S521">
            <v>6434.5599999999995</v>
          </cell>
          <cell r="T521">
            <v>6370.5599999999995</v>
          </cell>
          <cell r="U521">
            <v>6549.7600000000011</v>
          </cell>
          <cell r="V521">
            <v>6536.96</v>
          </cell>
          <cell r="W521">
            <v>6538.2400000000007</v>
          </cell>
          <cell r="X521">
            <v>6526.71</v>
          </cell>
          <cell r="Y521">
            <v>6193.9199999999992</v>
          </cell>
          <cell r="Z521">
            <v>6140.16</v>
          </cell>
          <cell r="AA521">
            <v>0</v>
          </cell>
          <cell r="AB521">
            <v>57716.5</v>
          </cell>
        </row>
        <row r="522">
          <cell r="O522" t="str">
            <v>CRMCEOW</v>
          </cell>
          <cell r="P522" t="str">
            <v>20GAL CAN EOW</v>
          </cell>
          <cell r="Q522">
            <v>1770.17</v>
          </cell>
          <cell r="R522">
            <v>1754.72</v>
          </cell>
          <cell r="S522">
            <v>1787.5650000000001</v>
          </cell>
          <cell r="T522">
            <v>1779.8250000000003</v>
          </cell>
          <cell r="U522">
            <v>1828.155</v>
          </cell>
          <cell r="V522">
            <v>1839.7450000000001</v>
          </cell>
          <cell r="W522">
            <v>1845.5450000000003</v>
          </cell>
          <cell r="X522">
            <v>1826.2150000000004</v>
          </cell>
          <cell r="Y522">
            <v>1712.2000000000003</v>
          </cell>
          <cell r="Z522">
            <v>1704.4700000000003</v>
          </cell>
          <cell r="AA522">
            <v>0</v>
          </cell>
          <cell r="AB522">
            <v>16078.440000000002</v>
          </cell>
        </row>
        <row r="523">
          <cell r="O523" t="str">
            <v>CRREC35</v>
          </cell>
          <cell r="P523" t="str">
            <v>RES RECY 35G CART-COUNTY</v>
          </cell>
          <cell r="Q523">
            <v>2117.9949999999999</v>
          </cell>
          <cell r="R523">
            <v>2107.895</v>
          </cell>
          <cell r="S523">
            <v>2140.5999999999995</v>
          </cell>
          <cell r="T523">
            <v>2134.2499999999995</v>
          </cell>
          <cell r="U523">
            <v>2146.2550000000001</v>
          </cell>
          <cell r="V523">
            <v>2132.3650000000002</v>
          </cell>
          <cell r="W523">
            <v>2178.4549999999999</v>
          </cell>
          <cell r="X523">
            <v>2178.4549999999999</v>
          </cell>
          <cell r="Y523">
            <v>2059.7750000000001</v>
          </cell>
          <cell r="Z523">
            <v>2048.4250000000002</v>
          </cell>
          <cell r="AA523">
            <v>0</v>
          </cell>
          <cell r="AB523">
            <v>19126.474999999999</v>
          </cell>
        </row>
        <row r="524">
          <cell r="O524" t="str">
            <v>CRREC48</v>
          </cell>
          <cell r="P524" t="str">
            <v>RES RECY 48G CART-COUNTY</v>
          </cell>
          <cell r="Q524">
            <v>258.29500000000002</v>
          </cell>
          <cell r="R524">
            <v>259.55500000000001</v>
          </cell>
          <cell r="S524">
            <v>265.755</v>
          </cell>
          <cell r="T524">
            <v>265.755</v>
          </cell>
          <cell r="U524">
            <v>268.91499999999996</v>
          </cell>
          <cell r="V524">
            <v>268.91499999999996</v>
          </cell>
          <cell r="W524">
            <v>282.79999999999995</v>
          </cell>
          <cell r="X524">
            <v>282.79999999999995</v>
          </cell>
          <cell r="Y524">
            <v>244.92500000000001</v>
          </cell>
          <cell r="Z524">
            <v>244.92500000000001</v>
          </cell>
          <cell r="AA524">
            <v>0</v>
          </cell>
          <cell r="AB524">
            <v>2384.3450000000003</v>
          </cell>
        </row>
        <row r="525">
          <cell r="O525" t="str">
            <v>CRREC65</v>
          </cell>
          <cell r="P525" t="str">
            <v>RES RECY 65G CART-COUNTY</v>
          </cell>
          <cell r="Q525">
            <v>242175.69999999998</v>
          </cell>
          <cell r="R525">
            <v>240982.43</v>
          </cell>
          <cell r="S525">
            <v>243334.11500000002</v>
          </cell>
          <cell r="T525">
            <v>242447.04500000001</v>
          </cell>
          <cell r="U525">
            <v>246231.88500000001</v>
          </cell>
          <cell r="V525">
            <v>245080.505</v>
          </cell>
          <cell r="W525">
            <v>248063.90000000002</v>
          </cell>
          <cell r="X525">
            <v>247003.46000000002</v>
          </cell>
          <cell r="Y525">
            <v>241099.54999999996</v>
          </cell>
          <cell r="Z525">
            <v>239916.86000000002</v>
          </cell>
          <cell r="AA525">
            <v>0</v>
          </cell>
          <cell r="AB525">
            <v>2194159.75</v>
          </cell>
        </row>
        <row r="526">
          <cell r="O526" t="str">
            <v>CRREC95</v>
          </cell>
          <cell r="P526" t="str">
            <v>RES RECY 95G CART-COUNTY</v>
          </cell>
          <cell r="Q526">
            <v>10989.77</v>
          </cell>
          <cell r="R526">
            <v>11018.16</v>
          </cell>
          <cell r="S526">
            <v>11042.485000000001</v>
          </cell>
          <cell r="T526">
            <v>11015.965</v>
          </cell>
          <cell r="U526">
            <v>10970.53</v>
          </cell>
          <cell r="V526">
            <v>10935.15</v>
          </cell>
          <cell r="W526">
            <v>10990.07</v>
          </cell>
          <cell r="X526">
            <v>10921.73</v>
          </cell>
          <cell r="Y526">
            <v>10934.2</v>
          </cell>
          <cell r="Z526">
            <v>10898.2</v>
          </cell>
          <cell r="AA526">
            <v>0</v>
          </cell>
          <cell r="AB526">
            <v>98726.489999999991</v>
          </cell>
        </row>
        <row r="527">
          <cell r="O527" t="str">
            <v>CRRECHEL</v>
          </cell>
          <cell r="P527" t="str">
            <v>CURBSIDE RECY-HELICO</v>
          </cell>
          <cell r="Q527">
            <v>198.41000000000003</v>
          </cell>
          <cell r="R527">
            <v>198.25</v>
          </cell>
          <cell r="S527">
            <v>213.76</v>
          </cell>
          <cell r="T527">
            <v>213.76</v>
          </cell>
          <cell r="U527">
            <v>218.81</v>
          </cell>
          <cell r="V527">
            <v>218.81</v>
          </cell>
          <cell r="W527">
            <v>223.86</v>
          </cell>
          <cell r="X527">
            <v>222.6</v>
          </cell>
          <cell r="Y527">
            <v>223.86</v>
          </cell>
          <cell r="Z527">
            <v>213.76000000000002</v>
          </cell>
          <cell r="AA527">
            <v>0</v>
          </cell>
          <cell r="AB527">
            <v>1947.47</v>
          </cell>
        </row>
        <row r="528">
          <cell r="O528" t="str">
            <v>CTYD101</v>
          </cell>
          <cell r="P528" t="str">
            <v>101-125 FT DIST CHARGE</v>
          </cell>
          <cell r="Q528">
            <v>40.26</v>
          </cell>
          <cell r="R528">
            <v>0</v>
          </cell>
          <cell r="S528">
            <v>40.26</v>
          </cell>
          <cell r="T528">
            <v>0</v>
          </cell>
          <cell r="U528">
            <v>40.26</v>
          </cell>
          <cell r="V528">
            <v>0</v>
          </cell>
          <cell r="W528">
            <v>40.26</v>
          </cell>
          <cell r="X528">
            <v>0</v>
          </cell>
          <cell r="Y528">
            <v>40.26</v>
          </cell>
          <cell r="Z528">
            <v>0</v>
          </cell>
          <cell r="AA528">
            <v>0</v>
          </cell>
          <cell r="AB528">
            <v>161.04</v>
          </cell>
        </row>
        <row r="529">
          <cell r="O529" t="str">
            <v>CTYD126</v>
          </cell>
          <cell r="P529" t="str">
            <v>126-150 FT DIST CHARGE</v>
          </cell>
          <cell r="Q529">
            <v>16.11</v>
          </cell>
          <cell r="R529">
            <v>0</v>
          </cell>
          <cell r="S529">
            <v>16.11</v>
          </cell>
          <cell r="T529">
            <v>0</v>
          </cell>
          <cell r="U529">
            <v>16.11</v>
          </cell>
          <cell r="V529">
            <v>0</v>
          </cell>
          <cell r="W529">
            <v>16.11</v>
          </cell>
          <cell r="X529">
            <v>0</v>
          </cell>
          <cell r="Y529">
            <v>16.11</v>
          </cell>
          <cell r="Z529">
            <v>0</v>
          </cell>
          <cell r="AA529">
            <v>0</v>
          </cell>
          <cell r="AB529">
            <v>64.44</v>
          </cell>
        </row>
        <row r="530">
          <cell r="O530" t="str">
            <v>CTYD151</v>
          </cell>
          <cell r="P530" t="str">
            <v>151-175 FT DIST CHARGE</v>
          </cell>
          <cell r="Q530">
            <v>18.79</v>
          </cell>
          <cell r="R530">
            <v>0</v>
          </cell>
          <cell r="S530">
            <v>18.79</v>
          </cell>
          <cell r="T530">
            <v>0</v>
          </cell>
          <cell r="U530">
            <v>18.79</v>
          </cell>
          <cell r="V530">
            <v>0</v>
          </cell>
          <cell r="W530">
            <v>18.79</v>
          </cell>
          <cell r="X530">
            <v>-2.35</v>
          </cell>
          <cell r="Y530">
            <v>16.439999999999998</v>
          </cell>
          <cell r="Z530">
            <v>0</v>
          </cell>
          <cell r="AA530">
            <v>0</v>
          </cell>
          <cell r="AB530">
            <v>70.459999999999994</v>
          </cell>
        </row>
        <row r="531">
          <cell r="O531" t="str">
            <v>CTYD26</v>
          </cell>
          <cell r="P531" t="str">
            <v>26-50 FT DIST CHARGE</v>
          </cell>
          <cell r="Q531">
            <v>227</v>
          </cell>
          <cell r="R531">
            <v>61.87</v>
          </cell>
          <cell r="S531">
            <v>223.65</v>
          </cell>
          <cell r="T531">
            <v>60.53</v>
          </cell>
          <cell r="U531">
            <v>237.74999999999997</v>
          </cell>
          <cell r="V531">
            <v>61.87</v>
          </cell>
          <cell r="W531">
            <v>236.39999999999998</v>
          </cell>
          <cell r="X531">
            <v>61.87</v>
          </cell>
          <cell r="Y531">
            <v>231.02999999999997</v>
          </cell>
          <cell r="Z531">
            <v>59.19</v>
          </cell>
          <cell r="AA531">
            <v>0</v>
          </cell>
          <cell r="AB531">
            <v>1234.1599999999999</v>
          </cell>
        </row>
        <row r="532">
          <cell r="O532" t="str">
            <v>CTYD51</v>
          </cell>
          <cell r="P532" t="str">
            <v>51-75 FT DIST CHARGE</v>
          </cell>
          <cell r="Q532">
            <v>44.28</v>
          </cell>
          <cell r="R532">
            <v>0</v>
          </cell>
          <cell r="S532">
            <v>44.28</v>
          </cell>
          <cell r="T532">
            <v>0</v>
          </cell>
          <cell r="U532">
            <v>38.24</v>
          </cell>
          <cell r="V532">
            <v>0</v>
          </cell>
          <cell r="W532">
            <v>32.200000000000003</v>
          </cell>
          <cell r="X532">
            <v>0</v>
          </cell>
          <cell r="Y532">
            <v>24.150000000000002</v>
          </cell>
          <cell r="Z532">
            <v>0</v>
          </cell>
          <cell r="AA532">
            <v>0</v>
          </cell>
          <cell r="AB532">
            <v>138.87</v>
          </cell>
        </row>
        <row r="533">
          <cell r="O533" t="str">
            <v>CTYD6</v>
          </cell>
          <cell r="P533" t="str">
            <v>6-25 FT DIST CHARGE</v>
          </cell>
          <cell r="Q533">
            <v>273.07</v>
          </cell>
          <cell r="R533">
            <v>95.14</v>
          </cell>
          <cell r="S533">
            <v>278.39</v>
          </cell>
          <cell r="T533">
            <v>91.12</v>
          </cell>
          <cell r="U533">
            <v>274.37</v>
          </cell>
          <cell r="V533">
            <v>97.820000000000007</v>
          </cell>
          <cell r="W533">
            <v>277.39000000000004</v>
          </cell>
          <cell r="X533">
            <v>97.820000000000007</v>
          </cell>
          <cell r="Y533">
            <v>285.10000000000008</v>
          </cell>
          <cell r="Z533">
            <v>97.15</v>
          </cell>
          <cell r="AA533">
            <v>0</v>
          </cell>
          <cell r="AB533">
            <v>1594.3000000000002</v>
          </cell>
        </row>
        <row r="534">
          <cell r="O534" t="str">
            <v>CTYD76</v>
          </cell>
          <cell r="P534" t="str">
            <v>76-100 FT DIST CHARGE</v>
          </cell>
          <cell r="Q534">
            <v>75.180000000000007</v>
          </cell>
          <cell r="R534">
            <v>32.22</v>
          </cell>
          <cell r="S534">
            <v>75.180000000000007</v>
          </cell>
          <cell r="T534">
            <v>32.22</v>
          </cell>
          <cell r="U534">
            <v>75.180000000000007</v>
          </cell>
          <cell r="V534">
            <v>32.22</v>
          </cell>
          <cell r="W534">
            <v>85.92</v>
          </cell>
          <cell r="X534">
            <v>32.22</v>
          </cell>
          <cell r="Y534">
            <v>85.92</v>
          </cell>
          <cell r="Z534">
            <v>32.22</v>
          </cell>
          <cell r="AA534">
            <v>0</v>
          </cell>
          <cell r="AB534">
            <v>483.29999999999995</v>
          </cell>
        </row>
        <row r="535">
          <cell r="O535" t="str">
            <v>CYDBM64</v>
          </cell>
          <cell r="P535" t="str">
            <v>YARD DEBRIS SVC-64BIMTHLY</v>
          </cell>
          <cell r="Q535">
            <v>25970.344999999998</v>
          </cell>
          <cell r="R535">
            <v>25763.784999999996</v>
          </cell>
          <cell r="S535">
            <v>25368.739999999998</v>
          </cell>
          <cell r="T535">
            <v>25225.17</v>
          </cell>
          <cell r="U535">
            <v>25353.37</v>
          </cell>
          <cell r="V535">
            <v>25347.879999999997</v>
          </cell>
          <cell r="W535">
            <v>25375.445</v>
          </cell>
          <cell r="X535">
            <v>25294.515000000003</v>
          </cell>
          <cell r="Y535">
            <v>24550.73</v>
          </cell>
          <cell r="Z535">
            <v>24517.95</v>
          </cell>
          <cell r="AA535">
            <v>0</v>
          </cell>
          <cell r="AB535">
            <v>226797.58500000002</v>
          </cell>
        </row>
        <row r="536">
          <cell r="O536" t="str">
            <v>CYDBM96</v>
          </cell>
          <cell r="P536" t="str">
            <v>YARD DEBRIS SVC-96BIMTHLY</v>
          </cell>
          <cell r="Q536">
            <v>113048.70999999999</v>
          </cell>
          <cell r="R536">
            <v>110687.66</v>
          </cell>
          <cell r="S536">
            <v>109139.33000000002</v>
          </cell>
          <cell r="T536">
            <v>108552.13</v>
          </cell>
          <cell r="U536">
            <v>114763.97</v>
          </cell>
          <cell r="V536">
            <v>114103.74</v>
          </cell>
          <cell r="W536">
            <v>122737.465</v>
          </cell>
          <cell r="X536">
            <v>122102.465</v>
          </cell>
          <cell r="Y536">
            <v>120949.67000000003</v>
          </cell>
          <cell r="Z536">
            <v>120319.30000000002</v>
          </cell>
          <cell r="AA536">
            <v>0</v>
          </cell>
          <cell r="AB536">
            <v>1043355.73</v>
          </cell>
        </row>
        <row r="537">
          <cell r="O537" t="str">
            <v>RGREC</v>
          </cell>
          <cell r="P537" t="str">
            <v>RURAL RECY WITH GARBAGE</v>
          </cell>
          <cell r="Q537">
            <v>59452.875</v>
          </cell>
          <cell r="R537">
            <v>57945.055000000008</v>
          </cell>
          <cell r="S537">
            <v>58902.654999999992</v>
          </cell>
          <cell r="T537">
            <v>58741.534999999996</v>
          </cell>
          <cell r="U537">
            <v>59687.519999999997</v>
          </cell>
          <cell r="V537">
            <v>59482.049999999996</v>
          </cell>
          <cell r="W537">
            <v>60487.74</v>
          </cell>
          <cell r="X537">
            <v>60144.28</v>
          </cell>
          <cell r="Y537">
            <v>60849.974999999999</v>
          </cell>
          <cell r="Z537">
            <v>60583.125</v>
          </cell>
          <cell r="AA537">
            <v>0</v>
          </cell>
          <cell r="AB537">
            <v>536823.93499999994</v>
          </cell>
        </row>
        <row r="538">
          <cell r="O538" t="str">
            <v>RSNP</v>
          </cell>
          <cell r="P538" t="str">
            <v>NON-PAY STOP RESTART FEE</v>
          </cell>
          <cell r="Q538">
            <v>4810</v>
          </cell>
          <cell r="R538">
            <v>910</v>
          </cell>
          <cell r="S538">
            <v>5080</v>
          </cell>
          <cell r="T538">
            <v>860</v>
          </cell>
          <cell r="U538">
            <v>3840</v>
          </cell>
          <cell r="V538">
            <v>630</v>
          </cell>
          <cell r="W538">
            <v>4100</v>
          </cell>
          <cell r="X538">
            <v>770</v>
          </cell>
          <cell r="Y538">
            <v>5310</v>
          </cell>
          <cell r="Z538">
            <v>860</v>
          </cell>
          <cell r="AA538">
            <v>0</v>
          </cell>
          <cell r="AB538">
            <v>22360</v>
          </cell>
        </row>
        <row r="539">
          <cell r="O539" t="str">
            <v>RUREC</v>
          </cell>
          <cell r="P539" t="str">
            <v>RURAL RECY ONLY CHARGE</v>
          </cell>
          <cell r="Q539">
            <v>859.22500000000002</v>
          </cell>
          <cell r="R539">
            <v>835.51499999999999</v>
          </cell>
          <cell r="S539">
            <v>839.37</v>
          </cell>
          <cell r="T539">
            <v>827.56000000000006</v>
          </cell>
          <cell r="U539">
            <v>832.02</v>
          </cell>
          <cell r="V539">
            <v>832.02</v>
          </cell>
          <cell r="W539">
            <v>834.96</v>
          </cell>
          <cell r="X539">
            <v>834.96</v>
          </cell>
          <cell r="Y539">
            <v>849.66</v>
          </cell>
          <cell r="Z539">
            <v>849.66</v>
          </cell>
          <cell r="AA539">
            <v>0</v>
          </cell>
          <cell r="AB539">
            <v>7535.7250000000004</v>
          </cell>
        </row>
        <row r="540">
          <cell r="O540" t="str">
            <v>RUREC125</v>
          </cell>
          <cell r="P540" t="str">
            <v>RURAL RECY DIST OVER 125</v>
          </cell>
          <cell r="Q540">
            <v>4.22</v>
          </cell>
          <cell r="R540">
            <v>0</v>
          </cell>
          <cell r="S540">
            <v>4.18</v>
          </cell>
          <cell r="T540">
            <v>0</v>
          </cell>
          <cell r="U540">
            <v>4.18</v>
          </cell>
          <cell r="V540">
            <v>0</v>
          </cell>
          <cell r="W540">
            <v>4.18</v>
          </cell>
          <cell r="X540">
            <v>0</v>
          </cell>
          <cell r="Y540">
            <v>4.18</v>
          </cell>
          <cell r="Z540">
            <v>0</v>
          </cell>
          <cell r="AA540">
            <v>0</v>
          </cell>
          <cell r="AB540">
            <v>16.72</v>
          </cell>
        </row>
        <row r="541">
          <cell r="O541" t="str">
            <v>RURECACC</v>
          </cell>
          <cell r="P541" t="str">
            <v>RURAL RECY ACCESS CHARGE</v>
          </cell>
          <cell r="Q541">
            <v>5.22</v>
          </cell>
          <cell r="R541">
            <v>5.14</v>
          </cell>
          <cell r="S541">
            <v>5.14</v>
          </cell>
          <cell r="T541">
            <v>5.14</v>
          </cell>
          <cell r="U541">
            <v>5.14</v>
          </cell>
          <cell r="V541">
            <v>5.14</v>
          </cell>
          <cell r="W541">
            <v>5.14</v>
          </cell>
          <cell r="X541">
            <v>5.14</v>
          </cell>
          <cell r="Y541">
            <v>5.14</v>
          </cell>
          <cell r="Z541">
            <v>5.14</v>
          </cell>
          <cell r="AA541">
            <v>0</v>
          </cell>
          <cell r="AB541">
            <v>46.26</v>
          </cell>
        </row>
        <row r="542">
          <cell r="O542" t="str">
            <v>RURECDRVIN</v>
          </cell>
          <cell r="P542" t="str">
            <v>RURAL RECY DRIVEIN CHARGE</v>
          </cell>
          <cell r="Q542">
            <v>33.9</v>
          </cell>
          <cell r="R542">
            <v>3.36</v>
          </cell>
          <cell r="S542">
            <v>30.24</v>
          </cell>
          <cell r="T542">
            <v>6.72</v>
          </cell>
          <cell r="U542">
            <v>33.6</v>
          </cell>
          <cell r="V542">
            <v>6.72</v>
          </cell>
          <cell r="W542">
            <v>33.6</v>
          </cell>
          <cell r="X542">
            <v>6.72</v>
          </cell>
          <cell r="Y542">
            <v>33.6</v>
          </cell>
          <cell r="Z542">
            <v>6.72</v>
          </cell>
          <cell r="AA542">
            <v>0</v>
          </cell>
          <cell r="AB542">
            <v>161.28</v>
          </cell>
        </row>
        <row r="543">
          <cell r="O543" t="str">
            <v>VRA32W</v>
          </cell>
          <cell r="P543" t="str">
            <v>Automated 32g Cart Wkly</v>
          </cell>
          <cell r="Q543">
            <v>13.01</v>
          </cell>
          <cell r="R543">
            <v>13.01</v>
          </cell>
          <cell r="S543">
            <v>-61.38</v>
          </cell>
          <cell r="T543">
            <v>13.01</v>
          </cell>
          <cell r="U543">
            <v>13.01</v>
          </cell>
          <cell r="V543">
            <v>13.01</v>
          </cell>
          <cell r="W543">
            <v>13.01</v>
          </cell>
          <cell r="X543">
            <v>13.01</v>
          </cell>
          <cell r="Y543">
            <v>13.01</v>
          </cell>
          <cell r="Z543">
            <v>9.76</v>
          </cell>
          <cell r="AA543">
            <v>0</v>
          </cell>
          <cell r="AB543">
            <v>39.449999999999989</v>
          </cell>
        </row>
        <row r="544">
          <cell r="O544" t="str">
            <v>VRA64W</v>
          </cell>
          <cell r="P544" t="str">
            <v>Automated 64g Cart Wkly</v>
          </cell>
          <cell r="Q544">
            <v>18.940000000000001</v>
          </cell>
          <cell r="R544">
            <v>18.940000000000001</v>
          </cell>
          <cell r="S544">
            <v>18.940000000000001</v>
          </cell>
          <cell r="T544">
            <v>18.940000000000001</v>
          </cell>
          <cell r="U544">
            <v>18.940000000000001</v>
          </cell>
          <cell r="V544">
            <v>18.940000000000001</v>
          </cell>
          <cell r="W544">
            <v>18.940000000000001</v>
          </cell>
          <cell r="X544">
            <v>18.940000000000001</v>
          </cell>
          <cell r="Y544">
            <v>18.940000000000001</v>
          </cell>
          <cell r="Z544">
            <v>18.940000000000001</v>
          </cell>
          <cell r="AA544">
            <v>0</v>
          </cell>
          <cell r="AB544">
            <v>170.46</v>
          </cell>
        </row>
        <row r="545">
          <cell r="O545" t="str">
            <v>VRA96W</v>
          </cell>
          <cell r="P545" t="str">
            <v>Automated 96gal Cart Wkly</v>
          </cell>
          <cell r="Q545">
            <v>0</v>
          </cell>
          <cell r="R545">
            <v>0</v>
          </cell>
          <cell r="S545">
            <v>0</v>
          </cell>
          <cell r="T545">
            <v>0</v>
          </cell>
          <cell r="U545">
            <v>0</v>
          </cell>
          <cell r="V545">
            <v>0</v>
          </cell>
          <cell r="W545">
            <v>0</v>
          </cell>
          <cell r="X545">
            <v>531.25</v>
          </cell>
          <cell r="Y545">
            <v>0</v>
          </cell>
          <cell r="Z545">
            <v>0</v>
          </cell>
          <cell r="AA545">
            <v>0</v>
          </cell>
          <cell r="AB545">
            <v>531.25</v>
          </cell>
        </row>
        <row r="546">
          <cell r="O546" t="str">
            <v>VRREC65</v>
          </cell>
          <cell r="P546" t="str">
            <v>RES RECY 65G CART-CITY</v>
          </cell>
          <cell r="Q546">
            <v>0</v>
          </cell>
          <cell r="R546">
            <v>0</v>
          </cell>
          <cell r="S546">
            <v>0</v>
          </cell>
          <cell r="T546">
            <v>0</v>
          </cell>
          <cell r="U546">
            <v>0</v>
          </cell>
          <cell r="V546">
            <v>-2.5299999999999998</v>
          </cell>
          <cell r="W546">
            <v>0</v>
          </cell>
          <cell r="X546">
            <v>15.260000000000002</v>
          </cell>
          <cell r="Y546">
            <v>0</v>
          </cell>
          <cell r="Z546">
            <v>0</v>
          </cell>
          <cell r="AA546">
            <v>0</v>
          </cell>
          <cell r="AB546">
            <v>12.730000000000002</v>
          </cell>
        </row>
        <row r="547">
          <cell r="O547" t="str">
            <v>VRREC95</v>
          </cell>
          <cell r="P547" t="str">
            <v>RES RECY 95G CART-CITY</v>
          </cell>
          <cell r="Q547">
            <v>0</v>
          </cell>
          <cell r="R547">
            <v>0</v>
          </cell>
          <cell r="S547">
            <v>-12.6</v>
          </cell>
          <cell r="T547">
            <v>0</v>
          </cell>
          <cell r="U547">
            <v>0</v>
          </cell>
          <cell r="V547">
            <v>0</v>
          </cell>
          <cell r="W547">
            <v>0</v>
          </cell>
          <cell r="X547">
            <v>0</v>
          </cell>
          <cell r="Y547">
            <v>0</v>
          </cell>
          <cell r="Z547">
            <v>0</v>
          </cell>
          <cell r="AA547">
            <v>0</v>
          </cell>
          <cell r="AB547">
            <v>-12.6</v>
          </cell>
        </row>
        <row r="548">
          <cell r="O548" t="str">
            <v>VYDBM</v>
          </cell>
          <cell r="P548" t="str">
            <v>YARD DEBRIS SERV-BIMTHLY</v>
          </cell>
          <cell r="Q548">
            <v>0</v>
          </cell>
          <cell r="R548">
            <v>0</v>
          </cell>
          <cell r="S548">
            <v>-27.6</v>
          </cell>
          <cell r="T548">
            <v>0</v>
          </cell>
          <cell r="U548">
            <v>-6.9</v>
          </cell>
          <cell r="V548">
            <v>0</v>
          </cell>
          <cell r="W548">
            <v>0</v>
          </cell>
          <cell r="X548">
            <v>13.8</v>
          </cell>
          <cell r="Y548">
            <v>0</v>
          </cell>
          <cell r="Z548">
            <v>0</v>
          </cell>
          <cell r="AA548">
            <v>0</v>
          </cell>
          <cell r="AB548">
            <v>-20.7</v>
          </cell>
        </row>
        <row r="549">
          <cell r="O549" t="str">
            <v>YDRENT</v>
          </cell>
          <cell r="P549" t="str">
            <v>YARD CART ON CALL RENT</v>
          </cell>
          <cell r="Q549">
            <v>0</v>
          </cell>
          <cell r="R549">
            <v>0.69</v>
          </cell>
          <cell r="S549">
            <v>0</v>
          </cell>
          <cell r="T549">
            <v>-2.0299999999999998</v>
          </cell>
          <cell r="U549">
            <v>0</v>
          </cell>
          <cell r="V549">
            <v>2.7</v>
          </cell>
          <cell r="W549">
            <v>-1.35</v>
          </cell>
          <cell r="X549">
            <v>9.14</v>
          </cell>
          <cell r="Y549">
            <v>0.44500000000000001</v>
          </cell>
          <cell r="Z549">
            <v>3.2949999999999999</v>
          </cell>
          <cell r="AA549">
            <v>0</v>
          </cell>
          <cell r="AB549">
            <v>12.89</v>
          </cell>
        </row>
        <row r="550">
          <cell r="O550" t="str">
            <v>YDRENT64</v>
          </cell>
          <cell r="P550" t="str">
            <v>64GAL YARD CART RENTAL</v>
          </cell>
          <cell r="Q550">
            <v>1258.1100000000001</v>
          </cell>
          <cell r="R550">
            <v>1254.0900000000001</v>
          </cell>
          <cell r="S550">
            <v>1292.1200000000001</v>
          </cell>
          <cell r="T550">
            <v>1283.67</v>
          </cell>
          <cell r="U550">
            <v>1213.6699999999998</v>
          </cell>
          <cell r="V550">
            <v>1206.7</v>
          </cell>
          <cell r="W550">
            <v>1154.7650000000001</v>
          </cell>
          <cell r="X550">
            <v>1146.665</v>
          </cell>
          <cell r="Y550">
            <v>1118.0249999999999</v>
          </cell>
          <cell r="Z550">
            <v>1106.7750000000001</v>
          </cell>
          <cell r="AA550">
            <v>0</v>
          </cell>
          <cell r="AB550">
            <v>10776.48</v>
          </cell>
        </row>
        <row r="551">
          <cell r="O551" t="str">
            <v>YDRENT96</v>
          </cell>
          <cell r="P551" t="str">
            <v>96GAL YARD CART RENTAL</v>
          </cell>
          <cell r="Q551">
            <v>11102.82</v>
          </cell>
          <cell r="R551">
            <v>11122.96</v>
          </cell>
          <cell r="S551">
            <v>11673.084999999997</v>
          </cell>
          <cell r="T551">
            <v>11561.154999999999</v>
          </cell>
          <cell r="U551">
            <v>11120.980000000001</v>
          </cell>
          <cell r="V551">
            <v>10786.06</v>
          </cell>
          <cell r="W551">
            <v>10616.730000000003</v>
          </cell>
          <cell r="X551">
            <v>10487.460000000001</v>
          </cell>
          <cell r="Y551">
            <v>10381.719999999999</v>
          </cell>
          <cell r="Z551">
            <v>10323.669999999998</v>
          </cell>
          <cell r="AA551">
            <v>0</v>
          </cell>
          <cell r="AB551">
            <v>98073.82</v>
          </cell>
        </row>
        <row r="552">
          <cell r="Q552">
            <v>1342097.6700000004</v>
          </cell>
          <cell r="R552">
            <v>1323443.1099999994</v>
          </cell>
          <cell r="S552">
            <v>1340030.1000000001</v>
          </cell>
          <cell r="T552">
            <v>1326932.7799999998</v>
          </cell>
          <cell r="U552">
            <v>1356568.1900000004</v>
          </cell>
          <cell r="V552">
            <v>1343436.6099999999</v>
          </cell>
          <cell r="W552">
            <v>1374343.13</v>
          </cell>
          <cell r="X552">
            <v>1361474.8299999998</v>
          </cell>
          <cell r="Y552">
            <v>1351274.2949999999</v>
          </cell>
          <cell r="Z552">
            <v>1336751.1249999993</v>
          </cell>
          <cell r="AA552">
            <v>0</v>
          </cell>
          <cell r="AB552">
            <v>12114254.169999998</v>
          </cell>
        </row>
        <row r="553">
          <cell r="O553" t="str">
            <v>COFOW</v>
          </cell>
          <cell r="P553" t="str">
            <v>OVERWGHT-OVERFILL CAN</v>
          </cell>
          <cell r="Q553">
            <v>0</v>
          </cell>
          <cell r="R553">
            <v>32.620000000000005</v>
          </cell>
          <cell r="S553">
            <v>32.620000000000005</v>
          </cell>
          <cell r="T553">
            <v>9.32</v>
          </cell>
          <cell r="U553">
            <v>60.58</v>
          </cell>
          <cell r="V553">
            <v>46.600000000000009</v>
          </cell>
          <cell r="W553">
            <v>51.26</v>
          </cell>
          <cell r="X553">
            <v>51.260000000000005</v>
          </cell>
          <cell r="Y553">
            <v>27.96</v>
          </cell>
          <cell r="Z553">
            <v>37.28</v>
          </cell>
          <cell r="AA553">
            <v>0</v>
          </cell>
          <cell r="AB553">
            <v>349.5</v>
          </cell>
        </row>
        <row r="554">
          <cell r="O554" t="str">
            <v>CRPLACE</v>
          </cell>
          <cell r="P554" t="str">
            <v>RECY CART DELIVERY FEE</v>
          </cell>
          <cell r="Q554">
            <v>126</v>
          </cell>
          <cell r="R554">
            <v>136.4</v>
          </cell>
          <cell r="S554">
            <v>198.4</v>
          </cell>
          <cell r="T554">
            <v>99.2</v>
          </cell>
          <cell r="U554">
            <v>334.79999999999995</v>
          </cell>
          <cell r="V554">
            <v>86.800000000000011</v>
          </cell>
          <cell r="W554">
            <v>198.40000000000003</v>
          </cell>
          <cell r="X554">
            <v>124.00000000000001</v>
          </cell>
          <cell r="Y554">
            <v>285.20000000000005</v>
          </cell>
          <cell r="Z554">
            <v>148.80000000000001</v>
          </cell>
          <cell r="AA554">
            <v>0</v>
          </cell>
          <cell r="AB554">
            <v>1612</v>
          </cell>
        </row>
        <row r="555">
          <cell r="O555" t="str">
            <v>CRTIME1</v>
          </cell>
          <cell r="P555" t="str">
            <v>TIME CHARGE - 1 MAN</v>
          </cell>
          <cell r="Q555">
            <v>834.75</v>
          </cell>
          <cell r="R555">
            <v>621.69000000000005</v>
          </cell>
          <cell r="S555">
            <v>1098.69</v>
          </cell>
          <cell r="T555">
            <v>740.94</v>
          </cell>
          <cell r="U555">
            <v>955.35</v>
          </cell>
          <cell r="V555">
            <v>955.59</v>
          </cell>
          <cell r="W555">
            <v>1216.3500000000001</v>
          </cell>
          <cell r="X555">
            <v>2405.6999999999998</v>
          </cell>
          <cell r="Y555">
            <v>763.2</v>
          </cell>
          <cell r="Z555">
            <v>691.65000000000009</v>
          </cell>
          <cell r="AA555">
            <v>0</v>
          </cell>
          <cell r="AB555">
            <v>9449.16</v>
          </cell>
        </row>
        <row r="556">
          <cell r="O556" t="str">
            <v>CRTIME2</v>
          </cell>
          <cell r="P556" t="str">
            <v>TIME CHARGE - 2 MAN</v>
          </cell>
          <cell r="Q556">
            <v>0</v>
          </cell>
          <cell r="R556">
            <v>0</v>
          </cell>
          <cell r="S556">
            <v>-35.4</v>
          </cell>
          <cell r="T556">
            <v>35.4</v>
          </cell>
          <cell r="U556">
            <v>165.45000000000002</v>
          </cell>
          <cell r="V556">
            <v>106.19999999999999</v>
          </cell>
          <cell r="W556">
            <v>100.8</v>
          </cell>
          <cell r="X556">
            <v>35.4</v>
          </cell>
          <cell r="Y556">
            <v>70.8</v>
          </cell>
          <cell r="Z556">
            <v>-35.4</v>
          </cell>
          <cell r="AA556">
            <v>0</v>
          </cell>
          <cell r="AB556">
            <v>443.25</v>
          </cell>
        </row>
        <row r="557">
          <cell r="O557" t="str">
            <v>ROFOW</v>
          </cell>
          <cell r="P557" t="str">
            <v>OVERWGHT-OVERFILL CAN</v>
          </cell>
          <cell r="Q557">
            <v>3401.8</v>
          </cell>
          <cell r="R557">
            <v>3737.32</v>
          </cell>
          <cell r="S557">
            <v>4203.32</v>
          </cell>
          <cell r="T557">
            <v>4697.2800000000007</v>
          </cell>
          <cell r="U557">
            <v>4221.96</v>
          </cell>
          <cell r="V557">
            <v>4487.58</v>
          </cell>
          <cell r="W557">
            <v>5750.44</v>
          </cell>
          <cell r="X557">
            <v>4962.8999999999996</v>
          </cell>
          <cell r="Y557">
            <v>4436.32</v>
          </cell>
          <cell r="Z557">
            <v>5070.0800000000008</v>
          </cell>
          <cell r="AA557">
            <v>0</v>
          </cell>
          <cell r="AB557">
            <v>41567.199999999997</v>
          </cell>
        </row>
        <row r="558">
          <cell r="O558" t="str">
            <v>RRCALL</v>
          </cell>
          <cell r="P558" t="str">
            <v>ON CALL CAN</v>
          </cell>
          <cell r="Q558">
            <v>2144.02</v>
          </cell>
          <cell r="R558">
            <v>1603.24</v>
          </cell>
          <cell r="S558">
            <v>1559.63</v>
          </cell>
          <cell r="T558">
            <v>1497.64</v>
          </cell>
          <cell r="U558">
            <v>1605.25</v>
          </cell>
          <cell r="V558">
            <v>1631.9999999999998</v>
          </cell>
          <cell r="W558">
            <v>1802.05</v>
          </cell>
          <cell r="X558">
            <v>1533.34</v>
          </cell>
          <cell r="Y558">
            <v>1773.6</v>
          </cell>
          <cell r="Z558">
            <v>1260</v>
          </cell>
          <cell r="AA558">
            <v>0</v>
          </cell>
          <cell r="AB558">
            <v>14266.75</v>
          </cell>
        </row>
        <row r="559">
          <cell r="O559" t="str">
            <v>RREXC</v>
          </cell>
          <cell r="P559" t="str">
            <v>EXTRA CANS, BAGS,BOXES</v>
          </cell>
          <cell r="Q559">
            <v>38821.050000000003</v>
          </cell>
          <cell r="R559">
            <v>31516.61</v>
          </cell>
          <cell r="S559">
            <v>31148.2</v>
          </cell>
          <cell r="T559">
            <v>35580.449999999997</v>
          </cell>
          <cell r="U559">
            <v>34626.230000000003</v>
          </cell>
          <cell r="V559">
            <v>41409.58</v>
          </cell>
          <cell r="W559">
            <v>46087.35</v>
          </cell>
          <cell r="X559">
            <v>49850.74</v>
          </cell>
          <cell r="Y559">
            <v>44060.07</v>
          </cell>
          <cell r="Z559">
            <v>42700.6</v>
          </cell>
          <cell r="AA559">
            <v>0</v>
          </cell>
          <cell r="AB559">
            <v>356979.83</v>
          </cell>
        </row>
        <row r="560">
          <cell r="O560" t="str">
            <v>RRTRIP</v>
          </cell>
          <cell r="P560" t="str">
            <v>TRIP CHARGE - CART/CAN</v>
          </cell>
          <cell r="Q560">
            <v>63</v>
          </cell>
          <cell r="R560">
            <v>0</v>
          </cell>
          <cell r="S560">
            <v>31.5</v>
          </cell>
          <cell r="T560">
            <v>62.53</v>
          </cell>
          <cell r="U560">
            <v>73.5</v>
          </cell>
          <cell r="V560">
            <v>42</v>
          </cell>
          <cell r="W560">
            <v>84</v>
          </cell>
          <cell r="X560">
            <v>84</v>
          </cell>
          <cell r="Y560">
            <v>105</v>
          </cell>
          <cell r="Z560">
            <v>42</v>
          </cell>
          <cell r="AA560">
            <v>0</v>
          </cell>
          <cell r="AB560">
            <v>524.53</v>
          </cell>
        </row>
        <row r="561">
          <cell r="O561" t="str">
            <v>TOTEPUR</v>
          </cell>
          <cell r="P561" t="str">
            <v>TOTER/CONT/DB PURCHASE</v>
          </cell>
          <cell r="Q561">
            <v>0</v>
          </cell>
          <cell r="R561">
            <v>-248.32999999999998</v>
          </cell>
          <cell r="S561">
            <v>0</v>
          </cell>
          <cell r="T561">
            <v>0</v>
          </cell>
          <cell r="U561">
            <v>0</v>
          </cell>
          <cell r="V561">
            <v>0</v>
          </cell>
          <cell r="W561">
            <v>45.8</v>
          </cell>
          <cell r="X561">
            <v>0</v>
          </cell>
          <cell r="Y561">
            <v>48.14</v>
          </cell>
          <cell r="Z561">
            <v>0</v>
          </cell>
          <cell r="AA561">
            <v>0</v>
          </cell>
          <cell r="AB561">
            <v>-154.38999999999999</v>
          </cell>
        </row>
        <row r="562">
          <cell r="O562" t="str">
            <v>WBCHAIR</v>
          </cell>
          <cell r="P562" t="str">
            <v>CHAIR</v>
          </cell>
          <cell r="Q562">
            <v>112.84</v>
          </cell>
          <cell r="R562">
            <v>64.48</v>
          </cell>
          <cell r="S562">
            <v>48.36</v>
          </cell>
          <cell r="T562">
            <v>187.69</v>
          </cell>
          <cell r="U562">
            <v>225.68</v>
          </cell>
          <cell r="V562">
            <v>354.64</v>
          </cell>
          <cell r="W562">
            <v>257.92</v>
          </cell>
          <cell r="X562">
            <v>338.52</v>
          </cell>
          <cell r="Y562">
            <v>354.64000000000004</v>
          </cell>
          <cell r="Z562">
            <v>483.6</v>
          </cell>
          <cell r="AA562">
            <v>0</v>
          </cell>
          <cell r="AB562">
            <v>2315.5300000000002</v>
          </cell>
        </row>
        <row r="563">
          <cell r="O563" t="str">
            <v>WBDRYER</v>
          </cell>
          <cell r="P563" t="str">
            <v>CLOTHES DRYER</v>
          </cell>
          <cell r="Q563">
            <v>11.5</v>
          </cell>
          <cell r="R563">
            <v>0</v>
          </cell>
          <cell r="S563">
            <v>0</v>
          </cell>
          <cell r="T563">
            <v>0</v>
          </cell>
          <cell r="U563">
            <v>5.75</v>
          </cell>
          <cell r="V563">
            <v>0</v>
          </cell>
          <cell r="W563">
            <v>0</v>
          </cell>
          <cell r="X563">
            <v>0</v>
          </cell>
          <cell r="Y563">
            <v>0</v>
          </cell>
          <cell r="Z563">
            <v>0</v>
          </cell>
          <cell r="AA563">
            <v>0</v>
          </cell>
          <cell r="AB563">
            <v>5.75</v>
          </cell>
        </row>
        <row r="564">
          <cell r="O564" t="str">
            <v>WBMATT</v>
          </cell>
          <cell r="P564" t="str">
            <v>MATTRESS/BOXSPRING</v>
          </cell>
          <cell r="Q564">
            <v>709.28</v>
          </cell>
          <cell r="R564">
            <v>612.55999999999995</v>
          </cell>
          <cell r="S564">
            <v>888.60000000000014</v>
          </cell>
          <cell r="T564">
            <v>1168</v>
          </cell>
          <cell r="U564">
            <v>1015.5600000000001</v>
          </cell>
          <cell r="V564">
            <v>1289.5999999999999</v>
          </cell>
          <cell r="W564">
            <v>693.16000000000008</v>
          </cell>
          <cell r="X564">
            <v>999.44</v>
          </cell>
          <cell r="Y564">
            <v>1063.92</v>
          </cell>
          <cell r="Z564">
            <v>1402.4399999999996</v>
          </cell>
          <cell r="AA564">
            <v>0</v>
          </cell>
          <cell r="AB564">
            <v>9133.2799999999988</v>
          </cell>
        </row>
        <row r="565">
          <cell r="O565" t="str">
            <v>WBMISC</v>
          </cell>
          <cell r="P565" t="str">
            <v>BULKY ITEM CHARGE-MISC</v>
          </cell>
          <cell r="Q565">
            <v>854.3599999999999</v>
          </cell>
          <cell r="R565">
            <v>789.88</v>
          </cell>
          <cell r="S565">
            <v>730.92000000000007</v>
          </cell>
          <cell r="T565">
            <v>1387.98</v>
          </cell>
          <cell r="U565">
            <v>1655.72</v>
          </cell>
          <cell r="V565">
            <v>1536.32</v>
          </cell>
          <cell r="W565">
            <v>1483.0399999999997</v>
          </cell>
          <cell r="X565">
            <v>1749.0199999999998</v>
          </cell>
          <cell r="Y565">
            <v>1984.7599999999998</v>
          </cell>
          <cell r="Z565">
            <v>1789.3199999999997</v>
          </cell>
          <cell r="AA565">
            <v>0</v>
          </cell>
          <cell r="AB565">
            <v>13106.96</v>
          </cell>
        </row>
        <row r="566">
          <cell r="O566" t="str">
            <v>WBREFRIGE</v>
          </cell>
          <cell r="P566" t="str">
            <v>REFRIGERATOR, FREEZER</v>
          </cell>
          <cell r="Q566">
            <v>138</v>
          </cell>
          <cell r="R566">
            <v>69</v>
          </cell>
          <cell r="S566">
            <v>126.5</v>
          </cell>
          <cell r="T566">
            <v>149.5</v>
          </cell>
          <cell r="U566">
            <v>230</v>
          </cell>
          <cell r="V566">
            <v>115</v>
          </cell>
          <cell r="W566">
            <v>126.5</v>
          </cell>
          <cell r="X566">
            <v>241.5</v>
          </cell>
          <cell r="Y566">
            <v>241.5</v>
          </cell>
          <cell r="Z566">
            <v>207</v>
          </cell>
          <cell r="AA566">
            <v>0</v>
          </cell>
          <cell r="AB566">
            <v>1506.5</v>
          </cell>
        </row>
        <row r="567">
          <cell r="O567" t="str">
            <v>WBSOFA</v>
          </cell>
          <cell r="P567" t="str">
            <v>SOFA/LOVESEAT</v>
          </cell>
          <cell r="Q567">
            <v>306.28000000000003</v>
          </cell>
          <cell r="R567">
            <v>80.599999999999994</v>
          </cell>
          <cell r="S567">
            <v>274.03999999999996</v>
          </cell>
          <cell r="T567">
            <v>515.84</v>
          </cell>
          <cell r="U567">
            <v>257.92</v>
          </cell>
          <cell r="V567">
            <v>386.88000000000005</v>
          </cell>
          <cell r="W567">
            <v>467.48</v>
          </cell>
          <cell r="X567">
            <v>515.84</v>
          </cell>
          <cell r="Y567">
            <v>548.08000000000004</v>
          </cell>
          <cell r="Z567">
            <v>435.24</v>
          </cell>
          <cell r="AA567">
            <v>0</v>
          </cell>
          <cell r="AB567">
            <v>3481.92</v>
          </cell>
        </row>
        <row r="568">
          <cell r="O568" t="str">
            <v>WBSTOVE</v>
          </cell>
          <cell r="P568" t="str">
            <v>STOVE/RANGE</v>
          </cell>
          <cell r="Q568">
            <v>5.75</v>
          </cell>
          <cell r="R568">
            <v>0</v>
          </cell>
          <cell r="S568">
            <v>0</v>
          </cell>
          <cell r="T568">
            <v>0</v>
          </cell>
          <cell r="U568">
            <v>11.5</v>
          </cell>
          <cell r="V568">
            <v>0</v>
          </cell>
          <cell r="W568">
            <v>5.75</v>
          </cell>
          <cell r="X568">
            <v>0</v>
          </cell>
          <cell r="Y568">
            <v>11.5</v>
          </cell>
          <cell r="Z568">
            <v>0</v>
          </cell>
          <cell r="AA568">
            <v>0</v>
          </cell>
          <cell r="AB568">
            <v>28.75</v>
          </cell>
        </row>
        <row r="569">
          <cell r="O569" t="str">
            <v>WBTIME</v>
          </cell>
          <cell r="P569" t="str">
            <v>TIME CHG/MIN-BULKY ITEMS</v>
          </cell>
          <cell r="Q569">
            <v>90.9</v>
          </cell>
          <cell r="R569">
            <v>60.6</v>
          </cell>
          <cell r="S569">
            <v>181.8</v>
          </cell>
          <cell r="T569">
            <v>212.10000000000002</v>
          </cell>
          <cell r="U569">
            <v>272.7</v>
          </cell>
          <cell r="V569">
            <v>242.4</v>
          </cell>
          <cell r="W569">
            <v>90.9</v>
          </cell>
          <cell r="X569">
            <v>151.5</v>
          </cell>
          <cell r="Y569">
            <v>273.70999999999998</v>
          </cell>
          <cell r="Z569">
            <v>90.9</v>
          </cell>
          <cell r="AA569">
            <v>0</v>
          </cell>
          <cell r="AB569">
            <v>1576.6100000000001</v>
          </cell>
        </row>
        <row r="570">
          <cell r="O570" t="str">
            <v>WBWASHER</v>
          </cell>
          <cell r="P570" t="str">
            <v>WASHING MACHINE</v>
          </cell>
          <cell r="Q570">
            <v>0</v>
          </cell>
          <cell r="R570">
            <v>0</v>
          </cell>
          <cell r="S570">
            <v>5.75</v>
          </cell>
          <cell r="T570">
            <v>5.75</v>
          </cell>
          <cell r="U570">
            <v>11.5</v>
          </cell>
          <cell r="V570">
            <v>11.5</v>
          </cell>
          <cell r="W570">
            <v>11.5</v>
          </cell>
          <cell r="X570">
            <v>5.75</v>
          </cell>
          <cell r="Y570">
            <v>17.25</v>
          </cell>
          <cell r="Z570">
            <v>5.75</v>
          </cell>
          <cell r="AA570">
            <v>0</v>
          </cell>
          <cell r="AB570">
            <v>74.75</v>
          </cell>
        </row>
        <row r="571">
          <cell r="O571" t="str">
            <v>WBWTRHTR</v>
          </cell>
          <cell r="P571" t="str">
            <v>WATER HEATER</v>
          </cell>
          <cell r="Q571">
            <v>5.75</v>
          </cell>
          <cell r="R571">
            <v>0</v>
          </cell>
          <cell r="S571">
            <v>17.25</v>
          </cell>
          <cell r="T571">
            <v>0</v>
          </cell>
          <cell r="U571">
            <v>0</v>
          </cell>
          <cell r="V571">
            <v>5.75</v>
          </cell>
          <cell r="W571">
            <v>0</v>
          </cell>
          <cell r="X571">
            <v>5.75</v>
          </cell>
          <cell r="Y571">
            <v>0</v>
          </cell>
          <cell r="Z571">
            <v>0</v>
          </cell>
          <cell r="AA571">
            <v>0</v>
          </cell>
          <cell r="AB571">
            <v>28.75</v>
          </cell>
        </row>
        <row r="572">
          <cell r="O572" t="str">
            <v>WCTIRE</v>
          </cell>
          <cell r="P572" t="str">
            <v>TIRE(S) -SMALL</v>
          </cell>
          <cell r="Q572">
            <v>0</v>
          </cell>
          <cell r="R572">
            <v>0</v>
          </cell>
          <cell r="S572">
            <v>4.7</v>
          </cell>
          <cell r="T572">
            <v>7.0500000000000007</v>
          </cell>
          <cell r="U572">
            <v>23.5</v>
          </cell>
          <cell r="V572">
            <v>14.100000000000001</v>
          </cell>
          <cell r="W572">
            <v>37.6</v>
          </cell>
          <cell r="X572">
            <v>18.8</v>
          </cell>
          <cell r="Y572">
            <v>14.1</v>
          </cell>
          <cell r="Z572">
            <v>7.0500000000000007</v>
          </cell>
          <cell r="AA572">
            <v>0</v>
          </cell>
          <cell r="AB572">
            <v>126.89999999999999</v>
          </cell>
        </row>
        <row r="573">
          <cell r="O573" t="str">
            <v>WCTIRE/RIM</v>
          </cell>
          <cell r="P573" t="str">
            <v>TIRE(S) &amp; RIM(S)-SMALL</v>
          </cell>
          <cell r="Q573">
            <v>0</v>
          </cell>
          <cell r="R573">
            <v>0</v>
          </cell>
          <cell r="S573">
            <v>0</v>
          </cell>
          <cell r="T573">
            <v>32.83</v>
          </cell>
          <cell r="U573">
            <v>0</v>
          </cell>
          <cell r="V573">
            <v>4.6900000000000004</v>
          </cell>
          <cell r="W573">
            <v>37.520000000000003</v>
          </cell>
          <cell r="X573">
            <v>14.07</v>
          </cell>
          <cell r="Y573">
            <v>0</v>
          </cell>
          <cell r="Z573">
            <v>0</v>
          </cell>
          <cell r="AA573">
            <v>0</v>
          </cell>
          <cell r="AB573">
            <v>89.109999999999985</v>
          </cell>
        </row>
        <row r="574">
          <cell r="O574" t="str">
            <v>WTTIRE</v>
          </cell>
          <cell r="P574" t="str">
            <v>TIRE(S) - LARGE</v>
          </cell>
          <cell r="Q574">
            <v>0</v>
          </cell>
          <cell r="R574">
            <v>0</v>
          </cell>
          <cell r="S574">
            <v>0</v>
          </cell>
          <cell r="T574">
            <v>0</v>
          </cell>
          <cell r="U574">
            <v>0</v>
          </cell>
          <cell r="V574">
            <v>0</v>
          </cell>
          <cell r="W574">
            <v>37.520000000000003</v>
          </cell>
          <cell r="X574">
            <v>0</v>
          </cell>
          <cell r="Y574">
            <v>0</v>
          </cell>
          <cell r="Z574">
            <v>0</v>
          </cell>
          <cell r="AA574">
            <v>0</v>
          </cell>
          <cell r="AB574">
            <v>37.520000000000003</v>
          </cell>
        </row>
        <row r="575">
          <cell r="O575" t="str">
            <v>YDOC</v>
          </cell>
          <cell r="P575" t="str">
            <v>YARD DEBRIS ON CALL P/U</v>
          </cell>
          <cell r="Q575">
            <v>5517.54</v>
          </cell>
          <cell r="R575">
            <v>4923.75</v>
          </cell>
          <cell r="S575">
            <v>6881.28</v>
          </cell>
          <cell r="T575">
            <v>7835.7899999999991</v>
          </cell>
          <cell r="U575">
            <v>14092.740000000002</v>
          </cell>
          <cell r="V575">
            <v>25436.76</v>
          </cell>
          <cell r="W575">
            <v>23989.320000000003</v>
          </cell>
          <cell r="X575">
            <v>14745.24</v>
          </cell>
          <cell r="Y575">
            <v>17751.95</v>
          </cell>
          <cell r="Z575">
            <v>17653.439999999999</v>
          </cell>
          <cell r="AA575">
            <v>0</v>
          </cell>
          <cell r="AB575">
            <v>133310.26999999999</v>
          </cell>
        </row>
        <row r="576">
          <cell r="O576" t="str">
            <v>YDPLACE</v>
          </cell>
          <cell r="P576" t="str">
            <v>YARD CART DELIVERY FEE</v>
          </cell>
          <cell r="Q576">
            <v>11.26</v>
          </cell>
          <cell r="R576">
            <v>0</v>
          </cell>
          <cell r="S576">
            <v>11.03</v>
          </cell>
          <cell r="T576">
            <v>22.06</v>
          </cell>
          <cell r="U576">
            <v>33.090000000000003</v>
          </cell>
          <cell r="V576">
            <v>66.180000000000007</v>
          </cell>
          <cell r="W576">
            <v>55.15</v>
          </cell>
          <cell r="X576">
            <v>88.24</v>
          </cell>
          <cell r="Y576">
            <v>44.120000000000005</v>
          </cell>
          <cell r="Z576">
            <v>33.090000000000003</v>
          </cell>
          <cell r="AA576">
            <v>0</v>
          </cell>
          <cell r="AB576">
            <v>352.96000000000004</v>
          </cell>
        </row>
        <row r="577">
          <cell r="O577" t="str">
            <v>YDRESTART</v>
          </cell>
          <cell r="P577" t="str">
            <v>YARD DEBRIS RESTART FEE</v>
          </cell>
          <cell r="Q577">
            <v>0</v>
          </cell>
          <cell r="R577">
            <v>8.0299999999999994</v>
          </cell>
          <cell r="S577">
            <v>8.0299999999999994</v>
          </cell>
          <cell r="T577">
            <v>8.0299999999999994</v>
          </cell>
          <cell r="U577">
            <v>16.059999999999999</v>
          </cell>
          <cell r="V577">
            <v>24.09</v>
          </cell>
          <cell r="W577">
            <v>40.15</v>
          </cell>
          <cell r="X577">
            <v>32.119999999999997</v>
          </cell>
          <cell r="Y577">
            <v>32.119999999999997</v>
          </cell>
          <cell r="Z577">
            <v>8.0299999999999994</v>
          </cell>
          <cell r="AA577">
            <v>0</v>
          </cell>
          <cell r="AB577">
            <v>176.66</v>
          </cell>
        </row>
        <row r="578">
          <cell r="O578" t="str">
            <v>YDX</v>
          </cell>
          <cell r="P578" t="str">
            <v>EXTRA YARD DEBRIS</v>
          </cell>
          <cell r="Q578">
            <v>1013.76</v>
          </cell>
          <cell r="R578">
            <v>549.77</v>
          </cell>
          <cell r="S578">
            <v>1801.9399999999998</v>
          </cell>
          <cell r="T578">
            <v>1506.9299999999998</v>
          </cell>
          <cell r="U578">
            <v>2784.25</v>
          </cell>
          <cell r="V578">
            <v>3680.3900000000003</v>
          </cell>
          <cell r="W578">
            <v>3857.62</v>
          </cell>
          <cell r="X578">
            <v>2126.3900000000003</v>
          </cell>
          <cell r="Y578">
            <v>1846.6699999999998</v>
          </cell>
          <cell r="Z578">
            <v>3229.73</v>
          </cell>
          <cell r="AA578">
            <v>0</v>
          </cell>
          <cell r="AB578">
            <v>21383.689999999995</v>
          </cell>
        </row>
        <row r="579">
          <cell r="Q579">
            <v>54167.840000000004</v>
          </cell>
          <cell r="R579">
            <v>44558.219999999994</v>
          </cell>
          <cell r="S579">
            <v>49217.159999999996</v>
          </cell>
          <cell r="T579">
            <v>55762.31</v>
          </cell>
          <cell r="U579">
            <v>62679.09</v>
          </cell>
          <cell r="V579">
            <v>81934.649999999994</v>
          </cell>
          <cell r="W579">
            <v>86527.579999999987</v>
          </cell>
          <cell r="X579">
            <v>80079.51999999999</v>
          </cell>
          <cell r="Y579">
            <v>75754.609999999986</v>
          </cell>
          <cell r="Z579">
            <v>75260.599999999991</v>
          </cell>
          <cell r="AA579">
            <v>0</v>
          </cell>
          <cell r="AB579">
            <v>611773.74</v>
          </cell>
        </row>
        <row r="580">
          <cell r="O580" t="str">
            <v>CDEM15</v>
          </cell>
          <cell r="P580" t="str">
            <v>15YD DROPBOX RENTAL</v>
          </cell>
          <cell r="Q580">
            <v>106.53</v>
          </cell>
          <cell r="R580">
            <v>60.3</v>
          </cell>
          <cell r="S580">
            <v>60.3</v>
          </cell>
          <cell r="T580">
            <v>60.3</v>
          </cell>
          <cell r="U580">
            <v>60.3</v>
          </cell>
          <cell r="V580">
            <v>120.6</v>
          </cell>
          <cell r="W580">
            <v>120.6</v>
          </cell>
          <cell r="X580">
            <v>120.6</v>
          </cell>
          <cell r="Y580">
            <v>120.6</v>
          </cell>
          <cell r="Z580">
            <v>120.6</v>
          </cell>
          <cell r="AA580">
            <v>0</v>
          </cell>
          <cell r="AB580">
            <v>844.2</v>
          </cell>
        </row>
        <row r="581">
          <cell r="O581" t="str">
            <v>CDEM20</v>
          </cell>
          <cell r="P581" t="str">
            <v>20YD DROPBOX RENTAL</v>
          </cell>
          <cell r="Q581">
            <v>1567.8000000000002</v>
          </cell>
          <cell r="R581">
            <v>1557.75</v>
          </cell>
          <cell r="S581">
            <v>1650.21</v>
          </cell>
          <cell r="T581">
            <v>1579.86</v>
          </cell>
          <cell r="U581">
            <v>1567.8</v>
          </cell>
          <cell r="V581">
            <v>1628.1</v>
          </cell>
          <cell r="W581">
            <v>1620.06</v>
          </cell>
          <cell r="X581">
            <v>1531.62</v>
          </cell>
          <cell r="Y581">
            <v>1555.74</v>
          </cell>
          <cell r="Z581">
            <v>1507.5</v>
          </cell>
          <cell r="AA581">
            <v>0</v>
          </cell>
          <cell r="AB581">
            <v>14198.639999999998</v>
          </cell>
        </row>
        <row r="582">
          <cell r="O582" t="str">
            <v>CDEM30</v>
          </cell>
          <cell r="P582" t="str">
            <v>30YD DROPBOX RENTAL</v>
          </cell>
          <cell r="Q582">
            <v>1692.42</v>
          </cell>
          <cell r="R582">
            <v>1871.31</v>
          </cell>
          <cell r="S582">
            <v>1869.3</v>
          </cell>
          <cell r="T582">
            <v>1859.25</v>
          </cell>
          <cell r="U582">
            <v>1813.02</v>
          </cell>
          <cell r="V582">
            <v>1825.0799999999997</v>
          </cell>
          <cell r="W582">
            <v>1869.3</v>
          </cell>
          <cell r="X582">
            <v>1930.61</v>
          </cell>
          <cell r="Y582">
            <v>1871.3099999999997</v>
          </cell>
          <cell r="Z582">
            <v>1867.2899999999997</v>
          </cell>
          <cell r="AA582">
            <v>0</v>
          </cell>
          <cell r="AB582">
            <v>16776.469999999998</v>
          </cell>
        </row>
        <row r="583">
          <cell r="O583" t="str">
            <v>CDEM40</v>
          </cell>
          <cell r="P583" t="str">
            <v>40YD DROPBOX RENTAL</v>
          </cell>
          <cell r="Q583">
            <v>1278.3599999999999</v>
          </cell>
          <cell r="R583">
            <v>1266.3</v>
          </cell>
          <cell r="S583">
            <v>1266.3</v>
          </cell>
          <cell r="T583">
            <v>1266.3</v>
          </cell>
          <cell r="U583">
            <v>1266.3</v>
          </cell>
          <cell r="V583">
            <v>1266.3</v>
          </cell>
          <cell r="W583">
            <v>1266.3</v>
          </cell>
          <cell r="X583">
            <v>1278.3599999999999</v>
          </cell>
          <cell r="Y583">
            <v>1298.46</v>
          </cell>
          <cell r="Z583">
            <v>1203.99</v>
          </cell>
          <cell r="AA583">
            <v>0</v>
          </cell>
          <cell r="AB583">
            <v>11378.609999999999</v>
          </cell>
        </row>
        <row r="584">
          <cell r="O584" t="str">
            <v>CER15YD</v>
          </cell>
          <cell r="P584" t="str">
            <v>EMPTY &amp; RETURN 15YD</v>
          </cell>
          <cell r="Q584">
            <v>312.78000000000003</v>
          </cell>
          <cell r="R584">
            <v>417.04</v>
          </cell>
          <cell r="S584">
            <v>104.26</v>
          </cell>
          <cell r="T584">
            <v>104.26</v>
          </cell>
          <cell r="U584">
            <v>208.52</v>
          </cell>
          <cell r="V584">
            <v>312.77999999999997</v>
          </cell>
          <cell r="W584">
            <v>208.52</v>
          </cell>
          <cell r="X584">
            <v>208.52</v>
          </cell>
          <cell r="Y584">
            <v>104.26</v>
          </cell>
          <cell r="Z584">
            <v>208.52</v>
          </cell>
          <cell r="AA584">
            <v>0</v>
          </cell>
          <cell r="AB584">
            <v>1876.68</v>
          </cell>
        </row>
        <row r="585">
          <cell r="O585" t="str">
            <v>CER20YD</v>
          </cell>
          <cell r="P585" t="str">
            <v>EMPTY &amp; RETURN 20YD</v>
          </cell>
          <cell r="Q585">
            <v>3440.58</v>
          </cell>
          <cell r="R585">
            <v>3440.58</v>
          </cell>
          <cell r="S585">
            <v>4170.3999999999996</v>
          </cell>
          <cell r="T585">
            <v>4795.96</v>
          </cell>
          <cell r="U585">
            <v>4795.96</v>
          </cell>
          <cell r="V585">
            <v>5421.52</v>
          </cell>
          <cell r="W585">
            <v>5734.3</v>
          </cell>
          <cell r="X585">
            <v>3961.88</v>
          </cell>
          <cell r="Y585">
            <v>5630.0399999999991</v>
          </cell>
          <cell r="Z585">
            <v>5004.4800000000005</v>
          </cell>
          <cell r="AA585">
            <v>0</v>
          </cell>
          <cell r="AB585">
            <v>42955.12</v>
          </cell>
        </row>
        <row r="586">
          <cell r="O586" t="str">
            <v>CER30YD</v>
          </cell>
          <cell r="P586" t="str">
            <v>EMPTY &amp; RETURN 30YD</v>
          </cell>
          <cell r="Q586">
            <v>4887</v>
          </cell>
          <cell r="R586">
            <v>4561.2</v>
          </cell>
          <cell r="S586">
            <v>5430</v>
          </cell>
          <cell r="T586">
            <v>5321.4</v>
          </cell>
          <cell r="U586">
            <v>5212.7999999999993</v>
          </cell>
          <cell r="V586">
            <v>5647.2000000000007</v>
          </cell>
          <cell r="W586">
            <v>7384.8</v>
          </cell>
          <cell r="X586">
            <v>6298.8</v>
          </cell>
          <cell r="Y586">
            <v>7059</v>
          </cell>
          <cell r="Z586">
            <v>5538.6</v>
          </cell>
          <cell r="AA586">
            <v>0</v>
          </cell>
          <cell r="AB586">
            <v>52453.8</v>
          </cell>
        </row>
        <row r="587">
          <cell r="O587" t="str">
            <v>CER40YD</v>
          </cell>
          <cell r="P587" t="str">
            <v>EMPTY &amp; RETURN 40YD</v>
          </cell>
          <cell r="Q587">
            <v>2389.1999999999998</v>
          </cell>
          <cell r="R587">
            <v>2715</v>
          </cell>
          <cell r="S587">
            <v>2280.6</v>
          </cell>
          <cell r="T587">
            <v>3583.7999999999997</v>
          </cell>
          <cell r="U587">
            <v>2823.6</v>
          </cell>
          <cell r="V587">
            <v>2932.2</v>
          </cell>
          <cell r="W587">
            <v>3366.6</v>
          </cell>
          <cell r="X587">
            <v>3475.2</v>
          </cell>
          <cell r="Y587">
            <v>4561.2</v>
          </cell>
          <cell r="Z587">
            <v>3149.3999999999996</v>
          </cell>
          <cell r="AA587">
            <v>0</v>
          </cell>
          <cell r="AB587">
            <v>28887.599999999999</v>
          </cell>
        </row>
        <row r="588">
          <cell r="O588" t="str">
            <v>CLIDCHG</v>
          </cell>
          <cell r="P588" t="str">
            <v>LID CHARGE - DROPBOX</v>
          </cell>
          <cell r="Q588">
            <v>859.55</v>
          </cell>
          <cell r="R588">
            <v>881.29000000000008</v>
          </cell>
          <cell r="S588">
            <v>848.65</v>
          </cell>
          <cell r="T588">
            <v>913.89</v>
          </cell>
          <cell r="U588">
            <v>945.4</v>
          </cell>
          <cell r="V588">
            <v>978</v>
          </cell>
          <cell r="W588">
            <v>981.26</v>
          </cell>
          <cell r="X588">
            <v>986.69</v>
          </cell>
          <cell r="Y588">
            <v>847.59999999999991</v>
          </cell>
          <cell r="Z588">
            <v>847.59999999999991</v>
          </cell>
          <cell r="AA588">
            <v>0</v>
          </cell>
          <cell r="AB588">
            <v>8230.380000000001</v>
          </cell>
        </row>
        <row r="589">
          <cell r="O589" t="str">
            <v>CPLACE</v>
          </cell>
          <cell r="P589" t="str">
            <v>DROPBOX DELIVERY FEE</v>
          </cell>
          <cell r="Q589">
            <v>3552</v>
          </cell>
          <cell r="R589">
            <v>5272.5</v>
          </cell>
          <cell r="S589">
            <v>6826.5</v>
          </cell>
          <cell r="T589">
            <v>7270.5</v>
          </cell>
          <cell r="U589">
            <v>7881</v>
          </cell>
          <cell r="V589">
            <v>11044.5</v>
          </cell>
          <cell r="W589">
            <v>13209</v>
          </cell>
          <cell r="X589">
            <v>11377.5</v>
          </cell>
          <cell r="Y589">
            <v>12154.5</v>
          </cell>
          <cell r="Z589">
            <v>9601.5</v>
          </cell>
          <cell r="AA589">
            <v>0</v>
          </cell>
          <cell r="AB589">
            <v>84637.5</v>
          </cell>
        </row>
        <row r="590">
          <cell r="O590" t="str">
            <v>CRV20YD</v>
          </cell>
          <cell r="P590" t="str">
            <v>REMOVE 20YD</v>
          </cell>
          <cell r="Q590">
            <v>0</v>
          </cell>
          <cell r="R590">
            <v>104.26</v>
          </cell>
          <cell r="S590">
            <v>0</v>
          </cell>
          <cell r="T590">
            <v>104.26</v>
          </cell>
          <cell r="U590">
            <v>0</v>
          </cell>
          <cell r="V590">
            <v>0</v>
          </cell>
          <cell r="W590">
            <v>104.26</v>
          </cell>
          <cell r="X590">
            <v>0</v>
          </cell>
          <cell r="Y590">
            <v>0</v>
          </cell>
          <cell r="Z590">
            <v>0</v>
          </cell>
          <cell r="AA590">
            <v>0</v>
          </cell>
          <cell r="AB590">
            <v>312.78000000000003</v>
          </cell>
        </row>
        <row r="591">
          <cell r="O591" t="str">
            <v>CRV30YD</v>
          </cell>
          <cell r="P591" t="str">
            <v>REMOVE 30YD</v>
          </cell>
          <cell r="Q591">
            <v>0</v>
          </cell>
          <cell r="R591">
            <v>0</v>
          </cell>
          <cell r="S591">
            <v>0</v>
          </cell>
          <cell r="T591">
            <v>108.6</v>
          </cell>
          <cell r="U591">
            <v>0</v>
          </cell>
          <cell r="V591">
            <v>0</v>
          </cell>
          <cell r="W591">
            <v>0</v>
          </cell>
          <cell r="X591">
            <v>0</v>
          </cell>
          <cell r="Y591">
            <v>0</v>
          </cell>
          <cell r="Z591">
            <v>0</v>
          </cell>
          <cell r="AA591">
            <v>0</v>
          </cell>
          <cell r="AB591">
            <v>108.6</v>
          </cell>
        </row>
        <row r="592">
          <cell r="O592" t="str">
            <v>CRV40YD</v>
          </cell>
          <cell r="P592" t="str">
            <v>REMOVE 40YD</v>
          </cell>
          <cell r="Q592">
            <v>108.6</v>
          </cell>
          <cell r="R592">
            <v>108.6</v>
          </cell>
          <cell r="S592">
            <v>0</v>
          </cell>
          <cell r="T592">
            <v>108.6</v>
          </cell>
          <cell r="U592">
            <v>0</v>
          </cell>
          <cell r="V592">
            <v>0</v>
          </cell>
          <cell r="W592">
            <v>0</v>
          </cell>
          <cell r="X592">
            <v>108.6</v>
          </cell>
          <cell r="Y592">
            <v>0</v>
          </cell>
          <cell r="Z592">
            <v>217.2</v>
          </cell>
          <cell r="AA592">
            <v>0</v>
          </cell>
          <cell r="AB592">
            <v>543</v>
          </cell>
        </row>
        <row r="593">
          <cell r="O593" t="str">
            <v>CTDEM15</v>
          </cell>
          <cell r="P593" t="str">
            <v>15YD TEMP DROPBOX RENT</v>
          </cell>
          <cell r="Q593">
            <v>98.49</v>
          </cell>
          <cell r="R593">
            <v>120.6</v>
          </cell>
          <cell r="S593">
            <v>64.319999999999993</v>
          </cell>
          <cell r="T593">
            <v>60.3</v>
          </cell>
          <cell r="U593">
            <v>100.5</v>
          </cell>
          <cell r="V593">
            <v>100.5</v>
          </cell>
          <cell r="W593">
            <v>60.3</v>
          </cell>
          <cell r="X593">
            <v>16.079999999999998</v>
          </cell>
          <cell r="Y593">
            <v>34.17</v>
          </cell>
          <cell r="Z593">
            <v>26.13</v>
          </cell>
          <cell r="AA593">
            <v>0</v>
          </cell>
          <cell r="AB593">
            <v>582.9</v>
          </cell>
        </row>
        <row r="594">
          <cell r="O594" t="str">
            <v>CTDEM20</v>
          </cell>
          <cell r="P594" t="str">
            <v>20YD TEMP DROPBOX RENT</v>
          </cell>
          <cell r="Q594">
            <v>2892.3900000000003</v>
          </cell>
          <cell r="R594">
            <v>2978.82</v>
          </cell>
          <cell r="S594">
            <v>3003.43</v>
          </cell>
          <cell r="T594">
            <v>4028.04</v>
          </cell>
          <cell r="U594">
            <v>4295.37</v>
          </cell>
          <cell r="V594">
            <v>4383.8100000000004</v>
          </cell>
          <cell r="W594">
            <v>4498.38</v>
          </cell>
          <cell r="X594">
            <v>5461.17</v>
          </cell>
          <cell r="Y594">
            <v>5654.13</v>
          </cell>
          <cell r="Z594">
            <v>5270.22</v>
          </cell>
          <cell r="AA594">
            <v>0</v>
          </cell>
          <cell r="AB594">
            <v>39573.370000000003</v>
          </cell>
        </row>
        <row r="595">
          <cell r="O595" t="str">
            <v>CTDEM30</v>
          </cell>
          <cell r="P595" t="str">
            <v>30YD TEMP DROPBOX RENT</v>
          </cell>
          <cell r="Q595">
            <v>3577.67</v>
          </cell>
          <cell r="R595">
            <v>3199.92</v>
          </cell>
          <cell r="S595">
            <v>3460.5</v>
          </cell>
          <cell r="T595">
            <v>4216.12</v>
          </cell>
          <cell r="U595">
            <v>4397.8799999999992</v>
          </cell>
          <cell r="V595">
            <v>4996.08</v>
          </cell>
          <cell r="W595">
            <v>5149.619999999999</v>
          </cell>
          <cell r="X595">
            <v>5585.7899999999991</v>
          </cell>
          <cell r="Y595">
            <v>5507.4000000000005</v>
          </cell>
          <cell r="Z595">
            <v>5503.3799999999992</v>
          </cell>
          <cell r="AA595">
            <v>0</v>
          </cell>
          <cell r="AB595">
            <v>42016.689999999995</v>
          </cell>
        </row>
        <row r="596">
          <cell r="O596" t="str">
            <v>CTDEM40</v>
          </cell>
          <cell r="P596" t="str">
            <v>40YD TEMP DROPBOX RENT</v>
          </cell>
          <cell r="Q596">
            <v>3507.3199999999997</v>
          </cell>
          <cell r="R596">
            <v>3288.3599999999997</v>
          </cell>
          <cell r="S596">
            <v>3587.85</v>
          </cell>
          <cell r="T596">
            <v>3576.8</v>
          </cell>
          <cell r="U596">
            <v>3515.49</v>
          </cell>
          <cell r="V596">
            <v>3831.06</v>
          </cell>
          <cell r="W596">
            <v>4434.0600000000004</v>
          </cell>
          <cell r="X596">
            <v>4644.9199999999992</v>
          </cell>
          <cell r="Y596">
            <v>4408</v>
          </cell>
          <cell r="Z596">
            <v>4255.17</v>
          </cell>
          <cell r="AA596">
            <v>0</v>
          </cell>
          <cell r="AB596">
            <v>35541.71</v>
          </cell>
        </row>
        <row r="597">
          <cell r="O597" t="str">
            <v>CTER15YD</v>
          </cell>
          <cell r="P597" t="str">
            <v>EMPTY &amp; RETURN TEMP 15YD</v>
          </cell>
          <cell r="Q597">
            <v>0</v>
          </cell>
          <cell r="R597">
            <v>0</v>
          </cell>
          <cell r="S597">
            <v>0</v>
          </cell>
          <cell r="T597">
            <v>0</v>
          </cell>
          <cell r="U597">
            <v>0</v>
          </cell>
          <cell r="V597">
            <v>104.26</v>
          </cell>
          <cell r="W597">
            <v>0</v>
          </cell>
          <cell r="X597">
            <v>0</v>
          </cell>
          <cell r="Y597">
            <v>0</v>
          </cell>
          <cell r="Z597">
            <v>104.26</v>
          </cell>
          <cell r="AA597">
            <v>0</v>
          </cell>
          <cell r="AB597">
            <v>208.52</v>
          </cell>
        </row>
        <row r="598">
          <cell r="O598" t="str">
            <v>CTER20YD</v>
          </cell>
          <cell r="P598" t="str">
            <v>EMPTY &amp; RETURN TEMP 20YD</v>
          </cell>
          <cell r="Q598">
            <v>3232.0600000000004</v>
          </cell>
          <cell r="R598">
            <v>2189.46</v>
          </cell>
          <cell r="S598">
            <v>2502.2399999999998</v>
          </cell>
          <cell r="T598">
            <v>4691.7</v>
          </cell>
          <cell r="U598">
            <v>2606.5</v>
          </cell>
          <cell r="V598">
            <v>3961.88</v>
          </cell>
          <cell r="W598">
            <v>5525.7800000000007</v>
          </cell>
          <cell r="X598">
            <v>5108.7400000000007</v>
          </cell>
          <cell r="Y598">
            <v>7298.2</v>
          </cell>
          <cell r="Z598">
            <v>5108.74</v>
          </cell>
          <cell r="AA598">
            <v>0</v>
          </cell>
          <cell r="AB598">
            <v>38993.24</v>
          </cell>
        </row>
        <row r="599">
          <cell r="O599" t="str">
            <v>CTER30YD</v>
          </cell>
          <cell r="P599" t="str">
            <v>EMPTY &amp; RETURN TEMP 30YD</v>
          </cell>
          <cell r="Q599">
            <v>1411.8</v>
          </cell>
          <cell r="R599">
            <v>3149.3999999999996</v>
          </cell>
          <cell r="S599">
            <v>4452.6000000000004</v>
          </cell>
          <cell r="T599">
            <v>6081.5999999999995</v>
          </cell>
          <cell r="U599">
            <v>7276.1999999999989</v>
          </cell>
          <cell r="V599">
            <v>5647.2000000000007</v>
          </cell>
          <cell r="W599">
            <v>4887</v>
          </cell>
          <cell r="X599">
            <v>7710.5999999999995</v>
          </cell>
          <cell r="Y599">
            <v>7167.6</v>
          </cell>
          <cell r="Z599">
            <v>6516</v>
          </cell>
          <cell r="AA599">
            <v>0</v>
          </cell>
          <cell r="AB599">
            <v>52888.2</v>
          </cell>
        </row>
        <row r="600">
          <cell r="O600" t="str">
            <v>CTER40YD</v>
          </cell>
          <cell r="P600" t="str">
            <v>EMPTY &amp; RETURN TEMP 40YD</v>
          </cell>
          <cell r="Q600">
            <v>5864.4</v>
          </cell>
          <cell r="R600">
            <v>5212.8</v>
          </cell>
          <cell r="S600">
            <v>4887</v>
          </cell>
          <cell r="T600">
            <v>7384.8</v>
          </cell>
          <cell r="U600">
            <v>7927.8</v>
          </cell>
          <cell r="V600">
            <v>14769.6</v>
          </cell>
          <cell r="W600">
            <v>15095.4</v>
          </cell>
          <cell r="X600">
            <v>18027.600000000002</v>
          </cell>
          <cell r="Y600">
            <v>13357.8</v>
          </cell>
          <cell r="Z600">
            <v>10317</v>
          </cell>
          <cell r="AA600">
            <v>0</v>
          </cell>
          <cell r="AB600">
            <v>96979.8</v>
          </cell>
        </row>
        <row r="601">
          <cell r="O601" t="str">
            <v>CTLIDCHG</v>
          </cell>
          <cell r="P601" t="str">
            <v>TEMP DROPBOX-LID CHARGE</v>
          </cell>
          <cell r="Q601">
            <v>346.65</v>
          </cell>
          <cell r="R601">
            <v>404.24</v>
          </cell>
          <cell r="S601">
            <v>492.26</v>
          </cell>
          <cell r="T601">
            <v>593.32000000000005</v>
          </cell>
          <cell r="U601">
            <v>466.17</v>
          </cell>
          <cell r="V601">
            <v>559.63</v>
          </cell>
          <cell r="W601">
            <v>470.52</v>
          </cell>
          <cell r="X601">
            <v>421.63</v>
          </cell>
          <cell r="Y601">
            <v>508.57</v>
          </cell>
          <cell r="Z601">
            <v>496.61</v>
          </cell>
          <cell r="AA601">
            <v>0</v>
          </cell>
          <cell r="AB601">
            <v>4412.9500000000007</v>
          </cell>
        </row>
        <row r="602">
          <cell r="O602" t="str">
            <v>CTRV15YD</v>
          </cell>
          <cell r="P602" t="str">
            <v>REMOVE TEMP 15YD</v>
          </cell>
          <cell r="Q602">
            <v>0</v>
          </cell>
          <cell r="R602">
            <v>0</v>
          </cell>
          <cell r="S602">
            <v>312.78000000000003</v>
          </cell>
          <cell r="T602">
            <v>0</v>
          </cell>
          <cell r="U602">
            <v>208.52</v>
          </cell>
          <cell r="V602">
            <v>104.26</v>
          </cell>
          <cell r="W602">
            <v>0</v>
          </cell>
          <cell r="X602">
            <v>208.52</v>
          </cell>
          <cell r="Y602">
            <v>312.78000000000003</v>
          </cell>
          <cell r="Z602">
            <v>208.52</v>
          </cell>
          <cell r="AA602">
            <v>0</v>
          </cell>
          <cell r="AB602">
            <v>1355.38</v>
          </cell>
        </row>
        <row r="603">
          <cell r="O603" t="str">
            <v>CTRV20YD</v>
          </cell>
          <cell r="P603" t="str">
            <v>REMOVE TEMP 20YD</v>
          </cell>
          <cell r="Q603">
            <v>4170.3999999999996</v>
          </cell>
          <cell r="R603">
            <v>3232.0600000000004</v>
          </cell>
          <cell r="S603">
            <v>4587.4400000000005</v>
          </cell>
          <cell r="T603">
            <v>5317.2599999999993</v>
          </cell>
          <cell r="U603">
            <v>4795.96</v>
          </cell>
          <cell r="V603">
            <v>7923.7600000000011</v>
          </cell>
          <cell r="W603">
            <v>9383.4</v>
          </cell>
          <cell r="X603">
            <v>9487.6600000000017</v>
          </cell>
          <cell r="Y603">
            <v>10113.220000000001</v>
          </cell>
          <cell r="Z603">
            <v>8236.5400000000009</v>
          </cell>
          <cell r="AA603">
            <v>0</v>
          </cell>
          <cell r="AB603">
            <v>63077.30000000001</v>
          </cell>
        </row>
        <row r="604">
          <cell r="O604" t="str">
            <v>CTRV30YD</v>
          </cell>
          <cell r="P604" t="str">
            <v>REMOVE TEMP 30YD</v>
          </cell>
          <cell r="Q604">
            <v>2932.2</v>
          </cell>
          <cell r="R604">
            <v>1954.7999999999997</v>
          </cell>
          <cell r="S604">
            <v>3909.6</v>
          </cell>
          <cell r="T604">
            <v>4887</v>
          </cell>
          <cell r="U604">
            <v>4235.3999999999996</v>
          </cell>
          <cell r="V604">
            <v>6298.8</v>
          </cell>
          <cell r="W604">
            <v>6950.4000000000005</v>
          </cell>
          <cell r="X604">
            <v>6081.6</v>
          </cell>
          <cell r="Y604">
            <v>7167.6</v>
          </cell>
          <cell r="Z604">
            <v>5538.5999999999995</v>
          </cell>
          <cell r="AA604">
            <v>0</v>
          </cell>
          <cell r="AB604">
            <v>47023.799999999996</v>
          </cell>
        </row>
        <row r="605">
          <cell r="O605" t="str">
            <v>CTRV40YD</v>
          </cell>
          <cell r="P605" t="str">
            <v>REMOVE TEMP 40YD</v>
          </cell>
          <cell r="Q605">
            <v>3040.8</v>
          </cell>
          <cell r="R605">
            <v>2932.2</v>
          </cell>
          <cell r="S605">
            <v>2932.2</v>
          </cell>
          <cell r="T605">
            <v>3801</v>
          </cell>
          <cell r="U605">
            <v>4887</v>
          </cell>
          <cell r="V605">
            <v>4344</v>
          </cell>
          <cell r="W605">
            <v>4452.6000000000004</v>
          </cell>
          <cell r="X605">
            <v>5212.8</v>
          </cell>
          <cell r="Y605">
            <v>7167.6</v>
          </cell>
          <cell r="Z605">
            <v>5755.7999999999993</v>
          </cell>
          <cell r="AA605">
            <v>0</v>
          </cell>
          <cell r="AB605">
            <v>41485.199999999997</v>
          </cell>
        </row>
        <row r="606">
          <cell r="O606" t="str">
            <v>DBTRIP</v>
          </cell>
          <cell r="P606" t="str">
            <v>TRIP CHARGE - ROLLOFF</v>
          </cell>
          <cell r="Q606">
            <v>2282</v>
          </cell>
          <cell r="R606">
            <v>2152.9</v>
          </cell>
          <cell r="S606">
            <v>1894.6999999999998</v>
          </cell>
          <cell r="T606">
            <v>2409.3000000000002</v>
          </cell>
          <cell r="U606">
            <v>2086.3999999999996</v>
          </cell>
          <cell r="V606">
            <v>3651.2000000000003</v>
          </cell>
          <cell r="W606">
            <v>4400.1000000000004</v>
          </cell>
          <cell r="X606">
            <v>3586</v>
          </cell>
          <cell r="Y606">
            <v>4460</v>
          </cell>
          <cell r="Z606">
            <v>4304.5</v>
          </cell>
          <cell r="AA606">
            <v>0</v>
          </cell>
          <cell r="AB606">
            <v>28945.1</v>
          </cell>
        </row>
        <row r="607">
          <cell r="O607" t="str">
            <v>DISP</v>
          </cell>
          <cell r="P607" t="str">
            <v>DISPOSAL CHARGE</v>
          </cell>
          <cell r="Q607">
            <v>137707.81</v>
          </cell>
          <cell r="R607">
            <v>137217.03</v>
          </cell>
          <cell r="S607">
            <v>146041.76999999999</v>
          </cell>
          <cell r="T607">
            <v>194657.84</v>
          </cell>
          <cell r="U607">
            <v>177885.47999999998</v>
          </cell>
          <cell r="V607">
            <v>220417.86999999997</v>
          </cell>
          <cell r="W607">
            <v>230156.7</v>
          </cell>
          <cell r="X607">
            <v>237795.93</v>
          </cell>
          <cell r="Y607">
            <v>233138.27000000002</v>
          </cell>
          <cell r="Z607">
            <v>187219.52000000002</v>
          </cell>
          <cell r="AA607">
            <v>0</v>
          </cell>
          <cell r="AB607">
            <v>1764530.41</v>
          </cell>
        </row>
        <row r="608">
          <cell r="O608" t="str">
            <v>DRDEM40</v>
          </cell>
          <cell r="P608" t="str">
            <v>40YD RECYCLING DB RENTAL</v>
          </cell>
          <cell r="Q608">
            <v>61.04</v>
          </cell>
          <cell r="R608">
            <v>61.04</v>
          </cell>
          <cell r="S608">
            <v>61.04</v>
          </cell>
          <cell r="T608">
            <v>61.04</v>
          </cell>
          <cell r="U608">
            <v>61.04</v>
          </cell>
          <cell r="V608">
            <v>61.04</v>
          </cell>
          <cell r="W608">
            <v>61.04</v>
          </cell>
          <cell r="X608">
            <v>61.04</v>
          </cell>
          <cell r="Y608">
            <v>61.04</v>
          </cell>
          <cell r="Z608">
            <v>64.09</v>
          </cell>
          <cell r="AA608">
            <v>0</v>
          </cell>
          <cell r="AB608">
            <v>552.41000000000008</v>
          </cell>
        </row>
        <row r="609">
          <cell r="O609" t="str">
            <v>DRHAUL15</v>
          </cell>
          <cell r="P609" t="str">
            <v>RECYCLING HAUL 15YD BOX</v>
          </cell>
          <cell r="Q609">
            <v>2048.67</v>
          </cell>
          <cell r="R609">
            <v>1489.23</v>
          </cell>
          <cell r="S609">
            <v>1654.7</v>
          </cell>
          <cell r="T609">
            <v>1654.7</v>
          </cell>
          <cell r="U609">
            <v>1654.7</v>
          </cell>
          <cell r="V609">
            <v>2482.0499999999997</v>
          </cell>
          <cell r="W609">
            <v>4964.0999999999995</v>
          </cell>
          <cell r="X609">
            <v>5295.04</v>
          </cell>
          <cell r="Y609">
            <v>4136.75</v>
          </cell>
          <cell r="Z609">
            <v>5021.92</v>
          </cell>
          <cell r="AA609">
            <v>0</v>
          </cell>
          <cell r="AB609">
            <v>28353.190000000002</v>
          </cell>
        </row>
        <row r="610">
          <cell r="O610" t="str">
            <v>DRHAUL20</v>
          </cell>
          <cell r="P610" t="str">
            <v>RECYCLING HAUL 20YD BOX</v>
          </cell>
          <cell r="Q610">
            <v>1416.78</v>
          </cell>
          <cell r="R610">
            <v>1633.53</v>
          </cell>
          <cell r="S610">
            <v>1980.17</v>
          </cell>
          <cell r="T610">
            <v>1813.88</v>
          </cell>
          <cell r="U610">
            <v>2966.7</v>
          </cell>
          <cell r="V610">
            <v>2960.41</v>
          </cell>
          <cell r="W610">
            <v>2978.4599999999996</v>
          </cell>
          <cell r="X610">
            <v>4283.3500000000004</v>
          </cell>
          <cell r="Y610">
            <v>5785.16</v>
          </cell>
          <cell r="Z610">
            <v>4841.8900000000003</v>
          </cell>
          <cell r="AA610">
            <v>0</v>
          </cell>
          <cell r="AB610">
            <v>29243.55</v>
          </cell>
        </row>
        <row r="611">
          <cell r="O611" t="str">
            <v>DRHAUL30</v>
          </cell>
          <cell r="P611" t="str">
            <v>RECYCLING HAUL 30YD BOX</v>
          </cell>
          <cell r="Q611">
            <v>5321.7099999999991</v>
          </cell>
          <cell r="R611">
            <v>5789.8099999999995</v>
          </cell>
          <cell r="S611">
            <v>4856.8999999999996</v>
          </cell>
          <cell r="T611">
            <v>4800.9699999999993</v>
          </cell>
          <cell r="U611">
            <v>4972.37</v>
          </cell>
          <cell r="V611">
            <v>3004.1099999999997</v>
          </cell>
          <cell r="W611">
            <v>4640.34</v>
          </cell>
          <cell r="X611">
            <v>4909.4000000000005</v>
          </cell>
          <cell r="Y611">
            <v>4405.8100000000004</v>
          </cell>
          <cell r="Z611">
            <v>3545.31</v>
          </cell>
          <cell r="AA611">
            <v>0</v>
          </cell>
          <cell r="AB611">
            <v>40925.019999999997</v>
          </cell>
        </row>
        <row r="612">
          <cell r="O612" t="str">
            <v>DRHAUL40</v>
          </cell>
          <cell r="P612" t="str">
            <v>RECYCLING HAUL 40YD BOX</v>
          </cell>
          <cell r="Q612">
            <v>4215.72</v>
          </cell>
          <cell r="R612">
            <v>4767.29</v>
          </cell>
          <cell r="S612">
            <v>7667.69</v>
          </cell>
          <cell r="T612">
            <v>9082.86</v>
          </cell>
          <cell r="U612">
            <v>10583.03</v>
          </cell>
          <cell r="V612">
            <v>7279.1</v>
          </cell>
          <cell r="W612">
            <v>8620.51</v>
          </cell>
          <cell r="X612">
            <v>9382.86</v>
          </cell>
          <cell r="Y612">
            <v>7279.4</v>
          </cell>
          <cell r="Z612">
            <v>7337.96</v>
          </cell>
          <cell r="AA612">
            <v>0</v>
          </cell>
          <cell r="AB612">
            <v>72000.700000000012</v>
          </cell>
        </row>
        <row r="613">
          <cell r="O613" t="str">
            <v>DRMIX</v>
          </cell>
          <cell r="P613" t="str">
            <v>CO-MINGLE RECY DISP</v>
          </cell>
          <cell r="Q613">
            <v>0</v>
          </cell>
          <cell r="R613">
            <v>0</v>
          </cell>
          <cell r="S613">
            <v>0</v>
          </cell>
          <cell r="T613">
            <v>0</v>
          </cell>
          <cell r="U613">
            <v>0</v>
          </cell>
          <cell r="V613">
            <v>-30.5</v>
          </cell>
          <cell r="W613">
            <v>0</v>
          </cell>
          <cell r="X613">
            <v>0</v>
          </cell>
          <cell r="Y613">
            <v>0</v>
          </cell>
          <cell r="Z613">
            <v>0</v>
          </cell>
          <cell r="AA613">
            <v>0</v>
          </cell>
          <cell r="AB613">
            <v>-30.5</v>
          </cell>
        </row>
        <row r="614">
          <cell r="O614" t="str">
            <v>DRPLACE</v>
          </cell>
          <cell r="P614" t="str">
            <v>RECYCLING DB DELIVERY FEE</v>
          </cell>
          <cell r="Q614">
            <v>0</v>
          </cell>
          <cell r="R614">
            <v>0</v>
          </cell>
          <cell r="S614">
            <v>66.5</v>
          </cell>
          <cell r="T614">
            <v>0</v>
          </cell>
          <cell r="U614">
            <v>0</v>
          </cell>
          <cell r="V614">
            <v>0</v>
          </cell>
          <cell r="W614">
            <v>0</v>
          </cell>
          <cell r="X614">
            <v>0</v>
          </cell>
          <cell r="Y614">
            <v>0</v>
          </cell>
          <cell r="Z614">
            <v>0</v>
          </cell>
          <cell r="AA614">
            <v>0</v>
          </cell>
          <cell r="AB614">
            <v>66.5</v>
          </cell>
        </row>
        <row r="615">
          <cell r="O615" t="str">
            <v>FEE</v>
          </cell>
          <cell r="P615" t="str">
            <v>TRANSACTION FEE</v>
          </cell>
          <cell r="Q615">
            <v>4650</v>
          </cell>
          <cell r="R615">
            <v>4310</v>
          </cell>
          <cell r="S615">
            <v>4830</v>
          </cell>
          <cell r="T615">
            <v>6090</v>
          </cell>
          <cell r="U615">
            <v>5650</v>
          </cell>
          <cell r="V615">
            <v>6970</v>
          </cell>
          <cell r="W615">
            <v>7530</v>
          </cell>
          <cell r="X615">
            <v>7620</v>
          </cell>
          <cell r="Y615">
            <v>8180</v>
          </cell>
          <cell r="Z615">
            <v>6690</v>
          </cell>
          <cell r="AA615">
            <v>0</v>
          </cell>
          <cell r="AB615">
            <v>57870</v>
          </cell>
        </row>
        <row r="616">
          <cell r="O616" t="str">
            <v>FOOD</v>
          </cell>
          <cell r="P616" t="str">
            <v>COMPOST DISPOSAL</v>
          </cell>
          <cell r="Q616">
            <v>568.98</v>
          </cell>
          <cell r="R616">
            <v>457.43</v>
          </cell>
          <cell r="S616">
            <v>477.37</v>
          </cell>
          <cell r="T616">
            <v>618.67999999999995</v>
          </cell>
          <cell r="U616">
            <v>443.09</v>
          </cell>
          <cell r="V616">
            <v>562.75</v>
          </cell>
          <cell r="W616">
            <v>782.75</v>
          </cell>
          <cell r="X616">
            <v>577.08000000000004</v>
          </cell>
          <cell r="Y616">
            <v>243.67</v>
          </cell>
          <cell r="Z616">
            <v>545.92999999999995</v>
          </cell>
          <cell r="AA616">
            <v>0</v>
          </cell>
          <cell r="AB616">
            <v>4708.75</v>
          </cell>
        </row>
        <row r="617">
          <cell r="O617" t="str">
            <v>HAULWD/YD</v>
          </cell>
          <cell r="P617" t="str">
            <v>HAUL FEE WOOD-YD DEBRIS</v>
          </cell>
          <cell r="Q617">
            <v>0</v>
          </cell>
          <cell r="R617">
            <v>165.47</v>
          </cell>
          <cell r="S617">
            <v>0</v>
          </cell>
          <cell r="T617">
            <v>165.47</v>
          </cell>
          <cell r="U617">
            <v>165.47</v>
          </cell>
          <cell r="V617">
            <v>827.35</v>
          </cell>
          <cell r="W617">
            <v>330.94</v>
          </cell>
          <cell r="X617">
            <v>165.47</v>
          </cell>
          <cell r="Y617">
            <v>165.47</v>
          </cell>
          <cell r="Z617">
            <v>347.48</v>
          </cell>
          <cell r="AA617">
            <v>0</v>
          </cell>
          <cell r="AB617">
            <v>2333.12</v>
          </cell>
        </row>
        <row r="618">
          <cell r="O618" t="str">
            <v>MILE</v>
          </cell>
          <cell r="P618" t="str">
            <v>MILEAGE CHARGE-BEYOND 10</v>
          </cell>
          <cell r="Q618">
            <v>1102.3</v>
          </cell>
          <cell r="R618">
            <v>1123.27</v>
          </cell>
          <cell r="S618">
            <v>1168.2</v>
          </cell>
          <cell r="T618">
            <v>1781.13</v>
          </cell>
          <cell r="U618">
            <v>1122.6800000000003</v>
          </cell>
          <cell r="V618">
            <v>1842.4499999999998</v>
          </cell>
          <cell r="W618">
            <v>1749.28</v>
          </cell>
          <cell r="X618">
            <v>1374.3000000000002</v>
          </cell>
          <cell r="Y618">
            <v>1983.27</v>
          </cell>
          <cell r="Z618">
            <v>1776.5500000000002</v>
          </cell>
          <cell r="AA618">
            <v>0</v>
          </cell>
          <cell r="AB618">
            <v>13921.130000000001</v>
          </cell>
        </row>
        <row r="619">
          <cell r="O619" t="str">
            <v>PTON</v>
          </cell>
          <cell r="P619" t="str">
            <v>RECYCLING DISPOSAL</v>
          </cell>
          <cell r="Q619">
            <v>8965.66</v>
          </cell>
          <cell r="R619">
            <v>8822.26</v>
          </cell>
          <cell r="S619">
            <v>11787.470000000001</v>
          </cell>
          <cell r="T619">
            <v>14328.16</v>
          </cell>
          <cell r="U619">
            <v>18249.75</v>
          </cell>
          <cell r="V619">
            <v>13258.11</v>
          </cell>
          <cell r="W619">
            <v>15876.82</v>
          </cell>
          <cell r="X619">
            <v>16593.61</v>
          </cell>
          <cell r="Y619">
            <v>16603.699999999997</v>
          </cell>
          <cell r="Z619">
            <v>16669.03</v>
          </cell>
          <cell r="AA619">
            <v>0</v>
          </cell>
          <cell r="AB619">
            <v>132188.91</v>
          </cell>
        </row>
        <row r="620">
          <cell r="O620" t="str">
            <v>PTRAN</v>
          </cell>
          <cell r="P620" t="str">
            <v>RECY/FW TRANSACTION FEE</v>
          </cell>
          <cell r="Q620">
            <v>200</v>
          </cell>
          <cell r="R620">
            <v>30</v>
          </cell>
          <cell r="S620">
            <v>40</v>
          </cell>
          <cell r="T620">
            <v>50</v>
          </cell>
          <cell r="U620">
            <v>40</v>
          </cell>
          <cell r="V620">
            <v>990</v>
          </cell>
          <cell r="W620">
            <v>800</v>
          </cell>
          <cell r="X620">
            <v>540</v>
          </cell>
          <cell r="Y620">
            <v>20</v>
          </cell>
          <cell r="Z620">
            <v>130</v>
          </cell>
          <cell r="AA620">
            <v>0</v>
          </cell>
          <cell r="AB620">
            <v>2640</v>
          </cell>
        </row>
        <row r="621">
          <cell r="O621" t="str">
            <v>RPLACE</v>
          </cell>
          <cell r="P621" t="str">
            <v>DROPBOX DELIVERY FEE</v>
          </cell>
          <cell r="Q621">
            <v>0</v>
          </cell>
          <cell r="R621">
            <v>0</v>
          </cell>
          <cell r="S621">
            <v>55.5</v>
          </cell>
          <cell r="T621">
            <v>55.5</v>
          </cell>
          <cell r="U621">
            <v>0</v>
          </cell>
          <cell r="V621">
            <v>0</v>
          </cell>
          <cell r="W621">
            <v>0</v>
          </cell>
          <cell r="X621">
            <v>111</v>
          </cell>
          <cell r="Y621">
            <v>0</v>
          </cell>
          <cell r="Z621">
            <v>0</v>
          </cell>
          <cell r="AA621">
            <v>0</v>
          </cell>
          <cell r="AB621">
            <v>222</v>
          </cell>
        </row>
        <row r="622">
          <cell r="O622" t="str">
            <v>TARP</v>
          </cell>
          <cell r="P622" t="str">
            <v>TARP FEE</v>
          </cell>
          <cell r="Q622">
            <v>2133</v>
          </cell>
          <cell r="R622">
            <v>2007</v>
          </cell>
          <cell r="S622">
            <v>2412</v>
          </cell>
          <cell r="T622">
            <v>3177</v>
          </cell>
          <cell r="U622">
            <v>3145.77</v>
          </cell>
          <cell r="V622">
            <v>4050</v>
          </cell>
          <cell r="W622">
            <v>4477.1400000000003</v>
          </cell>
          <cell r="X622">
            <v>4797</v>
          </cell>
          <cell r="Y622">
            <v>4995</v>
          </cell>
          <cell r="Z622">
            <v>3960</v>
          </cell>
          <cell r="AA622">
            <v>0</v>
          </cell>
          <cell r="AB622">
            <v>33020.910000000003</v>
          </cell>
        </row>
        <row r="623">
          <cell r="O623" t="str">
            <v>VDEM20</v>
          </cell>
          <cell r="P623" t="str">
            <v>20YD DROPBOX RENTAL</v>
          </cell>
          <cell r="Q623">
            <v>4.0199999999999996</v>
          </cell>
          <cell r="R623">
            <v>0</v>
          </cell>
          <cell r="S623">
            <v>0</v>
          </cell>
          <cell r="T623">
            <v>0</v>
          </cell>
          <cell r="U623">
            <v>0</v>
          </cell>
          <cell r="V623">
            <v>0</v>
          </cell>
          <cell r="W623">
            <v>0</v>
          </cell>
          <cell r="X623">
            <v>0</v>
          </cell>
          <cell r="Y623">
            <v>170.39</v>
          </cell>
          <cell r="Z623">
            <v>0</v>
          </cell>
          <cell r="AA623">
            <v>0</v>
          </cell>
          <cell r="AB623">
            <v>170.39</v>
          </cell>
        </row>
        <row r="624">
          <cell r="O624" t="str">
            <v>VDEM30</v>
          </cell>
          <cell r="P624" t="str">
            <v>30YD DROPBOX RENTAL</v>
          </cell>
          <cell r="Q624">
            <v>0</v>
          </cell>
          <cell r="R624">
            <v>0</v>
          </cell>
          <cell r="S624">
            <v>0</v>
          </cell>
          <cell r="T624">
            <v>0</v>
          </cell>
          <cell r="U624">
            <v>0</v>
          </cell>
          <cell r="V624">
            <v>0</v>
          </cell>
          <cell r="W624">
            <v>0</v>
          </cell>
          <cell r="X624">
            <v>0</v>
          </cell>
          <cell r="Y624">
            <v>94.01</v>
          </cell>
          <cell r="Z624">
            <v>0</v>
          </cell>
          <cell r="AA624">
            <v>0</v>
          </cell>
          <cell r="AB624">
            <v>94.01</v>
          </cell>
        </row>
        <row r="625">
          <cell r="O625" t="str">
            <v>VDEM40</v>
          </cell>
          <cell r="P625" t="str">
            <v>40YD DROPBOX RENTAL</v>
          </cell>
          <cell r="Q625">
            <v>12.06</v>
          </cell>
          <cell r="R625">
            <v>0</v>
          </cell>
          <cell r="S625">
            <v>0</v>
          </cell>
          <cell r="T625">
            <v>0</v>
          </cell>
          <cell r="U625">
            <v>0</v>
          </cell>
          <cell r="V625">
            <v>0</v>
          </cell>
          <cell r="W625">
            <v>0</v>
          </cell>
          <cell r="X625">
            <v>0</v>
          </cell>
          <cell r="Y625">
            <v>94.01</v>
          </cell>
          <cell r="Z625">
            <v>0</v>
          </cell>
          <cell r="AA625">
            <v>0</v>
          </cell>
          <cell r="AB625">
            <v>94.01</v>
          </cell>
        </row>
        <row r="626">
          <cell r="O626" t="str">
            <v>VDTIME</v>
          </cell>
          <cell r="P626" t="str">
            <v>TIME CHARGE - DROPBOX</v>
          </cell>
          <cell r="Q626">
            <v>238.5</v>
          </cell>
          <cell r="R626">
            <v>166.95</v>
          </cell>
          <cell r="S626">
            <v>671.95</v>
          </cell>
          <cell r="T626">
            <v>381.6</v>
          </cell>
          <cell r="U626">
            <v>166.95</v>
          </cell>
          <cell r="V626">
            <v>262.35000000000002</v>
          </cell>
          <cell r="W626">
            <v>500.85</v>
          </cell>
          <cell r="X626">
            <v>119.97</v>
          </cell>
          <cell r="Y626">
            <v>405.45000000000005</v>
          </cell>
          <cell r="Z626">
            <v>980.42</v>
          </cell>
          <cell r="AA626">
            <v>0</v>
          </cell>
          <cell r="AB626">
            <v>3656.49</v>
          </cell>
        </row>
        <row r="627">
          <cell r="O627" t="str">
            <v>VHAUL30</v>
          </cell>
          <cell r="P627" t="str">
            <v>HAUL FEE 30YD DROPBOX</v>
          </cell>
          <cell r="Q627">
            <v>0</v>
          </cell>
          <cell r="R627">
            <v>0</v>
          </cell>
          <cell r="S627">
            <v>0</v>
          </cell>
          <cell r="T627">
            <v>108.6</v>
          </cell>
          <cell r="U627">
            <v>0</v>
          </cell>
          <cell r="V627">
            <v>0</v>
          </cell>
          <cell r="W627">
            <v>0</v>
          </cell>
          <cell r="X627">
            <v>0</v>
          </cell>
          <cell r="Y627">
            <v>0</v>
          </cell>
          <cell r="Z627">
            <v>0</v>
          </cell>
          <cell r="AA627">
            <v>0</v>
          </cell>
          <cell r="AB627">
            <v>108.6</v>
          </cell>
        </row>
        <row r="628">
          <cell r="O628" t="str">
            <v>VHAUL40</v>
          </cell>
          <cell r="P628" t="str">
            <v>HAUL FEE 40YD DROPBOX</v>
          </cell>
          <cell r="Q628">
            <v>0</v>
          </cell>
          <cell r="R628">
            <v>0</v>
          </cell>
          <cell r="S628">
            <v>0</v>
          </cell>
          <cell r="T628">
            <v>108.6</v>
          </cell>
          <cell r="U628">
            <v>0</v>
          </cell>
          <cell r="V628">
            <v>0</v>
          </cell>
          <cell r="W628">
            <v>0</v>
          </cell>
          <cell r="X628">
            <v>0</v>
          </cell>
          <cell r="Y628">
            <v>0</v>
          </cell>
          <cell r="Z628">
            <v>0</v>
          </cell>
          <cell r="AA628">
            <v>0</v>
          </cell>
          <cell r="AB628">
            <v>108.6</v>
          </cell>
        </row>
        <row r="629">
          <cell r="O629" t="str">
            <v>VLIDCHG</v>
          </cell>
          <cell r="P629" t="str">
            <v>LID CHARGE - DROPBOX</v>
          </cell>
          <cell r="Q629">
            <v>0</v>
          </cell>
          <cell r="R629">
            <v>0</v>
          </cell>
          <cell r="S629">
            <v>0</v>
          </cell>
          <cell r="T629">
            <v>0</v>
          </cell>
          <cell r="U629">
            <v>0</v>
          </cell>
          <cell r="V629">
            <v>0</v>
          </cell>
          <cell r="W629">
            <v>0</v>
          </cell>
          <cell r="X629">
            <v>0</v>
          </cell>
          <cell r="Y629">
            <v>40.799999999999997</v>
          </cell>
          <cell r="Z629">
            <v>0</v>
          </cell>
          <cell r="AA629">
            <v>0</v>
          </cell>
          <cell r="AB629">
            <v>40.799999999999997</v>
          </cell>
        </row>
        <row r="630">
          <cell r="O630" t="str">
            <v>VPLACE</v>
          </cell>
          <cell r="P630" t="str">
            <v>DROPBOX DELIVERY FEE</v>
          </cell>
          <cell r="Q630">
            <v>0</v>
          </cell>
          <cell r="R630">
            <v>0</v>
          </cell>
          <cell r="S630">
            <v>0</v>
          </cell>
          <cell r="T630">
            <v>87.44</v>
          </cell>
          <cell r="U630">
            <v>-31.94</v>
          </cell>
          <cell r="V630">
            <v>55.5</v>
          </cell>
          <cell r="W630">
            <v>0</v>
          </cell>
          <cell r="X630">
            <v>0</v>
          </cell>
          <cell r="Y630">
            <v>0</v>
          </cell>
          <cell r="Z630">
            <v>0</v>
          </cell>
          <cell r="AA630">
            <v>0</v>
          </cell>
          <cell r="AB630">
            <v>111</v>
          </cell>
        </row>
        <row r="631">
          <cell r="O631" t="str">
            <v>XPLACE</v>
          </cell>
          <cell r="P631" t="str">
            <v>PT 1-8YD CONT DELIVERY</v>
          </cell>
          <cell r="Q631">
            <v>0</v>
          </cell>
          <cell r="R631">
            <v>0</v>
          </cell>
          <cell r="S631">
            <v>0</v>
          </cell>
          <cell r="T631">
            <v>0</v>
          </cell>
          <cell r="U631">
            <v>31.4</v>
          </cell>
          <cell r="V631">
            <v>31.4</v>
          </cell>
          <cell r="W631">
            <v>0</v>
          </cell>
          <cell r="X631">
            <v>62.8</v>
          </cell>
          <cell r="Y631">
            <v>62.8</v>
          </cell>
          <cell r="Z631">
            <v>0</v>
          </cell>
          <cell r="AA631">
            <v>0</v>
          </cell>
          <cell r="AB631">
            <v>188.39999999999998</v>
          </cell>
        </row>
        <row r="632">
          <cell r="Q632">
            <v>222197.25</v>
          </cell>
          <cell r="R632">
            <v>221112.00000000003</v>
          </cell>
          <cell r="S632">
            <v>244364.70000000004</v>
          </cell>
          <cell r="T632">
            <v>313147.68999999983</v>
          </cell>
          <cell r="U632">
            <v>300480.38000000006</v>
          </cell>
          <cell r="V632">
            <v>356876.30999999982</v>
          </cell>
          <cell r="W632">
            <v>384641.49000000005</v>
          </cell>
          <cell r="X632">
            <v>396520.33999999991</v>
          </cell>
          <cell r="Y632">
            <v>396224.78</v>
          </cell>
          <cell r="Z632">
            <v>330038.25000000006</v>
          </cell>
          <cell r="AA632">
            <v>0</v>
          </cell>
          <cell r="AB632">
            <v>2943405.9399999995</v>
          </cell>
        </row>
        <row r="633">
          <cell r="Q633">
            <v>2230742.3800000008</v>
          </cell>
          <cell r="R633">
            <v>2189896.4499999997</v>
          </cell>
          <cell r="S633">
            <v>2246706.580000001</v>
          </cell>
          <cell r="T633">
            <v>2306244.8400000008</v>
          </cell>
          <cell r="U633">
            <v>2340082.870000001</v>
          </cell>
          <cell r="V633">
            <v>2414915.4699999997</v>
          </cell>
          <cell r="W633">
            <v>2488444.2499999977</v>
          </cell>
          <cell r="X633">
            <v>2473048.4000000008</v>
          </cell>
          <cell r="Y633">
            <v>2447739.4350000001</v>
          </cell>
          <cell r="Z633">
            <v>2359541.0849999981</v>
          </cell>
          <cell r="AA633">
            <v>0</v>
          </cell>
          <cell r="AB633">
            <v>21266619.379999995</v>
          </cell>
        </row>
      </sheetData>
      <sheetData sheetId="12" refreshError="1"/>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ulated DF Calc"/>
      <sheetName val="Non-Regulated"/>
      <sheetName val="Proposed Rates"/>
      <sheetName val="Disposal"/>
      <sheetName val="References"/>
    </sheetNames>
    <sheetDataSet>
      <sheetData sheetId="0"/>
      <sheetData sheetId="1"/>
      <sheetData sheetId="2">
        <row r="11">
          <cell r="D11">
            <v>5.9515714362638729E-2</v>
          </cell>
        </row>
        <row r="14">
          <cell r="D14">
            <v>0.15159002540601513</v>
          </cell>
        </row>
        <row r="15">
          <cell r="D15">
            <v>7.5970058921721192E-2</v>
          </cell>
        </row>
        <row r="16">
          <cell r="D16">
            <v>0.25770304319022569</v>
          </cell>
        </row>
        <row r="17">
          <cell r="D17">
            <v>0.38655456478533856</v>
          </cell>
        </row>
        <row r="18">
          <cell r="D18">
            <v>0.58362159781315825</v>
          </cell>
        </row>
        <row r="19">
          <cell r="D19">
            <v>0.73521162321917322</v>
          </cell>
        </row>
        <row r="20">
          <cell r="D20">
            <v>0.8868016486251884</v>
          </cell>
        </row>
        <row r="21">
          <cell r="D21">
            <v>1.0383916740312034</v>
          </cell>
        </row>
        <row r="22">
          <cell r="D22">
            <v>1.2158945242929475</v>
          </cell>
        </row>
        <row r="23">
          <cell r="D23">
            <v>1.3415717248432337</v>
          </cell>
        </row>
        <row r="24">
          <cell r="D24">
            <v>1.5992747680334594</v>
          </cell>
        </row>
        <row r="25">
          <cell r="D25">
            <v>5.9515714362638729E-2</v>
          </cell>
        </row>
        <row r="26">
          <cell r="D26">
            <v>5.9515714362638729E-2</v>
          </cell>
        </row>
        <row r="27">
          <cell r="D27">
            <v>0.12914910016692605</v>
          </cell>
        </row>
        <row r="30">
          <cell r="D30">
            <v>5.9515714362638722E-2</v>
          </cell>
        </row>
        <row r="31">
          <cell r="D31">
            <v>3.5009243742728666E-2</v>
          </cell>
        </row>
        <row r="32">
          <cell r="D32">
            <v>0.11903142872527746</v>
          </cell>
        </row>
        <row r="33">
          <cell r="D33">
            <v>0.17854714308791619</v>
          </cell>
        </row>
        <row r="34">
          <cell r="D34">
            <v>5.9515714362638729E-2</v>
          </cell>
        </row>
        <row r="35">
          <cell r="D35">
            <v>5.9515714362638729E-2</v>
          </cell>
        </row>
        <row r="42">
          <cell r="D42">
            <v>0.21880777339205412</v>
          </cell>
        </row>
        <row r="43">
          <cell r="D43">
            <v>0.21880777339205412</v>
          </cell>
        </row>
        <row r="44">
          <cell r="D44">
            <v>0.21880777339205412</v>
          </cell>
        </row>
        <row r="48">
          <cell r="D48">
            <v>0.11063244028652265</v>
          </cell>
        </row>
        <row r="49">
          <cell r="D49">
            <v>0.11063244028652265</v>
          </cell>
        </row>
        <row r="50">
          <cell r="D50">
            <v>0.11063244028652265</v>
          </cell>
        </row>
        <row r="51">
          <cell r="D51">
            <v>0.11063244028652265</v>
          </cell>
        </row>
        <row r="52">
          <cell r="D52">
            <v>0.11063244028652265</v>
          </cell>
        </row>
        <row r="53">
          <cell r="D53">
            <v>0.11063244028652265</v>
          </cell>
        </row>
        <row r="54">
          <cell r="D54">
            <v>0.11063244028652265</v>
          </cell>
        </row>
        <row r="57">
          <cell r="D57">
            <v>0.21880777339205412</v>
          </cell>
        </row>
        <row r="62">
          <cell r="D62">
            <v>4.019999999999996</v>
          </cell>
        </row>
        <row r="63">
          <cell r="D63">
            <v>4.3400000000000034</v>
          </cell>
        </row>
        <row r="66">
          <cell r="D66">
            <v>8.5</v>
          </cell>
        </row>
        <row r="77">
          <cell r="D77">
            <v>0.30633088274887577</v>
          </cell>
        </row>
        <row r="78">
          <cell r="D78">
            <v>0.4376155467841083</v>
          </cell>
        </row>
        <row r="79">
          <cell r="D79">
            <v>0.56714974863220435</v>
          </cell>
        </row>
        <row r="80">
          <cell r="D80">
            <v>0.82796861451553283</v>
          </cell>
        </row>
        <row r="81">
          <cell r="D81">
            <v>1.0730333207146334</v>
          </cell>
        </row>
        <row r="82">
          <cell r="D82">
            <v>1.2743364722353234</v>
          </cell>
        </row>
        <row r="83">
          <cell r="D83">
            <v>1.4703882371946038</v>
          </cell>
        </row>
        <row r="84">
          <cell r="D84">
            <v>1.7154529433937047</v>
          </cell>
        </row>
        <row r="87">
          <cell r="D87">
            <v>0.30633088274887582</v>
          </cell>
        </row>
        <row r="88">
          <cell r="D88">
            <v>0.43761554678410824</v>
          </cell>
        </row>
        <row r="89">
          <cell r="D89">
            <v>0.56714974863220435</v>
          </cell>
        </row>
        <row r="90">
          <cell r="D90">
            <v>0.82796861451553283</v>
          </cell>
        </row>
        <row r="91">
          <cell r="D91">
            <v>1.0730333207146336</v>
          </cell>
        </row>
        <row r="92">
          <cell r="D92">
            <v>1.2743364722353232</v>
          </cell>
        </row>
        <row r="93">
          <cell r="D93">
            <v>1.470388237194604</v>
          </cell>
        </row>
        <row r="94">
          <cell r="D94">
            <v>1.7154529433937045</v>
          </cell>
        </row>
        <row r="98">
          <cell r="D98">
            <v>0.30633088274887577</v>
          </cell>
        </row>
        <row r="99">
          <cell r="D99">
            <v>0.4376155467841083</v>
          </cell>
        </row>
        <row r="100">
          <cell r="D100">
            <v>0.56714974863220435</v>
          </cell>
        </row>
        <row r="101">
          <cell r="D101">
            <v>0.82796861451553283</v>
          </cell>
        </row>
        <row r="102">
          <cell r="D102">
            <v>1.0730333207146334</v>
          </cell>
        </row>
        <row r="103">
          <cell r="D103">
            <v>1.2743364722353232</v>
          </cell>
        </row>
        <row r="104">
          <cell r="D104">
            <v>1.470388237194604</v>
          </cell>
        </row>
        <row r="105">
          <cell r="D105">
            <v>1.7154529433937047</v>
          </cell>
        </row>
        <row r="108">
          <cell r="D108">
            <v>5.0763403426956566E-2</v>
          </cell>
        </row>
        <row r="111">
          <cell r="D111">
            <v>5.0763403426956566E-2</v>
          </cell>
        </row>
        <row r="113">
          <cell r="D113">
            <v>0.21980553683872192</v>
          </cell>
        </row>
        <row r="114">
          <cell r="D114">
            <v>5.0763403426956566E-2</v>
          </cell>
        </row>
        <row r="118">
          <cell r="D118">
            <v>2.2685989945288174</v>
          </cell>
        </row>
        <row r="119">
          <cell r="D119">
            <v>3.3118744580621318</v>
          </cell>
        </row>
        <row r="120">
          <cell r="D120">
            <v>4.2921332828585337</v>
          </cell>
        </row>
        <row r="121">
          <cell r="D121">
            <v>6.8057969835864522</v>
          </cell>
        </row>
        <row r="124">
          <cell r="D124">
            <v>2.2685989945288174</v>
          </cell>
        </row>
        <row r="125">
          <cell r="D125">
            <v>3.3118744580621318</v>
          </cell>
        </row>
        <row r="126">
          <cell r="D126">
            <v>4.2921332828585337</v>
          </cell>
        </row>
        <row r="127">
          <cell r="D127">
            <v>6.8057969835864522</v>
          </cell>
        </row>
        <row r="131">
          <cell r="D131">
            <v>2.2685989945288174</v>
          </cell>
        </row>
        <row r="132">
          <cell r="D132">
            <v>3.3118744580621318</v>
          </cell>
        </row>
        <row r="133">
          <cell r="D133">
            <v>4.2921332828585337</v>
          </cell>
        </row>
        <row r="134">
          <cell r="D134">
            <v>6.8057969835864522</v>
          </cell>
        </row>
        <row r="138">
          <cell r="D138">
            <v>4.2921332828585337</v>
          </cell>
        </row>
        <row r="141">
          <cell r="D141">
            <v>4.2921332828585337</v>
          </cell>
        </row>
      </sheetData>
      <sheetData sheetId="3"/>
      <sheetData sheetId="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ummary"/>
      <sheetName val="Customer Count Summary"/>
      <sheetName val="2010_IS210"/>
      <sheetName val="Clark Co"/>
      <sheetName val="UTC Non-REg"/>
      <sheetName val="Camas Non-Reg"/>
      <sheetName val="Ridgefield Non-Reg"/>
      <sheetName val="Vancouver Non-Reg"/>
      <sheetName val="Washougal Non-Reg"/>
      <sheetName val="West Van Non-Reg"/>
      <sheetName val="Shred Non-Reg"/>
      <sheetName val="Data Pivots"/>
      <sheetName val="JE Query - Commercial"/>
      <sheetName val="JE Query - Commingle Pilot "/>
      <sheetName val="JE Query - Non-MM001 Rev"/>
      <sheetName val="10-2016 through 12-2016 DATA"/>
      <sheetName val="1-2017 through 9-2017 DATA"/>
    </sheetNames>
    <sheetDataSet>
      <sheetData sheetId="0"/>
      <sheetData sheetId="1">
        <row r="5">
          <cell r="B5">
            <v>64740.327497774051</v>
          </cell>
        </row>
        <row r="8">
          <cell r="B8">
            <v>4063.1633009423308</v>
          </cell>
        </row>
        <row r="14">
          <cell r="B14">
            <v>0</v>
          </cell>
        </row>
        <row r="15">
          <cell r="B15">
            <v>0</v>
          </cell>
        </row>
      </sheetData>
      <sheetData sheetId="2"/>
      <sheetData sheetId="3"/>
      <sheetData sheetId="4">
        <row r="27">
          <cell r="F27">
            <v>62317.753267659777</v>
          </cell>
        </row>
        <row r="32">
          <cell r="F32">
            <v>9526.2001044932076</v>
          </cell>
        </row>
        <row r="48">
          <cell r="F48">
            <v>23763.43022930649</v>
          </cell>
        </row>
        <row r="152">
          <cell r="F152">
            <v>642.79019817112794</v>
          </cell>
        </row>
      </sheetData>
      <sheetData sheetId="5">
        <row r="19">
          <cell r="G19">
            <v>7744.1116315378613</v>
          </cell>
        </row>
        <row r="34">
          <cell r="G34">
            <v>2693.020337085306</v>
          </cell>
        </row>
        <row r="43">
          <cell r="G43">
            <v>1.0833333333333335</v>
          </cell>
        </row>
        <row r="114">
          <cell r="G114">
            <v>97.943696162555753</v>
          </cell>
        </row>
        <row r="176">
          <cell r="G176">
            <v>0</v>
          </cell>
        </row>
      </sheetData>
      <sheetData sheetId="6">
        <row r="45">
          <cell r="H45">
            <v>2332.9594216824144</v>
          </cell>
        </row>
        <row r="51">
          <cell r="H51">
            <v>2160.6522435897436</v>
          </cell>
        </row>
        <row r="58">
          <cell r="H58">
            <v>1096.3477188655982</v>
          </cell>
        </row>
        <row r="116">
          <cell r="H116">
            <v>80.880177863042007</v>
          </cell>
        </row>
        <row r="161">
          <cell r="H161">
            <v>41.559464850356207</v>
          </cell>
        </row>
        <row r="226">
          <cell r="H226">
            <v>0</v>
          </cell>
        </row>
        <row r="236">
          <cell r="H236">
            <v>0</v>
          </cell>
        </row>
      </sheetData>
      <sheetData sheetId="7">
        <row r="51">
          <cell r="H51">
            <v>42548.352001028419</v>
          </cell>
        </row>
        <row r="67">
          <cell r="H67">
            <v>43381.560863095234</v>
          </cell>
        </row>
        <row r="73">
          <cell r="H73">
            <v>25997.192552742614</v>
          </cell>
        </row>
        <row r="88">
          <cell r="H88">
            <v>19597.697161835753</v>
          </cell>
        </row>
        <row r="211">
          <cell r="H211">
            <v>3998.5884752059201</v>
          </cell>
        </row>
        <row r="327">
          <cell r="H327">
            <v>2290.2440822185545</v>
          </cell>
        </row>
        <row r="418">
          <cell r="H418">
            <v>0</v>
          </cell>
        </row>
        <row r="430">
          <cell r="H430">
            <v>0</v>
          </cell>
        </row>
      </sheetData>
      <sheetData sheetId="8">
        <row r="39">
          <cell r="H39">
            <v>5135.8516696243769</v>
          </cell>
        </row>
        <row r="47">
          <cell r="H47">
            <v>5016.4783333333335</v>
          </cell>
        </row>
        <row r="63">
          <cell r="H63">
            <v>2063.0233153272015</v>
          </cell>
        </row>
        <row r="69">
          <cell r="H69">
            <v>504.328125</v>
          </cell>
        </row>
        <row r="134">
          <cell r="H134">
            <v>213.45204149561451</v>
          </cell>
        </row>
        <row r="197">
          <cell r="H197">
            <v>73.561418055279162</v>
          </cell>
        </row>
        <row r="247">
          <cell r="H247">
            <v>0</v>
          </cell>
        </row>
        <row r="257">
          <cell r="H257">
            <v>0</v>
          </cell>
        </row>
      </sheetData>
      <sheetData sheetId="9">
        <row r="13">
          <cell r="H13">
            <v>0</v>
          </cell>
        </row>
        <row r="52">
          <cell r="H52">
            <v>17.457094863241842</v>
          </cell>
        </row>
        <row r="88">
          <cell r="H88">
            <v>0</v>
          </cell>
        </row>
      </sheetData>
      <sheetData sheetId="10">
        <row r="24">
          <cell r="G24">
            <v>937</v>
          </cell>
        </row>
        <row r="32">
          <cell r="G32">
            <v>0</v>
          </cell>
        </row>
      </sheetData>
      <sheetData sheetId="11"/>
      <sheetData sheetId="12"/>
      <sheetData sheetId="13"/>
      <sheetData sheetId="14"/>
      <sheetData sheetId="15"/>
      <sheetData sheetId="16"/>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ct"/>
      <sheetName val="Nov"/>
      <sheetName val="Dec"/>
      <sheetName val="Jan."/>
      <sheetName val="Feb."/>
      <sheetName val="March"/>
      <sheetName val="April"/>
      <sheetName val="May"/>
      <sheetName val="June"/>
      <sheetName val="July"/>
      <sheetName val="August"/>
      <sheetName val="Sept"/>
    </sheetNames>
    <sheetDataSet>
      <sheetData sheetId="0">
        <row r="2">
          <cell r="I2">
            <v>2493.1</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JE Query"/>
      <sheetName val="JE Lookup"/>
      <sheetName val="ControlPanel"/>
    </sheetNames>
    <sheetDataSet>
      <sheetData sheetId="0"/>
      <sheetData sheetId="1"/>
      <sheetData sheetId="2">
        <row r="1">
          <cell r="B1" t="str">
            <v>OK!: ReportRange Formula OK [jAction{}]</v>
          </cell>
        </row>
        <row r="7">
          <cell r="N7" t="str">
            <v>wci_corp</v>
          </cell>
        </row>
        <row r="8">
          <cell r="N8">
            <v>0</v>
          </cell>
        </row>
      </sheetData>
      <sheetData sheetId="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JE Query"/>
      <sheetName val="JE Lookup"/>
      <sheetName val="ControlPanel"/>
    </sheetNames>
    <sheetDataSet>
      <sheetData sheetId="0"/>
      <sheetData sheetId="1"/>
      <sheetData sheetId="2">
        <row r="1">
          <cell r="B1" t="str">
            <v>OK!: ReportRange Formula OK [jAction{}]</v>
          </cell>
        </row>
        <row r="7">
          <cell r="N7" t="str">
            <v>wci_corp</v>
          </cell>
        </row>
        <row r="8">
          <cell r="N8">
            <v>0</v>
          </cell>
        </row>
      </sheetData>
      <sheetData sheetId="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JE Query"/>
      <sheetName val="JE Lookup"/>
      <sheetName val="ControlPanel"/>
    </sheetNames>
    <sheetDataSet>
      <sheetData sheetId="0"/>
      <sheetData sheetId="1"/>
      <sheetData sheetId="2">
        <row r="1">
          <cell r="B1" t="str">
            <v>OK!: ReportRange Formula OK [jAction{}]</v>
          </cell>
        </row>
        <row r="7">
          <cell r="N7" t="str">
            <v>wci_corp</v>
          </cell>
        </row>
        <row r="8">
          <cell r="N8">
            <v>0</v>
          </cell>
        </row>
      </sheetData>
      <sheetData sheetId="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JE Query"/>
      <sheetName val="JE Lookup"/>
      <sheetName val="ControlPanel"/>
    </sheetNames>
    <sheetDataSet>
      <sheetData sheetId="0"/>
      <sheetData sheetId="1"/>
      <sheetData sheetId="2">
        <row r="1">
          <cell r="B1" t="str">
            <v>OK!: ReportRange Formula OK [jAction{}]</v>
          </cell>
        </row>
        <row r="7">
          <cell r="N7" t="str">
            <v>wci_corp</v>
          </cell>
        </row>
        <row r="8">
          <cell r="N8">
            <v>0</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JEQuery%20-%2070195%20Dues%20&amp;%20Subscriptions.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JEQuery%20-%2070225%20Advertising.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JEQuery%20-%2043001%20Taxes.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JEQuery%20-%2060225%20Advertising%20&amp;%20Promotion.xlsx" TargetMode="External"/><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Heather Garland" refreshedDate="43052.535104745373" createdVersion="4" refreshedVersion="4" minRefreshableVersion="3" recordCount="74">
  <cacheSource type="worksheet">
    <worksheetSource ref="B19:AQ93" sheet="JE Query" r:id="rId2"/>
  </cacheSource>
  <cacheFields count="42">
    <cacheField name="Full Account" numFmtId="0">
      <sharedItems count="2">
        <s v="70195-2010-000-00"/>
        <s v="70195-2010-100-00"/>
      </sharedItems>
    </cacheField>
    <cacheField name="Date" numFmtId="14">
      <sharedItems containsSemiMixedTypes="0" containsNonDate="0" containsDate="1" containsString="0" minDate="2016-10-06T00:00:00" maxDate="2017-10-01T00:00:00"/>
    </cacheField>
    <cacheField name="Amount USD" numFmtId="40">
      <sharedItems containsSemiMixedTypes="0" containsString="0" containsNumber="1" minValue="-1951.09" maxValue="1954"/>
    </cacheField>
    <cacheField name="Amount CAD" numFmtId="40">
      <sharedItems containsSemiMixedTypes="0" containsString="0" containsNumber="1" containsInteger="1" minValue="0" maxValue="0" count="1">
        <n v="0"/>
      </sharedItems>
    </cacheField>
    <cacheField name="Nat Currency" numFmtId="40">
      <sharedItems count="1">
        <s v="USD"/>
      </sharedItems>
    </cacheField>
    <cacheField name="Journal Control Num" numFmtId="0">
      <sharedItems/>
    </cacheField>
    <cacheField name="Psted*" numFmtId="0">
      <sharedItems count="1">
        <s v="P"/>
      </sharedItems>
    </cacheField>
    <cacheField name="Journal Description" numFmtId="0">
      <sharedItems count="11">
        <s v="From Voucher Posting."/>
        <s v="EXP1: Expense Report Accrual"/>
        <s v="Exp2: PO Log Accrual"/>
        <s v="OPEX14-Rrcd Prepaids Amort"/>
        <s v="MISC8: Reclass Red Cross"/>
        <s v="Pcard Activity November - West"/>
        <s v="PCard Activity January- Wester"/>
        <s v="PCard Activity June - Western"/>
        <s v="PO Log and Expense Report Accr"/>
        <s v="PCard Activity July - Western"/>
        <s v="PCard Activity - Sep - Western"/>
      </sharedItems>
    </cacheField>
    <cacheField name="User" numFmtId="0">
      <sharedItems count="7">
        <s v="RosemaryS"/>
        <s v="AdamJo"/>
        <s v="AmandaH"/>
        <s v="HeatherWe"/>
        <s v="JeffS"/>
        <s v="DarcieB"/>
        <s v="MaribelV"/>
      </sharedItems>
    </cacheField>
    <cacheField name="R/Type" numFmtId="0">
      <sharedItems count="2">
        <s v="0/JE IC"/>
        <s v="0/JE STD"/>
      </sharedItems>
    </cacheField>
    <cacheField name="Vendor Code" numFmtId="0">
      <sharedItems containsBlank="1" count="13">
        <s v="25WRRA"/>
        <s v="20DWOMBLE"/>
        <s v="20COLUMB01"/>
        <s v="25CAMASROT"/>
        <m/>
        <s v="VUS000009783"/>
        <s v="212AWB"/>
        <s v="20MTIEFENTH"/>
        <s v="VUS000012257"/>
        <s v="20VANROTARY"/>
        <s v="VUS000012311"/>
        <s v="212AWC"/>
        <s v="VUS000014724"/>
      </sharedItems>
    </cacheField>
    <cacheField name="One Time Vendor" numFmtId="0">
      <sharedItems containsNonDate="0" containsString="0" containsBlank="1" count="1">
        <m/>
      </sharedItems>
    </cacheField>
    <cacheField name="Further Description" numFmtId="0">
      <sharedItems count="30">
        <s v="WASHINGTON REFUSE &amp; RECYCLING ASSOC"/>
        <s v="DANIELLE WOMBLE"/>
        <s v="THE COLUMBIAN"/>
        <s v="CAMAS-WASHOUGAL ROTARY FOUNDATION"/>
        <s v="East Vancouver Business Assoc. Meeting e"/>
        <s v="PO 03230 : GREATER VANCOUVER CHAMBER OF"/>
        <s v="Amortize WA State Recycling Dues"/>
        <s v="PO 03653 : SW WA CONTRACTORS : PCard"/>
        <s v="Red Cross Dues for Josy"/>
        <s v="CC OF VANCOUVER"/>
        <s v="GREATER VANCOUVER CHAM~SHARON SWANSON"/>
        <s v="SOUTHWEST WASHINGTON CONT~SCOTT CAMPBELL"/>
        <s v="ASSOCIATION OF WASHINGTON BUSINESS"/>
        <s v="MELISSA TIEFENTHALER"/>
        <s v="VANCOUVER ROTARY CLUB"/>
        <s v="CAMAS WASHOUGAL ROTARY"/>
        <s v="ASSOCIATES OF WASHINGTON CITIES"/>
        <s v="BIA OF CLARK COUNTY~SHARON SWANSON"/>
        <s v="CAMAS WASHOUGAL CHAMBER~SHARON SWANSON"/>
        <s v="NATIONAL ASSOCIATION FOR~JEFF HARWOOD"/>
        <s v="Meeting Dues"/>
        <s v="Dues and Subscriptions"/>
        <s v="2017 QTR DUES OK PER SCOTT CAMPBELL"/>
        <s v="THE CHRONICLE 2 GATEWA~SHARON SWANSON"/>
        <s v="SMK SURVEYMONKEY.COM~TINA KROHLING"/>
        <s v="25WRRA : WRRA Allocation, regular dues"/>
        <s v="BATTLE GROUND CHAMBER~SHARON SWANSON"/>
        <s v="25WRRA : Landfill Dues"/>
        <s v="PO 02969 : EVBA : PCard"/>
        <s v="GRT VANCOUVER CHAMBER~SHARON SWANSON"/>
      </sharedItems>
    </cacheField>
    <cacheField name="Date Doc" numFmtId="186">
      <sharedItems containsNonDate="0" containsDate="1" containsString="0" containsBlank="1" minDate="2016-09-30T00:00:00" maxDate="2017-09-02T00:00:00" count="27">
        <d v="2016-10-01T00:00:00"/>
        <d v="2016-09-30T00:00:00"/>
        <d v="2016-10-15T00:00:00"/>
        <m/>
        <d v="2016-11-01T00:00:00"/>
        <d v="2016-12-01T00:00:00"/>
        <d v="2016-12-21T00:00:00"/>
        <d v="2016-11-30T00:00:00"/>
        <d v="2017-01-01T00:00:00"/>
        <d v="2017-01-03T00:00:00"/>
        <d v="2017-01-02T00:00:00"/>
        <d v="2017-01-10T00:00:00"/>
        <d v="2016-12-02T00:00:00"/>
        <d v="2017-02-01T00:00:00"/>
        <d v="2017-01-31T00:00:00"/>
        <d v="2017-03-01T00:00:00"/>
        <d v="2017-02-28T00:00:00"/>
        <d v="2017-04-01T00:00:00"/>
        <d v="2017-03-31T00:00:00"/>
        <d v="2017-04-10T00:00:00"/>
        <d v="2017-04-30T00:00:00"/>
        <d v="2017-05-01T00:00:00"/>
        <d v="2017-05-24T00:00:00"/>
        <d v="2017-07-01T00:00:00"/>
        <d v="2017-07-11T00:00:00"/>
        <d v="2017-08-01T00:00:00"/>
        <d v="2017-09-01T00:00:00"/>
      </sharedItems>
    </cacheField>
    <cacheField name="Doc Desc" numFmtId="0">
      <sharedItems containsBlank="1" count="26">
        <s v="WRRA- Regular Dues"/>
        <m/>
        <s v="3 month subscription NOV16-JAN17 acct 15"/>
        <s v="Dues Qtrly 10/01/16-12/31/16 Inv#2368 OK"/>
        <s v="Q4 Membership dues"/>
        <s v="WRRA- Regular Dues December"/>
        <s v="Association of WA Business- Chamber of t"/>
        <s v="WRRA Regular Dues- January"/>
        <s v="3 month subscription FEB17-APR17 account"/>
        <s v="2017 Meeting Assessment and dues for Jas"/>
        <s v="Q1 Membership Dues"/>
        <s v="Qtrly dues 1-17-3/17 Inv 2409"/>
        <s v="AWC Association of Washington CIties Mem"/>
        <s v="WRRA Regular Dues- February"/>
        <s v="AWB Association of WA Business- 2017 Due"/>
        <s v="WRRA- Regular Dues March 2017"/>
        <s v="3 month subscription MAY17-JUL17 acct 15"/>
        <s v="APRIL WRRA INVOICE"/>
        <s v="Qtrly dues 4-17-6/17 Inv 2458"/>
        <s v="Regular Dues"/>
        <s v="Annual meeting member registration"/>
        <s v="2017 QTR DUES OK PER SCOTT CAMPBELL"/>
        <s v="3 month subscription AUG17-OCT17 acct 15"/>
        <s v="WRRA Allocation, regular dues"/>
        <s v="Fiscal 2017 Dues $320.00 less overpymt o"/>
        <s v="WRRA Regular Dues"/>
      </sharedItems>
    </cacheField>
    <cacheField name="Doc Ctrl Num" numFmtId="0">
      <sharedItems containsBlank="1" containsMixedTypes="1" containsNumber="1" containsInteger="1" minValue="2368" maxValue="177019"/>
    </cacheField>
    <cacheField name="Po Ctrl Num" numFmtId="0">
      <sharedItems containsBlank="1" count="28">
        <s v="PO-2000-16-01082"/>
        <m/>
        <s v="PO-2010-16-03246"/>
        <s v="PO-2010-16-03517"/>
        <s v="PO-2000-16-01433"/>
        <s v="PO-2010-16-03766"/>
        <s v="PO-2000-16-01761"/>
        <s v="PO-2000-16-01889"/>
        <s v="PO-2000-17-00092"/>
        <s v="PO-2010-17-00145"/>
        <s v="PO-2010-17-00177"/>
        <s v="PO-2010-17-00178"/>
        <s v="PO-2010-17-00209"/>
        <s v="PO-2000-17-00268"/>
        <s v="PO-2000-17-00437"/>
        <s v="PO-2000-17-00267"/>
        <s v="PO-2000-17-00833"/>
        <s v="PO-2010-17-01138"/>
        <s v="PO-2000-17-01475"/>
        <s v="PO-2010-17-01217"/>
        <s v="PO-2000-17-01877"/>
        <s v="PO-2000-17-02147"/>
        <s v="PO-2010-17-01912"/>
        <s v="PO-2010-17-02227"/>
        <s v="PO-2000-17-02242"/>
        <s v="PO-2010-17-02457"/>
        <s v="PO-2000-17-02997"/>
        <s v="PO-2000-17-03413"/>
      </sharedItems>
    </cacheField>
    <cacheField name="Vendor Order Num" numFmtId="0">
      <sharedItems containsNonDate="0" containsString="0" containsBlank="1" count="1">
        <m/>
      </sharedItems>
    </cacheField>
    <cacheField name="Ticket Num" numFmtId="0">
      <sharedItems containsNonDate="0" containsString="0" containsBlank="1" count="1">
        <m/>
      </sharedItems>
    </cacheField>
    <cacheField name="Document 2" numFmtId="0">
      <sharedItems/>
    </cacheField>
    <cacheField name="Document 1" numFmtId="0">
      <sharedItems containsBlank="1"/>
    </cacheField>
    <cacheField name="Class Code" numFmtId="0">
      <sharedItems containsString="0" containsBlank="1" containsNumber="1" containsInteger="1" minValue="2000" maxValue="2010" count="3">
        <n v="2000"/>
        <n v="2010"/>
        <m/>
      </sharedItems>
    </cacheField>
    <cacheField name="Date Entered" numFmtId="14">
      <sharedItems containsSemiMixedTypes="0" containsNonDate="0" containsDate="1" containsString="0" minDate="2016-10-06T00:00:00" maxDate="2017-10-06T00:00:00"/>
    </cacheField>
    <cacheField name="Date Posted" numFmtId="14">
      <sharedItems containsSemiMixedTypes="0" containsNonDate="0" containsDate="1" containsString="0" minDate="2016-10-06T00:00:00" maxDate="2017-10-06T00:00:00"/>
    </cacheField>
    <cacheField name="Amt Net" numFmtId="0">
      <sharedItems containsString="0" containsBlank="1" containsNumber="1" minValue="40" maxValue="8400" count="18">
        <n v="8400"/>
        <n v="252.7"/>
        <n v="103.5"/>
        <n v="170"/>
        <m/>
        <n v="600"/>
        <n v="500"/>
        <n v="630.82000000000005"/>
        <n v="560"/>
        <n v="1000"/>
        <n v="8399.98"/>
        <n v="156.1"/>
        <n v="2600"/>
        <n v="118.58"/>
        <n v="431.57"/>
        <n v="252.76"/>
        <n v="1240"/>
        <n v="40"/>
      </sharedItems>
    </cacheField>
    <cacheField name="Date Due" numFmtId="14">
      <sharedItems containsNonDate="0" containsDate="1" containsString="0" containsBlank="1" minDate="2016-10-01T00:00:00" maxDate="2017-11-06T00:00:00"/>
    </cacheField>
    <cacheField name="Database" numFmtId="0">
      <sharedItems count="1">
        <s v="wci_wa"/>
      </sharedItems>
    </cacheField>
    <cacheField name="Reversing Flag" numFmtId="0">
      <sharedItems containsSemiMixedTypes="0" containsString="0" containsNumber="1" containsInteger="1" minValue="0" maxValue="0" count="1">
        <n v="0"/>
      </sharedItems>
    </cacheField>
    <cacheField name="Hold Flag" numFmtId="0">
      <sharedItems containsSemiMixedTypes="0" containsString="0" containsNumber="1" containsInteger="1" minValue="0" maxValue="0" count="1">
        <n v="0"/>
      </sharedItems>
    </cacheField>
    <cacheField name="Recurring Flag" numFmtId="0">
      <sharedItems containsSemiMixedTypes="0" containsString="0" containsNumber="1" containsInteger="1" minValue="0" maxValue="0" count="1">
        <n v="0"/>
      </sharedItems>
    </cacheField>
    <cacheField name="Repeating Flag" numFmtId="0">
      <sharedItems containsSemiMixedTypes="0" containsString="0" containsNumber="1" containsInteger="1" minValue="0" maxValue="0" count="1">
        <n v="0"/>
      </sharedItems>
    </cacheField>
    <cacheField name="Type Flag" numFmtId="0">
      <sharedItems containsSemiMixedTypes="0" containsString="0" containsNumber="1" containsInteger="1" minValue="0" maxValue="5" count="2">
        <n v="0"/>
        <n v="5"/>
      </sharedItems>
    </cacheField>
    <cacheField name="Posted Flag" numFmtId="0">
      <sharedItems containsSemiMixedTypes="0" containsString="0" containsNumber="1" containsInteger="1" minValue="1" maxValue="1" count="1">
        <n v="1"/>
      </sharedItems>
    </cacheField>
    <cacheField name="Seg1" numFmtId="0">
      <sharedItems containsSemiMixedTypes="0" containsString="0" containsNumber="1" containsInteger="1" minValue="70195" maxValue="70195" count="1">
        <n v="70195"/>
      </sharedItems>
    </cacheField>
    <cacheField name="Seg2" numFmtId="0">
      <sharedItems containsSemiMixedTypes="0" containsString="0" containsNumber="1" containsInteger="1" minValue="2010" maxValue="2010" count="1">
        <n v="2010"/>
      </sharedItems>
    </cacheField>
    <cacheField name="Seg3" numFmtId="0">
      <sharedItems containsSemiMixedTypes="0" containsString="0" containsNumber="1" containsInteger="1" minValue="0" maxValue="100" count="2">
        <n v="0"/>
        <n v="100"/>
      </sharedItems>
    </cacheField>
    <cacheField name="Seg4" numFmtId="0">
      <sharedItems containsSemiMixedTypes="0" containsString="0" containsNumber="1" containsInteger="1" minValue="0" maxValue="0" count="1">
        <n v="0"/>
      </sharedItems>
    </cacheField>
    <cacheField name="Staged_RefCode" numFmtId="0">
      <sharedItems containsNonDate="0" containsString="0" containsBlank="1" count="1">
        <m/>
      </sharedItems>
    </cacheField>
    <cacheField name="Staged_DocRef" numFmtId="0">
      <sharedItems containsNonDate="0" containsString="0" containsBlank="1" count="1">
        <m/>
      </sharedItems>
    </cacheField>
    <cacheField name="Staged Year Month" numFmtId="0">
      <sharedItems containsNonDate="0" containsString="0" containsBlank="1" count="1">
        <m/>
      </sharedItems>
    </cacheField>
    <cacheField name="Staged District" numFmtId="0">
      <sharedItems containsNonDate="0" containsString="0" containsBlank="1" count="1">
        <m/>
      </sharedItems>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eather Garland" refreshedDate="43052.535106249998" createdVersion="4" refreshedVersion="4" minRefreshableVersion="3" recordCount="55">
  <cacheSource type="worksheet">
    <worksheetSource ref="B19:AQ74" sheet="JE Query" r:id="rId2"/>
  </cacheSource>
  <cacheFields count="42">
    <cacheField name="Full Account" numFmtId="0">
      <sharedItems/>
    </cacheField>
    <cacheField name="Date" numFmtId="14">
      <sharedItems containsSemiMixedTypes="0" containsNonDate="0" containsDate="1" containsString="0" minDate="2016-10-06T00:00:00" maxDate="2017-10-01T00:00:00"/>
    </cacheField>
    <cacheField name="Amount USD" numFmtId="40">
      <sharedItems containsSemiMixedTypes="0" containsString="0" containsNumber="1" minValue="-2421.12" maxValue="2421.12"/>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NonDate="0" containsString="0" containsBlank="1"/>
    </cacheField>
    <cacheField name="Further Description" numFmtId="0">
      <sharedItems count="12">
        <s v="THE COLUMBIAN"/>
        <s v="2015 Holiday Schedule per NK"/>
        <s v="LADY FALCONS BOOSTER CLUB"/>
        <s v="2016 Holiday Schedule per NK"/>
        <s v="WWW.CALLFIRE.COM~BRIDGET SIMARD"/>
        <s v="PO 00229 : THE COLUMBIAN : CHECK"/>
        <s v="NORTH STAR FORMS"/>
        <s v="2017 Holiday Schedule per Bridget Simard"/>
        <s v="TUALATIN HIGH SCHOOL BOYS SOCCER"/>
        <s v="Book reimb for call blasts"/>
        <s v="SAGACITY MEDIA 2~MARK GINGRICH"/>
        <s v="PO 2010-17-02080"/>
      </sharedItems>
    </cacheField>
    <cacheField name="Date Doc" numFmtId="0">
      <sharedItems containsNonDate="0" containsDate="1" containsString="0" containsBlank="1" minDate="2016-09-30T00:00:00" maxDate="2017-09-01T00:00:00"/>
    </cacheField>
    <cacheField name="Doc Desc" numFmtId="0">
      <sharedItems containsBlank="1"/>
    </cacheField>
    <cacheField name="Doc Ctrl Num" numFmtId="0">
      <sharedItems containsBlank="1" containsMixedTypes="1" containsNumber="1" containsInteger="1" minValue="18754" maxValue="3125065"/>
    </cacheField>
    <cacheField name="Po Ctrl Num" numFmtId="0">
      <sharedItems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acheField>
    <cacheField name="Document 1" numFmtId="0">
      <sharedItems containsBlank="1"/>
    </cacheField>
    <cacheField name="Class Code" numFmtId="0">
      <sharedItems containsString="0" containsBlank="1" containsNumber="1" containsInteger="1" minValue="2010" maxValue="2010"/>
    </cacheField>
    <cacheField name="Date Entered" numFmtId="14">
      <sharedItems containsSemiMixedTypes="0" containsNonDate="0" containsDate="1" containsString="0" minDate="2016-10-06T00:00:00" maxDate="2017-10-04T00:00:00"/>
    </cacheField>
    <cacheField name="Date Posted" numFmtId="14">
      <sharedItems containsSemiMixedTypes="0" containsNonDate="0" containsDate="1" containsString="0" minDate="2016-10-06T00:00:00" maxDate="2017-10-04T00:00:00"/>
    </cacheField>
    <cacheField name="Amt Net" numFmtId="0">
      <sharedItems containsString="0" containsBlank="1" containsNumber="1" minValue="150" maxValue="2421.12"/>
    </cacheField>
    <cacheField name="Date Due" numFmtId="14">
      <sharedItems containsNonDate="0" containsDate="1" containsString="0" containsBlank="1" minDate="2016-10-15T00:00:00" maxDate="2017-09-11T00:00:00"/>
    </cacheField>
    <cacheField name="Database" numFmtId="0">
      <sharedItems/>
    </cacheField>
    <cacheField name="Reversing Flag" numFmtId="0">
      <sharedItems containsSemiMixedTypes="0" containsString="0" containsNumber="1" containsInteger="1" minValue="0" maxValue="0"/>
    </cacheField>
    <cacheField name="Hold Flag" numFmtId="0">
      <sharedItems containsSemiMixedTypes="0" containsString="0" containsNumber="1" containsInteger="1" minValue="0" maxValue="0"/>
    </cacheField>
    <cacheField name="Recurring Flag" numFmtId="0">
      <sharedItems containsSemiMixedTypes="0" containsString="0" containsNumber="1" containsInteger="1" minValue="0" maxValue="0"/>
    </cacheField>
    <cacheField name="Repeating Flag" numFmtId="0">
      <sharedItems containsSemiMixedTypes="0" containsString="0" containsNumber="1" containsInteger="1" minValue="0" maxValue="0"/>
    </cacheField>
    <cacheField name="Type Flag" numFmtId="0">
      <sharedItems containsSemiMixedTypes="0" containsString="0" containsNumber="1" containsInteger="1" minValue="0" maxValue="5"/>
    </cacheField>
    <cacheField name="Posted Flag" numFmtId="0">
      <sharedItems containsSemiMixedTypes="0" containsString="0" containsNumber="1" containsInteger="1" minValue="1" maxValue="1"/>
    </cacheField>
    <cacheField name="Seg1" numFmtId="0">
      <sharedItems containsSemiMixedTypes="0" containsString="0" containsNumber="1" containsInteger="1" minValue="70225" maxValue="70225"/>
    </cacheField>
    <cacheField name="Seg2" numFmtId="0">
      <sharedItems containsSemiMixedTypes="0" containsString="0" containsNumber="1" containsInteger="1" minValue="2010" maxValue="2010"/>
    </cacheField>
    <cacheField name="Seg3" numFmtId="0">
      <sharedItems containsSemiMixedTypes="0" containsString="0" containsNumber="1" containsInteger="1" minValue="0" maxValue="0"/>
    </cacheField>
    <cacheField name="Seg4" numFmtId="0">
      <sharedItems containsSemiMixedTypes="0" containsString="0" containsNumber="1" containsInteger="1" minValue="0" maxValue="0"/>
    </cacheField>
    <cacheField name="Staged_RefCode" numFmtId="0">
      <sharedItems containsNonDate="0" containsString="0" containsBlank="1"/>
    </cacheField>
    <cacheField name="Staged_DocRef" numFmtId="0">
      <sharedItems containsNonDate="0" containsString="0" containsBlank="1"/>
    </cacheField>
    <cacheField name="Staged Year Month" numFmtId="0">
      <sharedItems containsNonDate="0" containsString="0" containsBlank="1"/>
    </cacheField>
    <cacheField name="Staged District" numFmtId="0">
      <sharedItems containsNonDate="0" containsString="0" containsBlank="1"/>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Heather Garland" refreshedDate="43052.535107060183" createdVersion="4" refreshedVersion="4" minRefreshableVersion="3" recordCount="70">
  <cacheSource type="worksheet">
    <worksheetSource ref="B19:AQ89" sheet="JE Query" r:id="rId2"/>
  </cacheSource>
  <cacheFields count="42">
    <cacheField name="Full Account" numFmtId="0">
      <sharedItems/>
    </cacheField>
    <cacheField name="Date" numFmtId="14">
      <sharedItems containsSemiMixedTypes="0" containsNonDate="0" containsDate="1" containsString="0" minDate="2016-10-25T00:00:00" maxDate="2017-10-01T00:00:00"/>
    </cacheField>
    <cacheField name="Amount USD" numFmtId="40">
      <sharedItems containsSemiMixedTypes="0" containsString="0" containsNumber="1" minValue="-1461.31" maxValue="86493.61"/>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Blank="1"/>
    </cacheField>
    <cacheField name="Further Description" numFmtId="0">
      <sharedItems count="15">
        <s v="DEPARTMENT OF REVENUE"/>
        <s v="Accrue true-up for Camas"/>
        <s v="B&amp;O tax"/>
        <s v="Adj Refuse tax accrual"/>
        <s v="Accrue true-up for Battleground"/>
        <s v="B&amp;O Tax Adjustment"/>
        <s v="True Up Taxes"/>
        <s v="Adj Tax accrual"/>
        <s v="Q1 CNG Prepayment"/>
        <s v="True-up Refuse Tax"/>
        <s v="Adjust Sales Tax"/>
        <s v="Sales Tax Adjustment"/>
        <s v="Q2 CNG Prepayment"/>
        <s v="Correct Q4-16 CNG Rebate Accrual"/>
        <s v="INTERNAL REVENUE SERVICE"/>
      </sharedItems>
    </cacheField>
    <cacheField name="Date Doc" numFmtId="0">
      <sharedItems containsNonDate="0" containsDate="1" containsString="0" containsBlank="1" minDate="2016-10-24T00:00:00" maxDate="2017-09-21T00:00:00"/>
    </cacheField>
    <cacheField name="Doc Desc" numFmtId="0">
      <sharedItems containsBlank="1"/>
    </cacheField>
    <cacheField name="Doc Ctrl Num" numFmtId="0">
      <sharedItems containsNonDate="0" containsDate="1" containsString="0" containsBlank="1" minDate="1900-11-20T00:00:00" maxDate="2149-11-18T00:00:00"/>
    </cacheField>
    <cacheField name="Po Ctrl Num" numFmtId="0">
      <sharedItems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acheField>
    <cacheField name="Document 1" numFmtId="0">
      <sharedItems containsBlank="1"/>
    </cacheField>
    <cacheField name="Class Code" numFmtId="0">
      <sharedItems containsString="0" containsBlank="1" containsNumber="1" containsInteger="1" minValue="1010" maxValue="2010"/>
    </cacheField>
    <cacheField name="Date Entered" numFmtId="14">
      <sharedItems containsSemiMixedTypes="0" containsNonDate="0" containsDate="1" containsString="0" minDate="2016-10-25T00:00:00" maxDate="2017-10-06T00:00:00"/>
    </cacheField>
    <cacheField name="Date Posted" numFmtId="14">
      <sharedItems containsSemiMixedTypes="0" containsNonDate="0" containsDate="1" containsString="0" minDate="2016-11-01T00:00:00" maxDate="2017-10-06T00:00:00"/>
    </cacheField>
    <cacheField name="Amt Net" numFmtId="0">
      <sharedItems containsString="0" containsBlank="1" containsNumber="1" minValue="811.83" maxValue="274103"/>
    </cacheField>
    <cacheField name="Date Due" numFmtId="14">
      <sharedItems containsNonDate="0" containsDate="1" containsString="0" containsBlank="1" minDate="2016-10-25T00:00:00" maxDate="2017-09-22T00:00:00"/>
    </cacheField>
    <cacheField name="Database" numFmtId="0">
      <sharedItems/>
    </cacheField>
    <cacheField name="Reversing Flag" numFmtId="0">
      <sharedItems containsSemiMixedTypes="0" containsString="0" containsNumber="1" containsInteger="1" minValue="0" maxValue="0"/>
    </cacheField>
    <cacheField name="Hold Flag" numFmtId="0">
      <sharedItems containsSemiMixedTypes="0" containsString="0" containsNumber="1" containsInteger="1" minValue="0" maxValue="0"/>
    </cacheField>
    <cacheField name="Recurring Flag" numFmtId="0">
      <sharedItems containsSemiMixedTypes="0" containsString="0" containsNumber="1" containsInteger="1" minValue="0" maxValue="0"/>
    </cacheField>
    <cacheField name="Repeating Flag" numFmtId="0">
      <sharedItems containsSemiMixedTypes="0" containsString="0" containsNumber="1" containsInteger="1" minValue="0" maxValue="0"/>
    </cacheField>
    <cacheField name="Type Flag" numFmtId="0">
      <sharedItems containsSemiMixedTypes="0" containsString="0" containsNumber="1" containsInteger="1" minValue="0" maxValue="0"/>
    </cacheField>
    <cacheField name="Posted Flag" numFmtId="0">
      <sharedItems containsSemiMixedTypes="0" containsString="0" containsNumber="1" containsInteger="1" minValue="1" maxValue="1"/>
    </cacheField>
    <cacheField name="Seg1" numFmtId="0">
      <sharedItems containsSemiMixedTypes="0" containsString="0" containsNumber="1" containsInteger="1" minValue="43001" maxValue="43001"/>
    </cacheField>
    <cacheField name="Seg2" numFmtId="0">
      <sharedItems containsSemiMixedTypes="0" containsString="0" containsNumber="1" containsInteger="1" minValue="2010" maxValue="2010"/>
    </cacheField>
    <cacheField name="Seg3" numFmtId="0">
      <sharedItems containsSemiMixedTypes="0" containsString="0" containsNumber="1" containsInteger="1" minValue="0" maxValue="0"/>
    </cacheField>
    <cacheField name="Seg4" numFmtId="0">
      <sharedItems containsSemiMixedTypes="0" containsString="0" containsNumber="1" containsInteger="1" minValue="0" maxValue="0"/>
    </cacheField>
    <cacheField name="Staged_RefCode" numFmtId="0">
      <sharedItems containsNonDate="0" containsString="0" containsBlank="1"/>
    </cacheField>
    <cacheField name="Staged_DocRef" numFmtId="0">
      <sharedItems containsNonDate="0" containsString="0" containsBlank="1"/>
    </cacheField>
    <cacheField name="Staged Year Month" numFmtId="0">
      <sharedItems containsNonDate="0" containsString="0" containsBlank="1"/>
    </cacheField>
    <cacheField name="Staged District" numFmtId="0">
      <sharedItems containsNonDate="0" containsString="0" containsBlank="1"/>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Lindsay Waldram" refreshedDate="43040.554602430559" createdVersion="4" refreshedVersion="4" minRefreshableVersion="3" recordCount="205">
  <cacheSource type="worksheet">
    <worksheetSource ref="B19:AQ224" sheet="JE Query" r:id="rId2"/>
  </cacheSource>
  <cacheFields count="42">
    <cacheField name="Full Account" numFmtId="0">
      <sharedItems/>
    </cacheField>
    <cacheField name="Date" numFmtId="14">
      <sharedItems containsSemiMixedTypes="0" containsNonDate="0" containsDate="1" containsString="0" minDate="2016-10-20T00:00:00" maxDate="2017-10-01T00:00:00"/>
    </cacheField>
    <cacheField name="Amount USD" numFmtId="40">
      <sharedItems containsSemiMixedTypes="0" containsString="0" containsNumber="1" minValue="-16459.46" maxValue="30007.58"/>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Blank="1"/>
    </cacheField>
    <cacheField name="Further Description" numFmtId="0">
      <sharedItems count="69">
        <s v="TECHNOLOGIES INTELLICLOUD"/>
        <s v="TBD : PO 03485 : Vendor To Be Determined"/>
        <s v="PO 00259 : THE REFLECTOR\THE CHRONICLE 2"/>
        <s v="PO 02723 : BENNETT PAPER &amp; SUPPLY CO INC"/>
        <s v="PO 03141 : BENNETT PAPER &amp; SUPPLY CO INC"/>
        <s v="THE CHRONICLE 2 GATEWA~SHARON SWANSON"/>
        <s v="PRO-AD CO INC~JOSY WRIGHT"/>
        <s v="BENNETT PAPER AND SUPPLY~JOSY WRIGHT"/>
        <s v="NOR CAL EMBROIDERY AND NO~JOSY WRIGHT"/>
        <s v="ADCO PRINTING AND GRAPHIC~SHARON SWANSON"/>
        <s v="Reclass Postage for October Newsletters"/>
        <s v="CLARK PUBLIC UTILITIES"/>
        <s v="POSTERGARDEN.COM~JOSY WRIGHT"/>
        <s v="PO 03694 : WA POISON CENTER : PCard"/>
        <s v="PARTNERS ON DEMAND INC"/>
        <s v="WASHINGTON POISON CENTE~JOSY WRIGHT"/>
        <s v="OSU CONTINUING EDUCATION~JOSY WRIGHT"/>
        <s v="PO 04267 : POD4PRINT : PCard"/>
        <s v="CITY OF VANCOUVER"/>
        <s v="POD 4 PRINT~SHARON SWANSON"/>
        <s v="BIG 5 SPORTING GOODS 428~JOSY WRIGHT"/>
        <s v="PO 04184 : KORE GROUP : PCard"/>
        <s v="PO 00267 : THE REFLECTOR\THE CHRONICLE 2"/>
        <s v="LEED Class"/>
        <s v="LEED Exam"/>
        <s v="MELISSA TIEFENTHALER"/>
        <s v="KORE GROUP~JOSY WRIGHT"/>
        <s v="GEORGE PATTON ASSOCIAT~JOSY WRIGHT"/>
        <s v="MARCO IDEAS UNLIMITED~JOSY WRIGHT"/>
        <s v="SIMPLY THYME CATERING~JOSY WRIGHT"/>
        <s v="SIGNS &amp; MORE~JOSY WRIGHT"/>
        <s v="yellow Pages Ad"/>
        <s v="PO 00688 : MARCO IDEAS UNLIMITED : PCard"/>
        <s v="Dues and Subscriptions"/>
        <s v="CLARK COUNTY AUDITOR"/>
        <s v="IDEASTAGE PROMOTION~JOSY WRIGHT"/>
        <s v="TRADE SHOW SUPPLY HO~JOSY WRIGHT"/>
        <s v="PO 00594 : MINUTEMAN PRESS : PCard"/>
        <s v="PO 01142 : TRADE SHOW SUPPLY HOUSE : PCa"/>
        <s v="MINUTEMAN PRESS~JOSY WRIGHT"/>
        <s v="BIA OF CLARK COUNTY~JOSY WRIGHT"/>
        <s v="PO 00555 : CITY OF VANCOUVER : CHECK"/>
        <s v="WEISENBACH RECYCLED PRO~JOSY WRIGHT"/>
        <s v="E AND M CONSULTING INC~JOSY WRIGHT"/>
        <s v="PO 01497 : WRIGHT BUSINESS GRAPHICS : PC"/>
        <s v="PO 01498 : WSRA : PCard"/>
        <s v="PO 01499 : WEISENBACH RECYCLED PRODUCTS"/>
        <s v="PO 01595 : MINUTEMAN PRESS : PCard"/>
        <s v="PO 01803 : MINUTEMAN PRESS : PCard"/>
        <s v="TOTAL WINE AND MORE 1404~JOSY WRIGHT"/>
        <s v="PO 2010-17-02080"/>
        <s v="WASHINGTON STATE RECYCLIN~JOSY WRIGHT"/>
        <s v="PO 01948 : BENNETT PAPER &amp; SUPPLY CO INC"/>
        <s v="PO 02180 : WSRA : PCard"/>
        <s v="PO 02181 : WSRA : PCard"/>
        <s v="WRIGHT BUSINESS GRAPHI~JOSY WRIGHT"/>
        <s v="IN  WEBFOR, LLC~JOSY WRIGHT"/>
        <s v="POD 4 PRINT~BRIDGET SIMARD"/>
        <s v="FRED-MEYER #0236~JOSY WRIGHT"/>
        <s v="PO 02427 : BENNETT PAPER : PCard"/>
        <s v="IN  MARKON~JOSY WRIGHT"/>
        <s v="PO 02764 : Minuteman Press : PCard"/>
        <s v="PO 02767 : Markon : PCard"/>
        <s v="PO 02790 : Bennett Paper and Supply : PC"/>
        <s v="PO 02970 : Minuteman : PCard"/>
        <s v="BENNETT PAPER AND SUPP~JOSY WRIGHT"/>
        <s v="VP CARWASH II~JOSY WRIGHT"/>
        <s v="PO 03150 : Adco : PCard"/>
        <s v="PAYPAL  EASTVANCOUV~JOSY WRIGHT"/>
      </sharedItems>
    </cacheField>
    <cacheField name="Date Doc" numFmtId="164">
      <sharedItems containsNonDate="0" containsDate="1" containsString="0" containsBlank="1" minDate="2016-09-30T00:00:00" maxDate="2017-08-02T00:00:00"/>
    </cacheField>
    <cacheField name="Doc Desc" numFmtId="0">
      <sharedItems containsBlank="1"/>
    </cacheField>
    <cacheField name="Doc Ctrl Num" numFmtId="0">
      <sharedItems containsBlank="1" containsMixedTypes="1" containsNumber="1" containsInteger="1" minValue="44159" maxValue="180024238"/>
    </cacheField>
    <cacheField name="Po Ctrl Num" numFmtId="0">
      <sharedItems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acheField>
    <cacheField name="Document 1" numFmtId="0">
      <sharedItems containsBlank="1"/>
    </cacheField>
    <cacheField name="Class Code" numFmtId="0">
      <sharedItems containsString="0" containsBlank="1" containsNumber="1" containsInteger="1" minValue="2010" maxValue="2183"/>
    </cacheField>
    <cacheField name="Date Entered" numFmtId="14">
      <sharedItems containsSemiMixedTypes="0" containsNonDate="0" containsDate="1" containsString="0" minDate="2016-10-06T00:00:00" maxDate="2017-10-06T00:00:00"/>
    </cacheField>
    <cacheField name="Date Posted" numFmtId="14">
      <sharedItems containsSemiMixedTypes="0" containsNonDate="0" containsDate="1" containsString="0" minDate="2016-10-06T00:00:00" maxDate="2017-10-06T00:00:00"/>
    </cacheField>
    <cacheField name="Amt Net" numFmtId="0">
      <sharedItems containsString="0" containsBlank="1" containsNumber="1" minValue="200" maxValue="20926.7"/>
    </cacheField>
    <cacheField name="Date Due" numFmtId="14">
      <sharedItems containsNonDate="0" containsDate="1" containsString="0" containsBlank="1" minDate="2016-10-01T00:00:00" maxDate="2017-08-03T00:00:00"/>
    </cacheField>
    <cacheField name="Database" numFmtId="0">
      <sharedItems/>
    </cacheField>
    <cacheField name="Reversing Flag" numFmtId="0">
      <sharedItems containsSemiMixedTypes="0" containsString="0" containsNumber="1" containsInteger="1" minValue="0" maxValue="1"/>
    </cacheField>
    <cacheField name="Hold Flag" numFmtId="0">
      <sharedItems containsSemiMixedTypes="0" containsString="0" containsNumber="1" containsInteger="1" minValue="0" maxValue="0"/>
    </cacheField>
    <cacheField name="Recurring Flag" numFmtId="0">
      <sharedItems containsSemiMixedTypes="0" containsString="0" containsNumber="1" containsInteger="1" minValue="0" maxValue="0"/>
    </cacheField>
    <cacheField name="Repeating Flag" numFmtId="0">
      <sharedItems containsSemiMixedTypes="0" containsString="0" containsNumber="1" containsInteger="1" minValue="0" maxValue="0"/>
    </cacheField>
    <cacheField name="Type Flag" numFmtId="0">
      <sharedItems containsSemiMixedTypes="0" containsString="0" containsNumber="1" containsInteger="1" minValue="0" maxValue="5"/>
    </cacheField>
    <cacheField name="Posted Flag" numFmtId="0">
      <sharedItems containsSemiMixedTypes="0" containsString="0" containsNumber="1" containsInteger="1" minValue="1" maxValue="1"/>
    </cacheField>
    <cacheField name="Seg1" numFmtId="0">
      <sharedItems containsSemiMixedTypes="0" containsString="0" containsNumber="1" containsInteger="1" minValue="60225" maxValue="60225"/>
    </cacheField>
    <cacheField name="Seg2" numFmtId="0">
      <sharedItems containsSemiMixedTypes="0" containsString="0" containsNumber="1" containsInteger="1" minValue="2010" maxValue="2010"/>
    </cacheField>
    <cacheField name="Seg3" numFmtId="0">
      <sharedItems containsSemiMixedTypes="0" containsString="0" containsNumber="1" containsInteger="1" minValue="0" maxValue="100"/>
    </cacheField>
    <cacheField name="Seg4" numFmtId="0">
      <sharedItems containsSemiMixedTypes="0" containsString="0" containsNumber="1" containsInteger="1" minValue="0" maxValue="0"/>
    </cacheField>
    <cacheField name="Staged_RefCode" numFmtId="0">
      <sharedItems containsNonDate="0" containsString="0" containsBlank="1"/>
    </cacheField>
    <cacheField name="Staged_DocRef" numFmtId="0">
      <sharedItems containsNonDate="0" containsString="0" containsBlank="1"/>
    </cacheField>
    <cacheField name="Staged Year Month" numFmtId="0">
      <sharedItems containsNonDate="0" containsString="0" containsBlank="1"/>
    </cacheField>
    <cacheField name="Staged District" numFmtId="0">
      <sharedItems containsNonDate="0" containsString="0" containsBlank="1"/>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4">
  <r>
    <x v="0"/>
    <d v="2016-10-06T00:00:00"/>
    <n v="1947.22"/>
    <x v="0"/>
    <x v="0"/>
    <s v="JRNLWA00343209"/>
    <x v="0"/>
    <x v="0"/>
    <x v="0"/>
    <x v="0"/>
    <x v="0"/>
    <x v="0"/>
    <x v="0"/>
    <x v="0"/>
    <x v="0"/>
    <n v="13061"/>
    <x v="0"/>
    <x v="0"/>
    <x v="0"/>
    <s v="VO04072005"/>
    <s v="JRNL00815781"/>
    <x v="0"/>
    <d v="2016-10-06T00:00:00"/>
    <d v="2016-10-06T00:00:00"/>
    <x v="0"/>
    <d v="2016-12-05T00:00:00"/>
    <x v="0"/>
    <x v="0"/>
    <x v="0"/>
    <x v="0"/>
    <x v="0"/>
    <x v="0"/>
    <x v="0"/>
    <x v="0"/>
    <x v="0"/>
    <x v="0"/>
    <x v="0"/>
    <x v="0"/>
    <x v="0"/>
    <x v="0"/>
    <x v="0"/>
    <s v="VO04072005"/>
  </r>
  <r>
    <x v="1"/>
    <d v="2016-10-06T00:00:00"/>
    <n v="5"/>
    <x v="0"/>
    <x v="0"/>
    <s v="JRNLWA00343210"/>
    <x v="0"/>
    <x v="0"/>
    <x v="0"/>
    <x v="0"/>
    <x v="1"/>
    <x v="0"/>
    <x v="1"/>
    <x v="1"/>
    <x v="1"/>
    <s v="9/1-9/30/2016"/>
    <x v="1"/>
    <x v="0"/>
    <x v="0"/>
    <s v="VO04072144"/>
    <s v="JRNL00815782"/>
    <x v="1"/>
    <d v="2016-10-06T00:00:00"/>
    <d v="2016-10-06T00:00:00"/>
    <x v="1"/>
    <d v="2016-10-01T00:00:00"/>
    <x v="0"/>
    <x v="0"/>
    <x v="0"/>
    <x v="0"/>
    <x v="0"/>
    <x v="0"/>
    <x v="0"/>
    <x v="0"/>
    <x v="0"/>
    <x v="1"/>
    <x v="0"/>
    <x v="0"/>
    <x v="0"/>
    <x v="0"/>
    <x v="0"/>
    <s v="VO04072144"/>
  </r>
  <r>
    <x v="0"/>
    <d v="2016-10-06T00:00:00"/>
    <n v="103.5"/>
    <x v="0"/>
    <x v="0"/>
    <s v="JRNLWA00343350"/>
    <x v="0"/>
    <x v="0"/>
    <x v="0"/>
    <x v="0"/>
    <x v="2"/>
    <x v="0"/>
    <x v="2"/>
    <x v="0"/>
    <x v="2"/>
    <s v="NOV-JAN17 153288"/>
    <x v="2"/>
    <x v="0"/>
    <x v="0"/>
    <s v="VO04073185"/>
    <s v="JRNL00816231"/>
    <x v="1"/>
    <d v="2016-10-06T00:00:00"/>
    <d v="2016-10-06T00:00:00"/>
    <x v="2"/>
    <d v="2016-10-16T00:00:00"/>
    <x v="0"/>
    <x v="0"/>
    <x v="0"/>
    <x v="0"/>
    <x v="0"/>
    <x v="0"/>
    <x v="0"/>
    <x v="0"/>
    <x v="0"/>
    <x v="0"/>
    <x v="0"/>
    <x v="0"/>
    <x v="0"/>
    <x v="0"/>
    <x v="0"/>
    <s v="VO04073185"/>
  </r>
  <r>
    <x v="0"/>
    <d v="2016-10-21T00:00:00"/>
    <n v="170"/>
    <x v="0"/>
    <x v="0"/>
    <s v="JRNLWA00344006"/>
    <x v="0"/>
    <x v="0"/>
    <x v="0"/>
    <x v="0"/>
    <x v="3"/>
    <x v="0"/>
    <x v="3"/>
    <x v="2"/>
    <x v="3"/>
    <n v="2368"/>
    <x v="3"/>
    <x v="0"/>
    <x v="0"/>
    <s v="VO04087272"/>
    <s v="JRNL00817579"/>
    <x v="1"/>
    <d v="2016-10-21T00:00:00"/>
    <d v="2016-10-21T00:00:00"/>
    <x v="3"/>
    <d v="2016-10-25T00:00:00"/>
    <x v="0"/>
    <x v="0"/>
    <x v="0"/>
    <x v="0"/>
    <x v="0"/>
    <x v="0"/>
    <x v="0"/>
    <x v="0"/>
    <x v="0"/>
    <x v="0"/>
    <x v="0"/>
    <x v="0"/>
    <x v="0"/>
    <x v="0"/>
    <x v="0"/>
    <s v="VO04087272"/>
  </r>
  <r>
    <x v="1"/>
    <d v="2016-10-31T00:00:00"/>
    <n v="-5"/>
    <x v="0"/>
    <x v="0"/>
    <s v="JRNLWA00343554"/>
    <x v="0"/>
    <x v="1"/>
    <x v="1"/>
    <x v="0"/>
    <x v="4"/>
    <x v="0"/>
    <x v="4"/>
    <x v="3"/>
    <x v="1"/>
    <m/>
    <x v="1"/>
    <x v="0"/>
    <x v="0"/>
    <s v="JRNL00816428"/>
    <s v="JRNL00816448"/>
    <x v="2"/>
    <d v="2016-10-06T00:00:00"/>
    <d v="2016-10-06T00:00:00"/>
    <x v="4"/>
    <m/>
    <x v="0"/>
    <x v="0"/>
    <x v="0"/>
    <x v="0"/>
    <x v="0"/>
    <x v="1"/>
    <x v="0"/>
    <x v="0"/>
    <x v="0"/>
    <x v="1"/>
    <x v="0"/>
    <x v="0"/>
    <x v="0"/>
    <x v="0"/>
    <x v="0"/>
    <s v=""/>
  </r>
  <r>
    <x v="0"/>
    <d v="2016-10-31T00:00:00"/>
    <n v="-1916"/>
    <x v="0"/>
    <x v="0"/>
    <s v="JRNLWA00343555"/>
    <x v="0"/>
    <x v="2"/>
    <x v="1"/>
    <x v="0"/>
    <x v="4"/>
    <x v="0"/>
    <x v="5"/>
    <x v="3"/>
    <x v="1"/>
    <m/>
    <x v="1"/>
    <x v="0"/>
    <x v="0"/>
    <s v="JRNL00816429"/>
    <s v="JRNL00816449"/>
    <x v="2"/>
    <d v="2016-10-06T00:00:00"/>
    <d v="2016-10-06T00:00:00"/>
    <x v="4"/>
    <m/>
    <x v="0"/>
    <x v="0"/>
    <x v="0"/>
    <x v="0"/>
    <x v="0"/>
    <x v="1"/>
    <x v="0"/>
    <x v="0"/>
    <x v="0"/>
    <x v="0"/>
    <x v="0"/>
    <x v="0"/>
    <x v="0"/>
    <x v="0"/>
    <x v="0"/>
    <s v=""/>
  </r>
  <r>
    <x v="0"/>
    <d v="2016-10-31T00:00:00"/>
    <n v="208.32"/>
    <x v="0"/>
    <x v="0"/>
    <s v="JRNLWA00345141"/>
    <x v="0"/>
    <x v="3"/>
    <x v="2"/>
    <x v="1"/>
    <x v="4"/>
    <x v="0"/>
    <x v="6"/>
    <x v="3"/>
    <x v="1"/>
    <m/>
    <x v="1"/>
    <x v="0"/>
    <x v="0"/>
    <s v="JRNLWA00345141"/>
    <m/>
    <x v="2"/>
    <d v="2016-11-07T00:00:00"/>
    <d v="2016-11-08T00:00:00"/>
    <x v="4"/>
    <m/>
    <x v="0"/>
    <x v="0"/>
    <x v="0"/>
    <x v="0"/>
    <x v="0"/>
    <x v="0"/>
    <x v="0"/>
    <x v="0"/>
    <x v="0"/>
    <x v="0"/>
    <x v="0"/>
    <x v="0"/>
    <x v="0"/>
    <x v="0"/>
    <x v="0"/>
    <s v=""/>
  </r>
  <r>
    <x v="0"/>
    <d v="2016-10-31T00:00:00"/>
    <n v="1916"/>
    <x v="0"/>
    <x v="0"/>
    <s v="JRNLWA00345213"/>
    <x v="0"/>
    <x v="2"/>
    <x v="3"/>
    <x v="0"/>
    <x v="4"/>
    <x v="0"/>
    <x v="5"/>
    <x v="3"/>
    <x v="1"/>
    <m/>
    <x v="1"/>
    <x v="0"/>
    <x v="0"/>
    <s v="JRNL00820236"/>
    <s v="JRNL00820236"/>
    <x v="2"/>
    <d v="2016-11-07T00:00:00"/>
    <d v="2016-11-08T00:00:00"/>
    <x v="4"/>
    <m/>
    <x v="0"/>
    <x v="0"/>
    <x v="0"/>
    <x v="0"/>
    <x v="0"/>
    <x v="0"/>
    <x v="0"/>
    <x v="0"/>
    <x v="0"/>
    <x v="0"/>
    <x v="0"/>
    <x v="0"/>
    <x v="0"/>
    <x v="0"/>
    <x v="0"/>
    <s v=""/>
  </r>
  <r>
    <x v="0"/>
    <d v="2016-10-31T00:00:00"/>
    <n v="395"/>
    <x v="0"/>
    <x v="0"/>
    <s v="JRNLWA00345213"/>
    <x v="0"/>
    <x v="2"/>
    <x v="3"/>
    <x v="0"/>
    <x v="4"/>
    <x v="0"/>
    <x v="7"/>
    <x v="3"/>
    <x v="1"/>
    <m/>
    <x v="1"/>
    <x v="0"/>
    <x v="0"/>
    <s v="JRNL00820236"/>
    <s v="JRNL00820236"/>
    <x v="2"/>
    <d v="2016-11-07T00:00:00"/>
    <d v="2016-11-08T00:00:00"/>
    <x v="4"/>
    <m/>
    <x v="0"/>
    <x v="0"/>
    <x v="0"/>
    <x v="0"/>
    <x v="0"/>
    <x v="0"/>
    <x v="0"/>
    <x v="0"/>
    <x v="0"/>
    <x v="0"/>
    <x v="0"/>
    <x v="0"/>
    <x v="0"/>
    <x v="0"/>
    <x v="0"/>
    <s v=""/>
  </r>
  <r>
    <x v="0"/>
    <d v="2016-10-31T00:00:00"/>
    <n v="1000"/>
    <x v="0"/>
    <x v="0"/>
    <s v="JRNLWA00345324"/>
    <x v="0"/>
    <x v="4"/>
    <x v="2"/>
    <x v="1"/>
    <x v="4"/>
    <x v="0"/>
    <x v="8"/>
    <x v="3"/>
    <x v="1"/>
    <m/>
    <x v="1"/>
    <x v="0"/>
    <x v="0"/>
    <s v="JRNLWA00345324"/>
    <m/>
    <x v="2"/>
    <d v="2016-11-08T00:00:00"/>
    <d v="2016-11-08T00:00:00"/>
    <x v="4"/>
    <m/>
    <x v="0"/>
    <x v="0"/>
    <x v="0"/>
    <x v="0"/>
    <x v="0"/>
    <x v="0"/>
    <x v="0"/>
    <x v="0"/>
    <x v="0"/>
    <x v="0"/>
    <x v="0"/>
    <x v="0"/>
    <x v="0"/>
    <x v="0"/>
    <x v="0"/>
    <s v=""/>
  </r>
  <r>
    <x v="0"/>
    <d v="2016-11-10T00:00:00"/>
    <n v="1947.22"/>
    <x v="0"/>
    <x v="0"/>
    <s v="JRNLWA00345399"/>
    <x v="0"/>
    <x v="0"/>
    <x v="0"/>
    <x v="0"/>
    <x v="0"/>
    <x v="0"/>
    <x v="0"/>
    <x v="4"/>
    <x v="0"/>
    <n v="12924"/>
    <x v="4"/>
    <x v="0"/>
    <x v="0"/>
    <s v="VO04105459"/>
    <s v="JRNL00820783"/>
    <x v="0"/>
    <d v="2016-11-10T00:00:00"/>
    <d v="2016-11-10T00:00:00"/>
    <x v="0"/>
    <d v="2017-01-05T00:00:00"/>
    <x v="0"/>
    <x v="0"/>
    <x v="0"/>
    <x v="0"/>
    <x v="0"/>
    <x v="0"/>
    <x v="0"/>
    <x v="0"/>
    <x v="0"/>
    <x v="0"/>
    <x v="0"/>
    <x v="0"/>
    <x v="0"/>
    <x v="0"/>
    <x v="0"/>
    <s v="VO04105459"/>
  </r>
  <r>
    <x v="0"/>
    <d v="2016-11-10T00:00:00"/>
    <n v="600"/>
    <x v="0"/>
    <x v="0"/>
    <s v="JRNLWA00345401"/>
    <x v="0"/>
    <x v="0"/>
    <x v="0"/>
    <x v="0"/>
    <x v="5"/>
    <x v="0"/>
    <x v="9"/>
    <x v="0"/>
    <x v="4"/>
    <s v="4QTR Dues"/>
    <x v="5"/>
    <x v="0"/>
    <x v="0"/>
    <s v="VO04105844"/>
    <s v="JRNL00820785"/>
    <x v="1"/>
    <d v="2016-11-10T00:00:00"/>
    <d v="2016-11-10T00:00:00"/>
    <x v="5"/>
    <d v="2016-12-05T00:00:00"/>
    <x v="0"/>
    <x v="0"/>
    <x v="0"/>
    <x v="0"/>
    <x v="0"/>
    <x v="0"/>
    <x v="0"/>
    <x v="0"/>
    <x v="0"/>
    <x v="0"/>
    <x v="0"/>
    <x v="0"/>
    <x v="0"/>
    <x v="0"/>
    <x v="0"/>
    <s v="VO04105844"/>
  </r>
  <r>
    <x v="0"/>
    <d v="2016-11-30T00:00:00"/>
    <n v="-1916"/>
    <x v="0"/>
    <x v="0"/>
    <s v="JRNLWA00345272"/>
    <x v="0"/>
    <x v="2"/>
    <x v="1"/>
    <x v="0"/>
    <x v="4"/>
    <x v="0"/>
    <x v="5"/>
    <x v="3"/>
    <x v="1"/>
    <m/>
    <x v="1"/>
    <x v="0"/>
    <x v="0"/>
    <s v="JRNL00820236"/>
    <s v="JRNL00820414"/>
    <x v="2"/>
    <d v="2016-11-08T00:00:00"/>
    <d v="2016-11-08T00:00:00"/>
    <x v="4"/>
    <m/>
    <x v="0"/>
    <x v="0"/>
    <x v="0"/>
    <x v="0"/>
    <x v="0"/>
    <x v="1"/>
    <x v="0"/>
    <x v="0"/>
    <x v="0"/>
    <x v="0"/>
    <x v="0"/>
    <x v="0"/>
    <x v="0"/>
    <x v="0"/>
    <x v="0"/>
    <s v=""/>
  </r>
  <r>
    <x v="0"/>
    <d v="2016-11-30T00:00:00"/>
    <n v="-395"/>
    <x v="0"/>
    <x v="0"/>
    <s v="JRNLWA00345272"/>
    <x v="0"/>
    <x v="2"/>
    <x v="1"/>
    <x v="0"/>
    <x v="4"/>
    <x v="0"/>
    <x v="7"/>
    <x v="3"/>
    <x v="1"/>
    <m/>
    <x v="1"/>
    <x v="0"/>
    <x v="0"/>
    <s v="JRNL00820236"/>
    <s v="JRNL00820414"/>
    <x v="2"/>
    <d v="2016-11-08T00:00:00"/>
    <d v="2016-11-08T00:00:00"/>
    <x v="4"/>
    <m/>
    <x v="0"/>
    <x v="0"/>
    <x v="0"/>
    <x v="0"/>
    <x v="0"/>
    <x v="1"/>
    <x v="0"/>
    <x v="0"/>
    <x v="0"/>
    <x v="0"/>
    <x v="0"/>
    <x v="0"/>
    <x v="0"/>
    <x v="0"/>
    <x v="0"/>
    <s v=""/>
  </r>
  <r>
    <x v="0"/>
    <d v="2016-11-30T00:00:00"/>
    <n v="1916"/>
    <x v="0"/>
    <x v="0"/>
    <s v="JRNLWA00345917"/>
    <x v="0"/>
    <x v="5"/>
    <x v="1"/>
    <x v="0"/>
    <x v="4"/>
    <x v="0"/>
    <x v="10"/>
    <x v="3"/>
    <x v="1"/>
    <m/>
    <x v="1"/>
    <x v="0"/>
    <x v="0"/>
    <s v="JRNL00822449"/>
    <s v="JRNL00822449"/>
    <x v="2"/>
    <d v="2016-12-02T00:00:00"/>
    <d v="2016-12-05T00:00:00"/>
    <x v="4"/>
    <m/>
    <x v="0"/>
    <x v="0"/>
    <x v="0"/>
    <x v="0"/>
    <x v="0"/>
    <x v="0"/>
    <x v="0"/>
    <x v="0"/>
    <x v="0"/>
    <x v="0"/>
    <x v="0"/>
    <x v="0"/>
    <x v="0"/>
    <x v="0"/>
    <x v="0"/>
    <s v=""/>
  </r>
  <r>
    <x v="0"/>
    <d v="2016-11-30T00:00:00"/>
    <n v="395"/>
    <x v="0"/>
    <x v="0"/>
    <s v="JRNLWA00345917"/>
    <x v="0"/>
    <x v="5"/>
    <x v="1"/>
    <x v="0"/>
    <x v="4"/>
    <x v="0"/>
    <x v="11"/>
    <x v="3"/>
    <x v="1"/>
    <m/>
    <x v="1"/>
    <x v="0"/>
    <x v="0"/>
    <s v="JRNL00822449"/>
    <s v="JRNL00822449"/>
    <x v="2"/>
    <d v="2016-12-02T00:00:00"/>
    <d v="2016-12-05T00:00:00"/>
    <x v="4"/>
    <m/>
    <x v="0"/>
    <x v="0"/>
    <x v="0"/>
    <x v="0"/>
    <x v="0"/>
    <x v="0"/>
    <x v="0"/>
    <x v="0"/>
    <x v="0"/>
    <x v="0"/>
    <x v="0"/>
    <x v="0"/>
    <x v="0"/>
    <x v="0"/>
    <x v="0"/>
    <s v=""/>
  </r>
  <r>
    <x v="0"/>
    <d v="2016-11-30T00:00:00"/>
    <n v="208.32"/>
    <x v="0"/>
    <x v="0"/>
    <s v="JRNLWA00346638"/>
    <x v="0"/>
    <x v="3"/>
    <x v="1"/>
    <x v="0"/>
    <x v="4"/>
    <x v="0"/>
    <x v="6"/>
    <x v="3"/>
    <x v="1"/>
    <m/>
    <x v="1"/>
    <x v="0"/>
    <x v="0"/>
    <s v="JRNL00824074"/>
    <s v="JRNL00824074"/>
    <x v="2"/>
    <d v="2016-12-07T00:00:00"/>
    <d v="2016-12-07T00:00:00"/>
    <x v="4"/>
    <m/>
    <x v="0"/>
    <x v="0"/>
    <x v="0"/>
    <x v="0"/>
    <x v="0"/>
    <x v="0"/>
    <x v="0"/>
    <x v="0"/>
    <x v="0"/>
    <x v="0"/>
    <x v="0"/>
    <x v="0"/>
    <x v="0"/>
    <x v="0"/>
    <x v="0"/>
    <s v=""/>
  </r>
  <r>
    <x v="0"/>
    <d v="2016-12-14T00:00:00"/>
    <n v="1947.22"/>
    <x v="0"/>
    <x v="0"/>
    <s v="JRNLWA00346881"/>
    <x v="0"/>
    <x v="0"/>
    <x v="4"/>
    <x v="0"/>
    <x v="0"/>
    <x v="0"/>
    <x v="0"/>
    <x v="5"/>
    <x v="5"/>
    <n v="13134"/>
    <x v="6"/>
    <x v="0"/>
    <x v="0"/>
    <s v="VO04136728"/>
    <s v="JRNL00824648"/>
    <x v="0"/>
    <d v="2016-12-14T00:00:00"/>
    <d v="2016-12-15T00:00:00"/>
    <x v="0"/>
    <d v="2017-02-04T00:00:00"/>
    <x v="0"/>
    <x v="0"/>
    <x v="0"/>
    <x v="0"/>
    <x v="0"/>
    <x v="0"/>
    <x v="0"/>
    <x v="0"/>
    <x v="0"/>
    <x v="0"/>
    <x v="0"/>
    <x v="0"/>
    <x v="0"/>
    <x v="0"/>
    <x v="0"/>
    <s v="VO04136728"/>
  </r>
  <r>
    <x v="0"/>
    <d v="2016-12-23T00:00:00"/>
    <n v="48.7"/>
    <x v="0"/>
    <x v="0"/>
    <s v="JRNLWA00347005"/>
    <x v="0"/>
    <x v="0"/>
    <x v="0"/>
    <x v="0"/>
    <x v="6"/>
    <x v="0"/>
    <x v="12"/>
    <x v="6"/>
    <x v="6"/>
    <n v="177019"/>
    <x v="7"/>
    <x v="0"/>
    <x v="0"/>
    <s v="VO04147787"/>
    <s v="JRNL00825158"/>
    <x v="0"/>
    <d v="2016-12-23T00:00:00"/>
    <d v="2016-12-23T00:00:00"/>
    <x v="6"/>
    <d v="2016-12-31T00:00:00"/>
    <x v="0"/>
    <x v="0"/>
    <x v="0"/>
    <x v="0"/>
    <x v="0"/>
    <x v="0"/>
    <x v="0"/>
    <x v="0"/>
    <x v="0"/>
    <x v="0"/>
    <x v="0"/>
    <x v="0"/>
    <x v="0"/>
    <x v="0"/>
    <x v="0"/>
    <s v="VO04147787"/>
  </r>
  <r>
    <x v="1"/>
    <d v="2016-12-28T00:00:00"/>
    <n v="175.74"/>
    <x v="0"/>
    <x v="0"/>
    <s v="JRNLWA00347036"/>
    <x v="0"/>
    <x v="0"/>
    <x v="0"/>
    <x v="0"/>
    <x v="7"/>
    <x v="0"/>
    <x v="13"/>
    <x v="7"/>
    <x v="1"/>
    <s v="11/1-11/30/2016"/>
    <x v="1"/>
    <x v="0"/>
    <x v="0"/>
    <s v="VO04149320"/>
    <s v="JRNL00825307"/>
    <x v="1"/>
    <d v="2016-12-28T00:00:00"/>
    <d v="2016-12-28T00:00:00"/>
    <x v="7"/>
    <d v="2016-12-01T00:00:00"/>
    <x v="0"/>
    <x v="0"/>
    <x v="0"/>
    <x v="0"/>
    <x v="0"/>
    <x v="0"/>
    <x v="0"/>
    <x v="0"/>
    <x v="0"/>
    <x v="1"/>
    <x v="0"/>
    <x v="0"/>
    <x v="0"/>
    <x v="0"/>
    <x v="0"/>
    <s v="VO04149320"/>
  </r>
  <r>
    <x v="0"/>
    <d v="2016-12-31T00:00:00"/>
    <n v="208.4"/>
    <x v="0"/>
    <x v="0"/>
    <s v="JRNLWA00348015"/>
    <x v="0"/>
    <x v="3"/>
    <x v="2"/>
    <x v="1"/>
    <x v="4"/>
    <x v="0"/>
    <x v="6"/>
    <x v="3"/>
    <x v="1"/>
    <m/>
    <x v="1"/>
    <x v="0"/>
    <x v="0"/>
    <s v="JRNLWA00348015"/>
    <m/>
    <x v="2"/>
    <d v="2017-01-06T00:00:00"/>
    <d v="2017-01-06T00:00:00"/>
    <x v="4"/>
    <m/>
    <x v="0"/>
    <x v="0"/>
    <x v="0"/>
    <x v="0"/>
    <x v="0"/>
    <x v="0"/>
    <x v="0"/>
    <x v="0"/>
    <x v="0"/>
    <x v="0"/>
    <x v="0"/>
    <x v="0"/>
    <x v="0"/>
    <x v="0"/>
    <x v="0"/>
    <s v=""/>
  </r>
  <r>
    <x v="0"/>
    <d v="2017-01-09T00:00:00"/>
    <n v="1947.22"/>
    <x v="0"/>
    <x v="0"/>
    <s v="JRNLWA00348169"/>
    <x v="0"/>
    <x v="0"/>
    <x v="0"/>
    <x v="0"/>
    <x v="0"/>
    <x v="0"/>
    <x v="0"/>
    <x v="8"/>
    <x v="7"/>
    <n v="13253"/>
    <x v="8"/>
    <x v="0"/>
    <x v="0"/>
    <s v="VO04166261"/>
    <s v="JRNL00827837"/>
    <x v="0"/>
    <d v="2017-01-09T00:00:00"/>
    <d v="2017-01-09T00:00:00"/>
    <x v="0"/>
    <d v="2017-03-07T00:00:00"/>
    <x v="0"/>
    <x v="0"/>
    <x v="0"/>
    <x v="0"/>
    <x v="0"/>
    <x v="0"/>
    <x v="0"/>
    <x v="0"/>
    <x v="0"/>
    <x v="0"/>
    <x v="0"/>
    <x v="0"/>
    <x v="0"/>
    <x v="0"/>
    <x v="0"/>
    <s v="VO04166261"/>
  </r>
  <r>
    <x v="0"/>
    <d v="2017-01-12T00:00:00"/>
    <n v="103.5"/>
    <x v="0"/>
    <x v="0"/>
    <s v="JRNLWA00348509"/>
    <x v="0"/>
    <x v="0"/>
    <x v="0"/>
    <x v="0"/>
    <x v="8"/>
    <x v="0"/>
    <x v="2"/>
    <x v="9"/>
    <x v="8"/>
    <s v="FEB-APR17 153288"/>
    <x v="9"/>
    <x v="0"/>
    <x v="0"/>
    <s v="VO04170010"/>
    <s v="JRNL00828422"/>
    <x v="1"/>
    <d v="2017-01-12T00:00:00"/>
    <d v="2017-01-13T00:00:00"/>
    <x v="2"/>
    <d v="2017-01-13T00:00:00"/>
    <x v="0"/>
    <x v="0"/>
    <x v="0"/>
    <x v="0"/>
    <x v="0"/>
    <x v="0"/>
    <x v="0"/>
    <x v="0"/>
    <x v="0"/>
    <x v="0"/>
    <x v="0"/>
    <x v="0"/>
    <x v="0"/>
    <x v="0"/>
    <x v="0"/>
    <s v="VO04170010"/>
  </r>
  <r>
    <x v="0"/>
    <d v="2017-01-18T00:00:00"/>
    <n v="560"/>
    <x v="0"/>
    <x v="0"/>
    <s v="JRNLWA00348560"/>
    <x v="0"/>
    <x v="0"/>
    <x v="0"/>
    <x v="0"/>
    <x v="9"/>
    <x v="0"/>
    <x v="14"/>
    <x v="10"/>
    <x v="9"/>
    <n v="4561"/>
    <x v="10"/>
    <x v="0"/>
    <x v="0"/>
    <s v="VO04175206"/>
    <s v="JRNL00828754"/>
    <x v="1"/>
    <d v="2017-01-18T00:00:00"/>
    <d v="2017-01-23T00:00:00"/>
    <x v="8"/>
    <d v="2017-01-12T00:00:00"/>
    <x v="0"/>
    <x v="0"/>
    <x v="0"/>
    <x v="0"/>
    <x v="0"/>
    <x v="0"/>
    <x v="0"/>
    <x v="0"/>
    <x v="0"/>
    <x v="0"/>
    <x v="0"/>
    <x v="0"/>
    <x v="0"/>
    <x v="0"/>
    <x v="0"/>
    <s v="VO04175206"/>
  </r>
  <r>
    <x v="0"/>
    <d v="2017-01-18T00:00:00"/>
    <n v="600"/>
    <x v="0"/>
    <x v="0"/>
    <s v="JRNLWA00348560"/>
    <x v="0"/>
    <x v="0"/>
    <x v="0"/>
    <x v="0"/>
    <x v="5"/>
    <x v="0"/>
    <x v="9"/>
    <x v="8"/>
    <x v="10"/>
    <s v="1QTR DUES"/>
    <x v="11"/>
    <x v="0"/>
    <x v="0"/>
    <s v="VO04175208"/>
    <s v="JRNL00828754"/>
    <x v="1"/>
    <d v="2017-01-18T00:00:00"/>
    <d v="2017-01-23T00:00:00"/>
    <x v="5"/>
    <d v="2017-03-07T00:00:00"/>
    <x v="0"/>
    <x v="0"/>
    <x v="0"/>
    <x v="0"/>
    <x v="0"/>
    <x v="0"/>
    <x v="0"/>
    <x v="0"/>
    <x v="0"/>
    <x v="0"/>
    <x v="0"/>
    <x v="0"/>
    <x v="0"/>
    <x v="0"/>
    <x v="0"/>
    <s v="VO04175208"/>
  </r>
  <r>
    <x v="0"/>
    <d v="2017-01-18T00:00:00"/>
    <n v="170"/>
    <x v="0"/>
    <x v="0"/>
    <s v="JRNLWA00348561"/>
    <x v="0"/>
    <x v="0"/>
    <x v="0"/>
    <x v="0"/>
    <x v="10"/>
    <x v="0"/>
    <x v="15"/>
    <x v="11"/>
    <x v="11"/>
    <n v="2409"/>
    <x v="12"/>
    <x v="0"/>
    <x v="0"/>
    <s v="VO04175544"/>
    <s v="JRNL00828756"/>
    <x v="1"/>
    <d v="2017-01-18T00:00:00"/>
    <d v="2017-01-23T00:00:00"/>
    <x v="3"/>
    <d v="2017-01-20T00:00:00"/>
    <x v="0"/>
    <x v="0"/>
    <x v="0"/>
    <x v="0"/>
    <x v="0"/>
    <x v="0"/>
    <x v="0"/>
    <x v="0"/>
    <x v="0"/>
    <x v="0"/>
    <x v="0"/>
    <x v="0"/>
    <x v="0"/>
    <x v="0"/>
    <x v="0"/>
    <s v="VO04175544"/>
  </r>
  <r>
    <x v="0"/>
    <d v="2017-01-25T00:00:00"/>
    <n v="250"/>
    <x v="0"/>
    <x v="0"/>
    <s v="JRNLWA00348652"/>
    <x v="0"/>
    <x v="0"/>
    <x v="0"/>
    <x v="0"/>
    <x v="11"/>
    <x v="0"/>
    <x v="16"/>
    <x v="12"/>
    <x v="12"/>
    <n v="47111"/>
    <x v="13"/>
    <x v="0"/>
    <x v="0"/>
    <s v="VO04183768"/>
    <s v="JRNL00829137"/>
    <x v="0"/>
    <d v="2017-01-25T00:00:00"/>
    <d v="2017-01-27T00:00:00"/>
    <x v="9"/>
    <d v="2016-12-12T00:00:00"/>
    <x v="0"/>
    <x v="0"/>
    <x v="0"/>
    <x v="0"/>
    <x v="0"/>
    <x v="0"/>
    <x v="0"/>
    <x v="0"/>
    <x v="0"/>
    <x v="0"/>
    <x v="0"/>
    <x v="0"/>
    <x v="0"/>
    <x v="0"/>
    <x v="0"/>
    <s v="VO04183768"/>
  </r>
  <r>
    <x v="0"/>
    <d v="2017-01-31T00:00:00"/>
    <n v="605"/>
    <x v="0"/>
    <x v="0"/>
    <s v="JRNLWA00349054"/>
    <x v="0"/>
    <x v="6"/>
    <x v="1"/>
    <x v="0"/>
    <x v="4"/>
    <x v="0"/>
    <x v="17"/>
    <x v="3"/>
    <x v="1"/>
    <m/>
    <x v="1"/>
    <x v="0"/>
    <x v="0"/>
    <s v="JRNL00830275"/>
    <s v="JRNL00830275"/>
    <x v="2"/>
    <d v="2017-02-03T00:00:00"/>
    <d v="2017-02-03T00:00:00"/>
    <x v="4"/>
    <m/>
    <x v="0"/>
    <x v="0"/>
    <x v="0"/>
    <x v="0"/>
    <x v="0"/>
    <x v="0"/>
    <x v="0"/>
    <x v="0"/>
    <x v="0"/>
    <x v="0"/>
    <x v="0"/>
    <x v="0"/>
    <x v="0"/>
    <x v="0"/>
    <x v="0"/>
    <s v=""/>
  </r>
  <r>
    <x v="0"/>
    <d v="2017-01-31T00:00:00"/>
    <n v="516"/>
    <x v="0"/>
    <x v="0"/>
    <s v="JRNLWA00349054"/>
    <x v="0"/>
    <x v="6"/>
    <x v="1"/>
    <x v="0"/>
    <x v="4"/>
    <x v="0"/>
    <x v="18"/>
    <x v="3"/>
    <x v="1"/>
    <m/>
    <x v="1"/>
    <x v="0"/>
    <x v="0"/>
    <s v="JRNL00830275"/>
    <s v="JRNL00830275"/>
    <x v="2"/>
    <d v="2017-02-03T00:00:00"/>
    <d v="2017-02-03T00:00:00"/>
    <x v="4"/>
    <m/>
    <x v="0"/>
    <x v="0"/>
    <x v="0"/>
    <x v="0"/>
    <x v="0"/>
    <x v="0"/>
    <x v="0"/>
    <x v="0"/>
    <x v="0"/>
    <x v="0"/>
    <x v="0"/>
    <x v="0"/>
    <x v="0"/>
    <x v="0"/>
    <x v="0"/>
    <s v=""/>
  </r>
  <r>
    <x v="0"/>
    <d v="2017-01-31T00:00:00"/>
    <n v="279"/>
    <x v="0"/>
    <x v="0"/>
    <s v="JRNLWA00349054"/>
    <x v="0"/>
    <x v="6"/>
    <x v="1"/>
    <x v="0"/>
    <x v="4"/>
    <x v="0"/>
    <x v="19"/>
    <x v="3"/>
    <x v="1"/>
    <m/>
    <x v="1"/>
    <x v="0"/>
    <x v="0"/>
    <s v="JRNL00830275"/>
    <s v="JRNL00830275"/>
    <x v="2"/>
    <d v="2017-02-03T00:00:00"/>
    <d v="2017-02-03T00:00:00"/>
    <x v="4"/>
    <m/>
    <x v="0"/>
    <x v="0"/>
    <x v="0"/>
    <x v="0"/>
    <x v="0"/>
    <x v="0"/>
    <x v="0"/>
    <x v="0"/>
    <x v="0"/>
    <x v="0"/>
    <x v="0"/>
    <x v="0"/>
    <x v="0"/>
    <x v="0"/>
    <x v="0"/>
    <s v=""/>
  </r>
  <r>
    <x v="0"/>
    <d v="2017-01-31T00:00:00"/>
    <n v="208.33"/>
    <x v="0"/>
    <x v="0"/>
    <s v="JRNLWA00349426"/>
    <x v="0"/>
    <x v="3"/>
    <x v="2"/>
    <x v="1"/>
    <x v="4"/>
    <x v="0"/>
    <x v="6"/>
    <x v="3"/>
    <x v="1"/>
    <m/>
    <x v="1"/>
    <x v="0"/>
    <x v="0"/>
    <s v="JRNLWA00349426"/>
    <m/>
    <x v="2"/>
    <d v="2017-02-06T00:00:00"/>
    <d v="2017-02-07T00:00:00"/>
    <x v="4"/>
    <m/>
    <x v="0"/>
    <x v="0"/>
    <x v="0"/>
    <x v="0"/>
    <x v="0"/>
    <x v="0"/>
    <x v="0"/>
    <x v="0"/>
    <x v="0"/>
    <x v="0"/>
    <x v="0"/>
    <x v="0"/>
    <x v="0"/>
    <x v="0"/>
    <x v="0"/>
    <s v=""/>
  </r>
  <r>
    <x v="1"/>
    <d v="2017-01-31T00:00:00"/>
    <n v="5"/>
    <x v="0"/>
    <x v="0"/>
    <s v="JRNLWA00349480"/>
    <x v="0"/>
    <x v="1"/>
    <x v="3"/>
    <x v="0"/>
    <x v="4"/>
    <x v="0"/>
    <x v="20"/>
    <x v="3"/>
    <x v="1"/>
    <m/>
    <x v="1"/>
    <x v="0"/>
    <x v="0"/>
    <s v="JRNL00831500"/>
    <s v="JRNL00831500"/>
    <x v="2"/>
    <d v="2017-02-06T00:00:00"/>
    <d v="2017-02-07T00:00:00"/>
    <x v="4"/>
    <m/>
    <x v="0"/>
    <x v="0"/>
    <x v="0"/>
    <x v="0"/>
    <x v="0"/>
    <x v="0"/>
    <x v="0"/>
    <x v="0"/>
    <x v="0"/>
    <x v="1"/>
    <x v="0"/>
    <x v="0"/>
    <x v="0"/>
    <x v="0"/>
    <x v="0"/>
    <s v=""/>
  </r>
  <r>
    <x v="0"/>
    <d v="2017-02-03T00:00:00"/>
    <n v="1951.09"/>
    <x v="0"/>
    <x v="0"/>
    <s v="JRNLWA00348931"/>
    <x v="0"/>
    <x v="0"/>
    <x v="0"/>
    <x v="0"/>
    <x v="0"/>
    <x v="0"/>
    <x v="0"/>
    <x v="13"/>
    <x v="13"/>
    <n v="13305"/>
    <x v="14"/>
    <x v="0"/>
    <x v="0"/>
    <s v="VO04192647"/>
    <s v="JRNL00830163"/>
    <x v="0"/>
    <d v="2017-02-03T00:00:00"/>
    <d v="2017-02-03T00:00:00"/>
    <x v="10"/>
    <d v="2017-04-07T00:00:00"/>
    <x v="0"/>
    <x v="0"/>
    <x v="0"/>
    <x v="0"/>
    <x v="0"/>
    <x v="0"/>
    <x v="0"/>
    <x v="0"/>
    <x v="0"/>
    <x v="0"/>
    <x v="0"/>
    <x v="0"/>
    <x v="0"/>
    <x v="0"/>
    <x v="0"/>
    <s v="VO04192647"/>
  </r>
  <r>
    <x v="1"/>
    <d v="2017-02-14T00:00:00"/>
    <n v="5"/>
    <x v="0"/>
    <x v="0"/>
    <s v="JRNLWA00350052"/>
    <x v="0"/>
    <x v="0"/>
    <x v="0"/>
    <x v="0"/>
    <x v="1"/>
    <x v="0"/>
    <x v="1"/>
    <x v="14"/>
    <x v="1"/>
    <s v="1/1-1/31/2017"/>
    <x v="1"/>
    <x v="0"/>
    <x v="0"/>
    <s v="VO04201373"/>
    <s v="JRNL00832583"/>
    <x v="1"/>
    <d v="2017-02-14T00:00:00"/>
    <d v="2017-02-21T00:00:00"/>
    <x v="11"/>
    <d v="2017-02-01T00:00:00"/>
    <x v="0"/>
    <x v="0"/>
    <x v="0"/>
    <x v="0"/>
    <x v="0"/>
    <x v="0"/>
    <x v="0"/>
    <x v="0"/>
    <x v="0"/>
    <x v="1"/>
    <x v="0"/>
    <x v="0"/>
    <x v="0"/>
    <x v="0"/>
    <x v="0"/>
    <s v="VO04201373"/>
  </r>
  <r>
    <x v="1"/>
    <d v="2017-02-28T00:00:00"/>
    <n v="-5"/>
    <x v="0"/>
    <x v="0"/>
    <s v="JRNLWA00349567"/>
    <x v="0"/>
    <x v="1"/>
    <x v="3"/>
    <x v="0"/>
    <x v="4"/>
    <x v="0"/>
    <x v="20"/>
    <x v="3"/>
    <x v="1"/>
    <m/>
    <x v="1"/>
    <x v="0"/>
    <x v="0"/>
    <s v="JRNL00831500"/>
    <s v="JRNL00831621"/>
    <x v="2"/>
    <d v="2017-02-07T00:00:00"/>
    <d v="2017-02-07T00:00:00"/>
    <x v="4"/>
    <m/>
    <x v="0"/>
    <x v="0"/>
    <x v="0"/>
    <x v="0"/>
    <x v="0"/>
    <x v="1"/>
    <x v="0"/>
    <x v="0"/>
    <x v="0"/>
    <x v="1"/>
    <x v="0"/>
    <x v="0"/>
    <x v="0"/>
    <x v="0"/>
    <x v="0"/>
    <s v=""/>
  </r>
  <r>
    <x v="0"/>
    <d v="2017-02-28T00:00:00"/>
    <n v="208.33"/>
    <x v="0"/>
    <x v="0"/>
    <s v="JRNLWA00350814"/>
    <x v="0"/>
    <x v="3"/>
    <x v="5"/>
    <x v="1"/>
    <x v="4"/>
    <x v="0"/>
    <x v="6"/>
    <x v="3"/>
    <x v="1"/>
    <m/>
    <x v="1"/>
    <x v="0"/>
    <x v="0"/>
    <s v="JRNLWA00350814"/>
    <m/>
    <x v="2"/>
    <d v="2017-03-05T00:00:00"/>
    <d v="2017-03-06T00:00:00"/>
    <x v="4"/>
    <m/>
    <x v="0"/>
    <x v="0"/>
    <x v="0"/>
    <x v="0"/>
    <x v="0"/>
    <x v="0"/>
    <x v="0"/>
    <x v="0"/>
    <x v="0"/>
    <x v="0"/>
    <x v="0"/>
    <x v="0"/>
    <x v="0"/>
    <x v="0"/>
    <x v="0"/>
    <s v=""/>
  </r>
  <r>
    <x v="0"/>
    <d v="2017-03-03T00:00:00"/>
    <n v="208"/>
    <x v="0"/>
    <x v="0"/>
    <s v="JRNLWA00350516"/>
    <x v="0"/>
    <x v="0"/>
    <x v="0"/>
    <x v="0"/>
    <x v="6"/>
    <x v="0"/>
    <x v="12"/>
    <x v="15"/>
    <x v="14"/>
    <n v="176910"/>
    <x v="15"/>
    <x v="0"/>
    <x v="0"/>
    <s v="VO04220208"/>
    <s v="JRNL00833985"/>
    <x v="0"/>
    <d v="2017-03-03T00:00:00"/>
    <d v="2017-03-03T00:00:00"/>
    <x v="12"/>
    <d v="2017-03-11T00:00:00"/>
    <x v="0"/>
    <x v="0"/>
    <x v="0"/>
    <x v="0"/>
    <x v="0"/>
    <x v="0"/>
    <x v="0"/>
    <x v="0"/>
    <x v="0"/>
    <x v="0"/>
    <x v="0"/>
    <x v="0"/>
    <x v="0"/>
    <x v="0"/>
    <x v="0"/>
    <s v="VO04220208"/>
  </r>
  <r>
    <x v="1"/>
    <d v="2017-03-07T00:00:00"/>
    <n v="10"/>
    <x v="0"/>
    <x v="0"/>
    <s v="JRNLWA00351046"/>
    <x v="0"/>
    <x v="0"/>
    <x v="0"/>
    <x v="0"/>
    <x v="1"/>
    <x v="0"/>
    <x v="1"/>
    <x v="16"/>
    <x v="1"/>
    <s v="2/1-2/28/2017"/>
    <x v="1"/>
    <x v="0"/>
    <x v="0"/>
    <s v="VO04221294"/>
    <s v="JRNL00835527"/>
    <x v="1"/>
    <d v="2017-03-07T00:00:00"/>
    <d v="2017-03-07T00:00:00"/>
    <x v="13"/>
    <d v="2017-03-01T00:00:00"/>
    <x v="0"/>
    <x v="0"/>
    <x v="0"/>
    <x v="0"/>
    <x v="0"/>
    <x v="0"/>
    <x v="0"/>
    <x v="0"/>
    <x v="0"/>
    <x v="1"/>
    <x v="0"/>
    <x v="0"/>
    <x v="0"/>
    <x v="0"/>
    <x v="0"/>
    <s v="VO04221294"/>
  </r>
  <r>
    <x v="0"/>
    <d v="2017-03-09T00:00:00"/>
    <n v="1947.22"/>
    <x v="0"/>
    <x v="0"/>
    <s v="JRNLWA00351492"/>
    <x v="0"/>
    <x v="0"/>
    <x v="0"/>
    <x v="0"/>
    <x v="0"/>
    <x v="0"/>
    <x v="0"/>
    <x v="15"/>
    <x v="15"/>
    <n v="13332"/>
    <x v="16"/>
    <x v="0"/>
    <x v="0"/>
    <s v="VO04226137"/>
    <s v="JRNL00836115"/>
    <x v="0"/>
    <d v="2017-03-10T00:00:00"/>
    <d v="2017-03-14T00:00:00"/>
    <x v="0"/>
    <d v="2017-05-05T00:00:00"/>
    <x v="0"/>
    <x v="0"/>
    <x v="0"/>
    <x v="0"/>
    <x v="0"/>
    <x v="0"/>
    <x v="0"/>
    <x v="0"/>
    <x v="0"/>
    <x v="0"/>
    <x v="0"/>
    <x v="0"/>
    <x v="0"/>
    <x v="0"/>
    <x v="0"/>
    <s v="VO04226137"/>
  </r>
  <r>
    <x v="0"/>
    <d v="2017-03-31T00:00:00"/>
    <n v="208.32"/>
    <x v="0"/>
    <x v="0"/>
    <s v="JRNLWA00352388"/>
    <x v="0"/>
    <x v="3"/>
    <x v="5"/>
    <x v="1"/>
    <x v="4"/>
    <x v="0"/>
    <x v="6"/>
    <x v="3"/>
    <x v="1"/>
    <m/>
    <x v="1"/>
    <x v="0"/>
    <x v="0"/>
    <s v="JRNLWA00352388"/>
    <m/>
    <x v="2"/>
    <d v="2017-04-06T00:00:00"/>
    <d v="2017-04-06T00:00:00"/>
    <x v="4"/>
    <m/>
    <x v="0"/>
    <x v="0"/>
    <x v="0"/>
    <x v="0"/>
    <x v="0"/>
    <x v="0"/>
    <x v="0"/>
    <x v="0"/>
    <x v="0"/>
    <x v="0"/>
    <x v="0"/>
    <x v="0"/>
    <x v="0"/>
    <x v="0"/>
    <x v="0"/>
    <s v=""/>
  </r>
  <r>
    <x v="1"/>
    <d v="2017-03-31T00:00:00"/>
    <n v="10"/>
    <x v="0"/>
    <x v="0"/>
    <s v="JRNLWA00352725"/>
    <x v="0"/>
    <x v="1"/>
    <x v="1"/>
    <x v="0"/>
    <x v="4"/>
    <x v="0"/>
    <x v="21"/>
    <x v="3"/>
    <x v="1"/>
    <m/>
    <x v="1"/>
    <x v="0"/>
    <x v="0"/>
    <s v="JRNL00839465"/>
    <s v="JRNL00839465"/>
    <x v="2"/>
    <d v="2017-04-06T00:00:00"/>
    <d v="2017-04-07T00:00:00"/>
    <x v="4"/>
    <m/>
    <x v="0"/>
    <x v="0"/>
    <x v="0"/>
    <x v="0"/>
    <x v="0"/>
    <x v="0"/>
    <x v="0"/>
    <x v="0"/>
    <x v="0"/>
    <x v="1"/>
    <x v="0"/>
    <x v="0"/>
    <x v="0"/>
    <x v="0"/>
    <x v="0"/>
    <s v=""/>
  </r>
  <r>
    <x v="0"/>
    <d v="2017-04-07T00:00:00"/>
    <n v="103.5"/>
    <x v="0"/>
    <x v="0"/>
    <s v="JRNLWA00352619"/>
    <x v="0"/>
    <x v="0"/>
    <x v="0"/>
    <x v="0"/>
    <x v="8"/>
    <x v="0"/>
    <x v="2"/>
    <x v="17"/>
    <x v="16"/>
    <s v="MAY-JUL17 153288"/>
    <x v="17"/>
    <x v="0"/>
    <x v="0"/>
    <s v="VO04252712"/>
    <s v="JRNL00839507"/>
    <x v="1"/>
    <d v="2017-04-07T00:00:00"/>
    <d v="2017-04-07T00:00:00"/>
    <x v="2"/>
    <d v="2017-04-11T00:00:00"/>
    <x v="0"/>
    <x v="0"/>
    <x v="0"/>
    <x v="0"/>
    <x v="0"/>
    <x v="0"/>
    <x v="0"/>
    <x v="0"/>
    <x v="0"/>
    <x v="0"/>
    <x v="0"/>
    <x v="0"/>
    <x v="0"/>
    <x v="0"/>
    <x v="0"/>
    <s v="VO04252712"/>
  </r>
  <r>
    <x v="0"/>
    <d v="2017-04-12T00:00:00"/>
    <n v="1951.11"/>
    <x v="0"/>
    <x v="0"/>
    <s v="JRNLWA00353071"/>
    <x v="0"/>
    <x v="0"/>
    <x v="4"/>
    <x v="0"/>
    <x v="0"/>
    <x v="0"/>
    <x v="0"/>
    <x v="17"/>
    <x v="17"/>
    <n v="13359"/>
    <x v="18"/>
    <x v="0"/>
    <x v="0"/>
    <s v="VO04255529"/>
    <s v="JRNL00840219"/>
    <x v="0"/>
    <d v="2017-04-12T00:00:00"/>
    <d v="2017-04-18T00:00:00"/>
    <x v="0"/>
    <d v="2017-06-05T00:00:00"/>
    <x v="0"/>
    <x v="0"/>
    <x v="0"/>
    <x v="0"/>
    <x v="0"/>
    <x v="0"/>
    <x v="0"/>
    <x v="0"/>
    <x v="0"/>
    <x v="0"/>
    <x v="0"/>
    <x v="0"/>
    <x v="0"/>
    <x v="0"/>
    <x v="0"/>
    <s v="VO04255529"/>
  </r>
  <r>
    <x v="1"/>
    <d v="2017-04-13T00:00:00"/>
    <n v="10"/>
    <x v="0"/>
    <x v="0"/>
    <s v="JRNLWA00353092"/>
    <x v="0"/>
    <x v="0"/>
    <x v="4"/>
    <x v="0"/>
    <x v="1"/>
    <x v="0"/>
    <x v="1"/>
    <x v="18"/>
    <x v="1"/>
    <s v="3/1-3/31/2017"/>
    <x v="1"/>
    <x v="0"/>
    <x v="0"/>
    <s v="VO04258000"/>
    <s v="JRNL00840267"/>
    <x v="1"/>
    <d v="2017-04-13T00:00:00"/>
    <d v="2017-04-18T00:00:00"/>
    <x v="14"/>
    <d v="2017-04-01T00:00:00"/>
    <x v="0"/>
    <x v="0"/>
    <x v="0"/>
    <x v="0"/>
    <x v="0"/>
    <x v="0"/>
    <x v="0"/>
    <x v="0"/>
    <x v="0"/>
    <x v="1"/>
    <x v="0"/>
    <x v="0"/>
    <x v="0"/>
    <x v="0"/>
    <x v="0"/>
    <s v="VO04258000"/>
  </r>
  <r>
    <x v="0"/>
    <d v="2017-04-13T00:00:00"/>
    <n v="170"/>
    <x v="0"/>
    <x v="0"/>
    <s v="JRNLWA00353099"/>
    <x v="0"/>
    <x v="0"/>
    <x v="4"/>
    <x v="0"/>
    <x v="10"/>
    <x v="0"/>
    <x v="15"/>
    <x v="19"/>
    <x v="18"/>
    <n v="2458"/>
    <x v="19"/>
    <x v="0"/>
    <x v="0"/>
    <s v="VO04258986"/>
    <s v="JRNL00840343"/>
    <x v="1"/>
    <d v="2017-04-13T00:00:00"/>
    <d v="2017-04-18T00:00:00"/>
    <x v="3"/>
    <d v="2017-04-20T00:00:00"/>
    <x v="0"/>
    <x v="0"/>
    <x v="0"/>
    <x v="0"/>
    <x v="0"/>
    <x v="0"/>
    <x v="0"/>
    <x v="0"/>
    <x v="0"/>
    <x v="0"/>
    <x v="0"/>
    <x v="0"/>
    <x v="0"/>
    <x v="0"/>
    <x v="0"/>
    <s v="VO04258986"/>
  </r>
  <r>
    <x v="1"/>
    <d v="2017-04-30T00:00:00"/>
    <n v="-10"/>
    <x v="0"/>
    <x v="0"/>
    <s v="JRNLWA00352858"/>
    <x v="0"/>
    <x v="1"/>
    <x v="6"/>
    <x v="0"/>
    <x v="4"/>
    <x v="0"/>
    <x v="21"/>
    <x v="3"/>
    <x v="1"/>
    <m/>
    <x v="1"/>
    <x v="0"/>
    <x v="0"/>
    <s v="JRNL00839465"/>
    <s v="JRNL00839619"/>
    <x v="2"/>
    <d v="2017-04-07T00:00:00"/>
    <d v="2017-04-07T00:00:00"/>
    <x v="4"/>
    <m/>
    <x v="0"/>
    <x v="0"/>
    <x v="0"/>
    <x v="0"/>
    <x v="0"/>
    <x v="1"/>
    <x v="0"/>
    <x v="0"/>
    <x v="0"/>
    <x v="1"/>
    <x v="0"/>
    <x v="0"/>
    <x v="0"/>
    <x v="0"/>
    <x v="0"/>
    <s v=""/>
  </r>
  <r>
    <x v="0"/>
    <d v="2017-04-30T00:00:00"/>
    <n v="208.32"/>
    <x v="0"/>
    <x v="0"/>
    <s v="JRNLWA00354050"/>
    <x v="0"/>
    <x v="3"/>
    <x v="5"/>
    <x v="1"/>
    <x v="4"/>
    <x v="0"/>
    <x v="6"/>
    <x v="3"/>
    <x v="1"/>
    <m/>
    <x v="1"/>
    <x v="0"/>
    <x v="0"/>
    <s v="JRNLWA00354050"/>
    <m/>
    <x v="2"/>
    <d v="2017-05-04T00:00:00"/>
    <d v="2017-05-04T00:00:00"/>
    <x v="4"/>
    <m/>
    <x v="0"/>
    <x v="0"/>
    <x v="0"/>
    <x v="0"/>
    <x v="0"/>
    <x v="0"/>
    <x v="0"/>
    <x v="0"/>
    <x v="0"/>
    <x v="0"/>
    <x v="0"/>
    <x v="0"/>
    <x v="0"/>
    <x v="0"/>
    <x v="0"/>
    <s v=""/>
  </r>
  <r>
    <x v="1"/>
    <d v="2017-05-11T00:00:00"/>
    <n v="5"/>
    <x v="0"/>
    <x v="0"/>
    <s v="JRNLWA00354603"/>
    <x v="0"/>
    <x v="0"/>
    <x v="0"/>
    <x v="0"/>
    <x v="1"/>
    <x v="0"/>
    <x v="1"/>
    <x v="20"/>
    <x v="1"/>
    <s v="4/1-4/30/2017"/>
    <x v="1"/>
    <x v="0"/>
    <x v="0"/>
    <s v="VO04287566"/>
    <s v="JRNL00843982"/>
    <x v="1"/>
    <d v="2017-05-11T00:00:00"/>
    <d v="2017-05-15T00:00:00"/>
    <x v="15"/>
    <d v="2017-05-01T00:00:00"/>
    <x v="0"/>
    <x v="0"/>
    <x v="0"/>
    <x v="0"/>
    <x v="0"/>
    <x v="0"/>
    <x v="0"/>
    <x v="0"/>
    <x v="0"/>
    <x v="1"/>
    <x v="0"/>
    <x v="0"/>
    <x v="0"/>
    <x v="0"/>
    <x v="0"/>
    <s v="VO04287566"/>
  </r>
  <r>
    <x v="0"/>
    <d v="2017-05-17T00:00:00"/>
    <n v="1951.09"/>
    <x v="0"/>
    <x v="0"/>
    <s v="JRNLWA00354681"/>
    <x v="0"/>
    <x v="0"/>
    <x v="0"/>
    <x v="0"/>
    <x v="0"/>
    <x v="0"/>
    <x v="0"/>
    <x v="21"/>
    <x v="19"/>
    <n v="13423"/>
    <x v="20"/>
    <x v="0"/>
    <x v="0"/>
    <s v="VO04292441"/>
    <s v="JRNL00844227"/>
    <x v="0"/>
    <d v="2017-05-17T00:00:00"/>
    <d v="2017-05-17T00:00:00"/>
    <x v="0"/>
    <d v="2017-07-05T00:00:00"/>
    <x v="0"/>
    <x v="0"/>
    <x v="0"/>
    <x v="0"/>
    <x v="0"/>
    <x v="0"/>
    <x v="0"/>
    <x v="0"/>
    <x v="0"/>
    <x v="0"/>
    <x v="0"/>
    <x v="0"/>
    <x v="0"/>
    <x v="0"/>
    <x v="0"/>
    <s v="VO04292441"/>
  </r>
  <r>
    <x v="0"/>
    <d v="2017-05-31T00:00:00"/>
    <n v="1240"/>
    <x v="0"/>
    <x v="0"/>
    <s v="JRNLWA00354865"/>
    <x v="0"/>
    <x v="0"/>
    <x v="0"/>
    <x v="0"/>
    <x v="0"/>
    <x v="0"/>
    <x v="0"/>
    <x v="22"/>
    <x v="20"/>
    <n v="13501"/>
    <x v="21"/>
    <x v="0"/>
    <x v="0"/>
    <s v="VO04305736"/>
    <s v="JRNL00845060"/>
    <x v="0"/>
    <d v="2017-06-01T00:00:00"/>
    <d v="2017-06-01T00:00:00"/>
    <x v="16"/>
    <d v="2017-07-28T00:00:00"/>
    <x v="0"/>
    <x v="0"/>
    <x v="0"/>
    <x v="0"/>
    <x v="0"/>
    <x v="0"/>
    <x v="0"/>
    <x v="0"/>
    <x v="0"/>
    <x v="0"/>
    <x v="0"/>
    <x v="0"/>
    <x v="0"/>
    <x v="0"/>
    <x v="0"/>
    <s v="VO04305736"/>
  </r>
  <r>
    <x v="0"/>
    <d v="2017-05-31T00:00:00"/>
    <n v="208.32"/>
    <x v="0"/>
    <x v="0"/>
    <s v="JRNLWA00355551"/>
    <x v="0"/>
    <x v="3"/>
    <x v="5"/>
    <x v="1"/>
    <x v="4"/>
    <x v="0"/>
    <x v="6"/>
    <x v="3"/>
    <x v="1"/>
    <m/>
    <x v="1"/>
    <x v="0"/>
    <x v="0"/>
    <s v="JRNLWA00355551"/>
    <m/>
    <x v="2"/>
    <d v="2017-06-06T00:00:00"/>
    <d v="2017-06-06T00:00:00"/>
    <x v="4"/>
    <m/>
    <x v="0"/>
    <x v="0"/>
    <x v="0"/>
    <x v="0"/>
    <x v="0"/>
    <x v="0"/>
    <x v="0"/>
    <x v="0"/>
    <x v="0"/>
    <x v="0"/>
    <x v="0"/>
    <x v="0"/>
    <x v="0"/>
    <x v="0"/>
    <x v="0"/>
    <s v=""/>
  </r>
  <r>
    <x v="0"/>
    <d v="2017-05-31T00:00:00"/>
    <n v="600"/>
    <x v="0"/>
    <x v="0"/>
    <s v="JRNLWA00355650"/>
    <x v="0"/>
    <x v="2"/>
    <x v="3"/>
    <x v="0"/>
    <x v="4"/>
    <x v="0"/>
    <x v="22"/>
    <x v="3"/>
    <x v="1"/>
    <m/>
    <x v="1"/>
    <x v="0"/>
    <x v="0"/>
    <s v="JRNL00846908"/>
    <s v="JRNL00846908"/>
    <x v="2"/>
    <d v="2017-06-06T00:00:00"/>
    <d v="2017-06-06T00:00:00"/>
    <x v="4"/>
    <m/>
    <x v="0"/>
    <x v="0"/>
    <x v="0"/>
    <x v="0"/>
    <x v="0"/>
    <x v="0"/>
    <x v="0"/>
    <x v="0"/>
    <x v="0"/>
    <x v="0"/>
    <x v="0"/>
    <x v="0"/>
    <x v="0"/>
    <x v="0"/>
    <x v="0"/>
    <s v=""/>
  </r>
  <r>
    <x v="0"/>
    <d v="2017-06-08T00:00:00"/>
    <n v="600"/>
    <x v="0"/>
    <x v="0"/>
    <s v="JRNLWA00356114"/>
    <x v="0"/>
    <x v="0"/>
    <x v="0"/>
    <x v="0"/>
    <x v="5"/>
    <x v="0"/>
    <x v="9"/>
    <x v="17"/>
    <x v="21"/>
    <s v="2017 2QTR DUES"/>
    <x v="22"/>
    <x v="0"/>
    <x v="0"/>
    <s v="VO04311888"/>
    <s v="JRNL00847533"/>
    <x v="1"/>
    <d v="2017-06-08T00:00:00"/>
    <d v="2017-06-08T00:00:00"/>
    <x v="5"/>
    <d v="2017-06-05T00:00:00"/>
    <x v="0"/>
    <x v="0"/>
    <x v="0"/>
    <x v="0"/>
    <x v="0"/>
    <x v="0"/>
    <x v="0"/>
    <x v="0"/>
    <x v="0"/>
    <x v="0"/>
    <x v="0"/>
    <x v="0"/>
    <x v="0"/>
    <x v="0"/>
    <x v="0"/>
    <s v="VO04311888"/>
  </r>
  <r>
    <x v="0"/>
    <d v="2017-06-30T00:00:00"/>
    <n v="-600"/>
    <x v="0"/>
    <x v="0"/>
    <s v="JRNLWA00355845"/>
    <x v="0"/>
    <x v="2"/>
    <x v="3"/>
    <x v="0"/>
    <x v="4"/>
    <x v="0"/>
    <x v="22"/>
    <x v="3"/>
    <x v="1"/>
    <m/>
    <x v="1"/>
    <x v="0"/>
    <x v="0"/>
    <s v="JRNL00846908"/>
    <s v="JRNL00846938"/>
    <x v="2"/>
    <d v="2017-06-06T00:00:00"/>
    <d v="2017-06-07T00:00:00"/>
    <x v="4"/>
    <m/>
    <x v="0"/>
    <x v="0"/>
    <x v="0"/>
    <x v="0"/>
    <x v="0"/>
    <x v="1"/>
    <x v="0"/>
    <x v="0"/>
    <x v="0"/>
    <x v="0"/>
    <x v="0"/>
    <x v="0"/>
    <x v="0"/>
    <x v="0"/>
    <x v="0"/>
    <s v=""/>
  </r>
  <r>
    <x v="0"/>
    <d v="2017-06-30T00:00:00"/>
    <n v="62"/>
    <x v="0"/>
    <x v="0"/>
    <s v="JRNLWA00356562"/>
    <x v="0"/>
    <x v="7"/>
    <x v="3"/>
    <x v="0"/>
    <x v="4"/>
    <x v="0"/>
    <x v="23"/>
    <x v="3"/>
    <x v="1"/>
    <m/>
    <x v="1"/>
    <x v="0"/>
    <x v="0"/>
    <s v="JRNL00849664"/>
    <s v="JRNL00849664"/>
    <x v="2"/>
    <d v="2017-07-05T00:00:00"/>
    <d v="2017-07-06T00:00:00"/>
    <x v="4"/>
    <m/>
    <x v="0"/>
    <x v="0"/>
    <x v="0"/>
    <x v="0"/>
    <x v="0"/>
    <x v="0"/>
    <x v="0"/>
    <x v="0"/>
    <x v="0"/>
    <x v="0"/>
    <x v="0"/>
    <x v="0"/>
    <x v="0"/>
    <x v="0"/>
    <x v="0"/>
    <s v=""/>
  </r>
  <r>
    <x v="0"/>
    <d v="2017-06-30T00:00:00"/>
    <n v="300"/>
    <x v="0"/>
    <x v="0"/>
    <s v="JRNLWA00356562"/>
    <x v="0"/>
    <x v="7"/>
    <x v="3"/>
    <x v="0"/>
    <x v="4"/>
    <x v="0"/>
    <x v="24"/>
    <x v="3"/>
    <x v="1"/>
    <m/>
    <x v="1"/>
    <x v="0"/>
    <x v="0"/>
    <s v="JRNL00849664"/>
    <s v="JRNL00849664"/>
    <x v="2"/>
    <d v="2017-07-05T00:00:00"/>
    <d v="2017-07-06T00:00:00"/>
    <x v="4"/>
    <m/>
    <x v="0"/>
    <x v="0"/>
    <x v="0"/>
    <x v="0"/>
    <x v="0"/>
    <x v="0"/>
    <x v="0"/>
    <x v="0"/>
    <x v="0"/>
    <x v="0"/>
    <x v="0"/>
    <x v="0"/>
    <x v="0"/>
    <x v="0"/>
    <x v="0"/>
    <s v=""/>
  </r>
  <r>
    <x v="0"/>
    <d v="2017-06-30T00:00:00"/>
    <n v="208.36"/>
    <x v="0"/>
    <x v="0"/>
    <s v="JRNLWA00357333"/>
    <x v="0"/>
    <x v="3"/>
    <x v="5"/>
    <x v="1"/>
    <x v="4"/>
    <x v="0"/>
    <x v="6"/>
    <x v="3"/>
    <x v="1"/>
    <m/>
    <x v="1"/>
    <x v="0"/>
    <x v="0"/>
    <s v="JRNLWA00357333"/>
    <m/>
    <x v="2"/>
    <d v="2017-07-10T00:00:00"/>
    <d v="2017-07-10T00:00:00"/>
    <x v="4"/>
    <m/>
    <x v="0"/>
    <x v="0"/>
    <x v="0"/>
    <x v="0"/>
    <x v="0"/>
    <x v="0"/>
    <x v="0"/>
    <x v="0"/>
    <x v="0"/>
    <x v="0"/>
    <x v="0"/>
    <x v="0"/>
    <x v="0"/>
    <x v="0"/>
    <x v="0"/>
    <s v=""/>
  </r>
  <r>
    <x v="0"/>
    <d v="2017-06-30T00:00:00"/>
    <n v="1951.09"/>
    <x v="0"/>
    <x v="0"/>
    <s v="JRNLWA00357384"/>
    <x v="0"/>
    <x v="8"/>
    <x v="3"/>
    <x v="0"/>
    <x v="4"/>
    <x v="0"/>
    <x v="25"/>
    <x v="3"/>
    <x v="1"/>
    <m/>
    <x v="1"/>
    <x v="0"/>
    <x v="0"/>
    <s v="JRNL00851453"/>
    <s v="JRNL00851453"/>
    <x v="2"/>
    <d v="2017-07-10T00:00:00"/>
    <d v="2017-07-10T00:00:00"/>
    <x v="4"/>
    <m/>
    <x v="0"/>
    <x v="0"/>
    <x v="0"/>
    <x v="0"/>
    <x v="0"/>
    <x v="0"/>
    <x v="0"/>
    <x v="0"/>
    <x v="0"/>
    <x v="0"/>
    <x v="0"/>
    <x v="0"/>
    <x v="0"/>
    <x v="0"/>
    <x v="0"/>
    <s v=""/>
  </r>
  <r>
    <x v="0"/>
    <d v="2017-07-06T00:00:00"/>
    <n v="103.5"/>
    <x v="0"/>
    <x v="0"/>
    <s v="JRNLWA00356558"/>
    <x v="0"/>
    <x v="0"/>
    <x v="0"/>
    <x v="0"/>
    <x v="8"/>
    <x v="0"/>
    <x v="2"/>
    <x v="23"/>
    <x v="22"/>
    <s v="AUG-OCT17 153288"/>
    <x v="23"/>
    <x v="0"/>
    <x v="0"/>
    <s v="VO04339799"/>
    <s v="JRNL00849674"/>
    <x v="1"/>
    <d v="2017-07-06T00:00:00"/>
    <d v="2017-07-06T00:00:00"/>
    <x v="2"/>
    <d v="2017-07-11T00:00:00"/>
    <x v="0"/>
    <x v="0"/>
    <x v="0"/>
    <x v="0"/>
    <x v="0"/>
    <x v="0"/>
    <x v="0"/>
    <x v="0"/>
    <x v="0"/>
    <x v="0"/>
    <x v="0"/>
    <x v="0"/>
    <x v="0"/>
    <x v="0"/>
    <x v="0"/>
    <s v="VO04339799"/>
  </r>
  <r>
    <x v="0"/>
    <d v="2017-07-07T00:00:00"/>
    <n v="1951.09"/>
    <x v="0"/>
    <x v="0"/>
    <s v="JRNLWA00356733"/>
    <x v="0"/>
    <x v="0"/>
    <x v="0"/>
    <x v="0"/>
    <x v="0"/>
    <x v="0"/>
    <x v="0"/>
    <x v="21"/>
    <x v="23"/>
    <n v="13486"/>
    <x v="24"/>
    <x v="0"/>
    <x v="0"/>
    <s v="VO04340580"/>
    <s v="JRNL00850187"/>
    <x v="0"/>
    <d v="2017-07-07T00:00:00"/>
    <d v="2017-07-07T00:00:00"/>
    <x v="0"/>
    <d v="2017-07-05T00:00:00"/>
    <x v="0"/>
    <x v="0"/>
    <x v="0"/>
    <x v="0"/>
    <x v="0"/>
    <x v="0"/>
    <x v="0"/>
    <x v="0"/>
    <x v="0"/>
    <x v="0"/>
    <x v="0"/>
    <x v="0"/>
    <x v="0"/>
    <x v="0"/>
    <x v="0"/>
    <s v="VO04340580"/>
  </r>
  <r>
    <x v="0"/>
    <d v="2017-07-13T00:00:00"/>
    <n v="600"/>
    <x v="0"/>
    <x v="0"/>
    <s v="JRNLWA00357737"/>
    <x v="0"/>
    <x v="0"/>
    <x v="0"/>
    <x v="0"/>
    <x v="5"/>
    <x v="0"/>
    <x v="9"/>
    <x v="23"/>
    <x v="21"/>
    <s v="3RD QTR DUES"/>
    <x v="22"/>
    <x v="0"/>
    <x v="0"/>
    <s v="VO04345734"/>
    <s v="JRNL00851817"/>
    <x v="1"/>
    <d v="2017-07-13T00:00:00"/>
    <d v="2017-07-18T00:00:00"/>
    <x v="5"/>
    <d v="2017-09-04T00:00:00"/>
    <x v="0"/>
    <x v="0"/>
    <x v="0"/>
    <x v="0"/>
    <x v="0"/>
    <x v="0"/>
    <x v="0"/>
    <x v="0"/>
    <x v="0"/>
    <x v="0"/>
    <x v="0"/>
    <x v="0"/>
    <x v="0"/>
    <x v="0"/>
    <x v="0"/>
    <s v="VO04345734"/>
  </r>
  <r>
    <x v="0"/>
    <d v="2017-07-19T00:00:00"/>
    <n v="40"/>
    <x v="0"/>
    <x v="0"/>
    <s v="JRNLWA00357806"/>
    <x v="0"/>
    <x v="0"/>
    <x v="0"/>
    <x v="0"/>
    <x v="12"/>
    <x v="0"/>
    <x v="14"/>
    <x v="24"/>
    <x v="24"/>
    <n v="4847"/>
    <x v="25"/>
    <x v="0"/>
    <x v="0"/>
    <s v="VO04352643"/>
    <s v="JRNL00852124"/>
    <x v="1"/>
    <d v="2017-07-19T00:00:00"/>
    <d v="2017-07-21T00:00:00"/>
    <x v="17"/>
    <d v="2017-07-21T00:00:00"/>
    <x v="0"/>
    <x v="0"/>
    <x v="0"/>
    <x v="0"/>
    <x v="0"/>
    <x v="0"/>
    <x v="0"/>
    <x v="0"/>
    <x v="0"/>
    <x v="0"/>
    <x v="0"/>
    <x v="0"/>
    <x v="0"/>
    <x v="0"/>
    <x v="0"/>
    <s v="VO04352643"/>
  </r>
  <r>
    <x v="0"/>
    <d v="2017-07-31T00:00:00"/>
    <n v="-1951.09"/>
    <x v="0"/>
    <x v="0"/>
    <s v="JRNLWA00357503"/>
    <x v="0"/>
    <x v="8"/>
    <x v="6"/>
    <x v="0"/>
    <x v="4"/>
    <x v="0"/>
    <x v="25"/>
    <x v="3"/>
    <x v="1"/>
    <m/>
    <x v="1"/>
    <x v="0"/>
    <x v="0"/>
    <s v="JRNL00851453"/>
    <s v="JRNL00851472"/>
    <x v="2"/>
    <d v="2017-07-10T00:00:00"/>
    <d v="2017-07-11T00:00:00"/>
    <x v="4"/>
    <m/>
    <x v="0"/>
    <x v="0"/>
    <x v="0"/>
    <x v="0"/>
    <x v="0"/>
    <x v="1"/>
    <x v="0"/>
    <x v="0"/>
    <x v="0"/>
    <x v="0"/>
    <x v="0"/>
    <x v="0"/>
    <x v="0"/>
    <x v="0"/>
    <x v="0"/>
    <s v=""/>
  </r>
  <r>
    <x v="0"/>
    <d v="2017-07-31T00:00:00"/>
    <n v="450"/>
    <x v="0"/>
    <x v="0"/>
    <s v="JRNLWA00358110"/>
    <x v="0"/>
    <x v="9"/>
    <x v="3"/>
    <x v="0"/>
    <x v="4"/>
    <x v="0"/>
    <x v="26"/>
    <x v="3"/>
    <x v="1"/>
    <m/>
    <x v="1"/>
    <x v="0"/>
    <x v="0"/>
    <s v="JRNL00853023"/>
    <s v="JRNL00853023"/>
    <x v="2"/>
    <d v="2017-08-01T00:00:00"/>
    <d v="2017-08-02T00:00:00"/>
    <x v="4"/>
    <m/>
    <x v="0"/>
    <x v="0"/>
    <x v="0"/>
    <x v="0"/>
    <x v="0"/>
    <x v="0"/>
    <x v="0"/>
    <x v="0"/>
    <x v="0"/>
    <x v="0"/>
    <x v="0"/>
    <x v="0"/>
    <x v="0"/>
    <x v="0"/>
    <x v="0"/>
    <s v=""/>
  </r>
  <r>
    <x v="0"/>
    <d v="2017-07-31T00:00:00"/>
    <n v="208.33"/>
    <x v="0"/>
    <x v="0"/>
    <s v="JRNLWA00358567"/>
    <x v="0"/>
    <x v="3"/>
    <x v="5"/>
    <x v="1"/>
    <x v="4"/>
    <x v="0"/>
    <x v="6"/>
    <x v="3"/>
    <x v="1"/>
    <m/>
    <x v="1"/>
    <x v="0"/>
    <x v="0"/>
    <s v="JRNLWA00358567"/>
    <m/>
    <x v="2"/>
    <d v="2017-08-04T00:00:00"/>
    <d v="2017-08-04T00:00:00"/>
    <x v="4"/>
    <m/>
    <x v="0"/>
    <x v="0"/>
    <x v="0"/>
    <x v="0"/>
    <x v="0"/>
    <x v="0"/>
    <x v="0"/>
    <x v="0"/>
    <x v="0"/>
    <x v="0"/>
    <x v="0"/>
    <x v="0"/>
    <x v="0"/>
    <x v="0"/>
    <x v="0"/>
    <s v=""/>
  </r>
  <r>
    <x v="0"/>
    <d v="2017-07-31T00:00:00"/>
    <n v="1951.09"/>
    <x v="0"/>
    <x v="0"/>
    <s v="JRNLWA00358893"/>
    <x v="0"/>
    <x v="8"/>
    <x v="3"/>
    <x v="0"/>
    <x v="4"/>
    <x v="0"/>
    <x v="27"/>
    <x v="3"/>
    <x v="1"/>
    <m/>
    <x v="1"/>
    <x v="0"/>
    <x v="0"/>
    <s v="JRNL00854889"/>
    <s v="JRNL00854889"/>
    <x v="2"/>
    <d v="2017-08-07T00:00:00"/>
    <d v="2017-08-07T00:00:00"/>
    <x v="4"/>
    <m/>
    <x v="0"/>
    <x v="0"/>
    <x v="0"/>
    <x v="0"/>
    <x v="0"/>
    <x v="0"/>
    <x v="0"/>
    <x v="0"/>
    <x v="0"/>
    <x v="0"/>
    <x v="0"/>
    <x v="0"/>
    <x v="0"/>
    <x v="0"/>
    <x v="0"/>
    <s v=""/>
  </r>
  <r>
    <x v="0"/>
    <d v="2017-08-11T00:00:00"/>
    <n v="1951.09"/>
    <x v="0"/>
    <x v="0"/>
    <s v="JRNLWA00359308"/>
    <x v="0"/>
    <x v="0"/>
    <x v="0"/>
    <x v="0"/>
    <x v="0"/>
    <x v="0"/>
    <x v="0"/>
    <x v="25"/>
    <x v="25"/>
    <n v="13600"/>
    <x v="26"/>
    <x v="0"/>
    <x v="0"/>
    <s v="VO04377418"/>
    <s v="JRNL00855531"/>
    <x v="0"/>
    <d v="2017-08-11T00:00:00"/>
    <d v="2017-08-16T00:00:00"/>
    <x v="0"/>
    <d v="2017-10-05T00:00:00"/>
    <x v="0"/>
    <x v="0"/>
    <x v="0"/>
    <x v="0"/>
    <x v="0"/>
    <x v="0"/>
    <x v="0"/>
    <x v="0"/>
    <x v="0"/>
    <x v="0"/>
    <x v="0"/>
    <x v="0"/>
    <x v="0"/>
    <x v="0"/>
    <x v="0"/>
    <s v="VO04377418"/>
  </r>
  <r>
    <x v="0"/>
    <d v="2017-08-31T00:00:00"/>
    <n v="-1951.09"/>
    <x v="0"/>
    <x v="0"/>
    <s v="JRNLWA00359015"/>
    <x v="0"/>
    <x v="8"/>
    <x v="3"/>
    <x v="0"/>
    <x v="4"/>
    <x v="0"/>
    <x v="27"/>
    <x v="3"/>
    <x v="1"/>
    <m/>
    <x v="1"/>
    <x v="0"/>
    <x v="0"/>
    <s v="JRNL00854889"/>
    <s v="JRNL00854943"/>
    <x v="2"/>
    <d v="2017-08-07T00:00:00"/>
    <d v="2017-08-07T00:00:00"/>
    <x v="4"/>
    <m/>
    <x v="0"/>
    <x v="0"/>
    <x v="0"/>
    <x v="0"/>
    <x v="0"/>
    <x v="1"/>
    <x v="0"/>
    <x v="0"/>
    <x v="0"/>
    <x v="0"/>
    <x v="0"/>
    <x v="0"/>
    <x v="0"/>
    <x v="0"/>
    <x v="0"/>
    <s v=""/>
  </r>
  <r>
    <x v="0"/>
    <d v="2017-08-31T00:00:00"/>
    <n v="75"/>
    <x v="0"/>
    <x v="0"/>
    <s v="JRNLWA00360296"/>
    <x v="0"/>
    <x v="2"/>
    <x v="3"/>
    <x v="0"/>
    <x v="4"/>
    <x v="0"/>
    <x v="28"/>
    <x v="3"/>
    <x v="1"/>
    <m/>
    <x v="1"/>
    <x v="0"/>
    <x v="0"/>
    <s v="JRNL00858320"/>
    <s v="JRNL00858320"/>
    <x v="2"/>
    <d v="2017-09-07T00:00:00"/>
    <d v="2017-09-07T00:00:00"/>
    <x v="4"/>
    <m/>
    <x v="0"/>
    <x v="0"/>
    <x v="0"/>
    <x v="0"/>
    <x v="0"/>
    <x v="0"/>
    <x v="0"/>
    <x v="0"/>
    <x v="0"/>
    <x v="0"/>
    <x v="0"/>
    <x v="0"/>
    <x v="0"/>
    <x v="0"/>
    <x v="0"/>
    <s v=""/>
  </r>
  <r>
    <x v="0"/>
    <d v="2017-08-31T00:00:00"/>
    <n v="208.33"/>
    <x v="0"/>
    <x v="0"/>
    <s v="JRNLWA00360301"/>
    <x v="0"/>
    <x v="3"/>
    <x v="5"/>
    <x v="1"/>
    <x v="4"/>
    <x v="0"/>
    <x v="6"/>
    <x v="3"/>
    <x v="1"/>
    <m/>
    <x v="1"/>
    <x v="0"/>
    <x v="0"/>
    <s v="JRNLWA00360301"/>
    <m/>
    <x v="2"/>
    <d v="2017-09-07T00:00:00"/>
    <d v="2017-09-07T00:00:00"/>
    <x v="4"/>
    <m/>
    <x v="0"/>
    <x v="0"/>
    <x v="0"/>
    <x v="0"/>
    <x v="0"/>
    <x v="0"/>
    <x v="0"/>
    <x v="0"/>
    <x v="0"/>
    <x v="0"/>
    <x v="0"/>
    <x v="0"/>
    <x v="0"/>
    <x v="0"/>
    <x v="0"/>
    <s v=""/>
  </r>
  <r>
    <x v="0"/>
    <d v="2017-09-14T00:00:00"/>
    <n v="1951.09"/>
    <x v="0"/>
    <x v="0"/>
    <s v="JRNLWA00360840"/>
    <x v="0"/>
    <x v="0"/>
    <x v="0"/>
    <x v="0"/>
    <x v="0"/>
    <x v="0"/>
    <x v="0"/>
    <x v="26"/>
    <x v="25"/>
    <n v="13627"/>
    <x v="27"/>
    <x v="0"/>
    <x v="0"/>
    <s v="VO04409164"/>
    <s v="JRNL00859253"/>
    <x v="0"/>
    <d v="2017-09-14T00:00:00"/>
    <d v="2017-09-14T00:00:00"/>
    <x v="0"/>
    <d v="2017-11-05T00:00:00"/>
    <x v="0"/>
    <x v="0"/>
    <x v="0"/>
    <x v="0"/>
    <x v="0"/>
    <x v="0"/>
    <x v="0"/>
    <x v="0"/>
    <x v="0"/>
    <x v="0"/>
    <x v="0"/>
    <x v="0"/>
    <x v="0"/>
    <x v="0"/>
    <x v="0"/>
    <s v="VO04409164"/>
  </r>
  <r>
    <x v="0"/>
    <d v="2017-09-30T00:00:00"/>
    <n v="-75"/>
    <x v="0"/>
    <x v="0"/>
    <s v="JRNLWA00360332"/>
    <x v="0"/>
    <x v="2"/>
    <x v="3"/>
    <x v="0"/>
    <x v="4"/>
    <x v="0"/>
    <x v="28"/>
    <x v="3"/>
    <x v="1"/>
    <m/>
    <x v="1"/>
    <x v="0"/>
    <x v="0"/>
    <s v="JRNL00858320"/>
    <s v="JRNL00858336"/>
    <x v="2"/>
    <d v="2017-09-07T00:00:00"/>
    <d v="2017-09-07T00:00:00"/>
    <x v="4"/>
    <m/>
    <x v="0"/>
    <x v="0"/>
    <x v="0"/>
    <x v="0"/>
    <x v="0"/>
    <x v="1"/>
    <x v="0"/>
    <x v="0"/>
    <x v="0"/>
    <x v="0"/>
    <x v="0"/>
    <x v="0"/>
    <x v="0"/>
    <x v="0"/>
    <x v="0"/>
    <s v=""/>
  </r>
  <r>
    <x v="0"/>
    <d v="2017-09-30T00:00:00"/>
    <n v="1954"/>
    <x v="0"/>
    <x v="0"/>
    <s v="JRNLWA00361268"/>
    <x v="0"/>
    <x v="10"/>
    <x v="3"/>
    <x v="0"/>
    <x v="4"/>
    <x v="0"/>
    <x v="29"/>
    <x v="3"/>
    <x v="1"/>
    <m/>
    <x v="1"/>
    <x v="0"/>
    <x v="0"/>
    <s v="JRNL00860630"/>
    <s v="JRNL00860630"/>
    <x v="2"/>
    <d v="2017-10-03T00:00:00"/>
    <d v="2017-10-03T00:00:00"/>
    <x v="4"/>
    <m/>
    <x v="0"/>
    <x v="0"/>
    <x v="0"/>
    <x v="0"/>
    <x v="0"/>
    <x v="0"/>
    <x v="0"/>
    <x v="0"/>
    <x v="0"/>
    <x v="0"/>
    <x v="0"/>
    <x v="0"/>
    <x v="0"/>
    <x v="0"/>
    <x v="0"/>
    <s v=""/>
  </r>
  <r>
    <x v="0"/>
    <d v="2017-09-30T00:00:00"/>
    <n v="208.33"/>
    <x v="0"/>
    <x v="0"/>
    <s v="JRNLWA00361757"/>
    <x v="0"/>
    <x v="3"/>
    <x v="5"/>
    <x v="1"/>
    <x v="4"/>
    <x v="0"/>
    <x v="6"/>
    <x v="3"/>
    <x v="1"/>
    <m/>
    <x v="1"/>
    <x v="0"/>
    <x v="0"/>
    <s v="JRNLWA00361757"/>
    <m/>
    <x v="2"/>
    <d v="2017-10-05T00:00:00"/>
    <d v="2017-10-05T00:00:00"/>
    <x v="4"/>
    <m/>
    <x v="0"/>
    <x v="0"/>
    <x v="0"/>
    <x v="0"/>
    <x v="0"/>
    <x v="0"/>
    <x v="0"/>
    <x v="0"/>
    <x v="0"/>
    <x v="0"/>
    <x v="0"/>
    <x v="0"/>
    <x v="0"/>
    <x v="0"/>
    <x v="0"/>
    <s v=""/>
  </r>
</pivotCacheRecords>
</file>

<file path=xl/pivotCache/pivotCacheRecords2.xml><?xml version="1.0" encoding="utf-8"?>
<pivotCacheRecords xmlns="http://schemas.openxmlformats.org/spreadsheetml/2006/main" xmlns:r="http://schemas.openxmlformats.org/officeDocument/2006/relationships" count="55">
  <r>
    <s v="70225-2010-000-00"/>
    <d v="2016-10-06T00:00:00"/>
    <n v="240"/>
    <n v="0"/>
    <s v="USD"/>
    <s v="JRNLWA00343351"/>
    <s v="P"/>
    <s v="From Voucher Posting."/>
    <s v="RosemaryS"/>
    <s v="0/JE IC"/>
    <s v="20COLUMB01"/>
    <m/>
    <x v="0"/>
    <d v="2016-09-30T00:00:00"/>
    <s v="2015 Holiday Schedule per NK"/>
    <n v="3113608"/>
    <s v="PO-2010-16-00229"/>
    <m/>
    <m/>
    <s v="VO04073311"/>
    <s v="JRNL00816232"/>
    <n v="2010"/>
    <d v="2016-10-06T00:00:00"/>
    <d v="2016-10-06T00:00:00"/>
    <n v="240"/>
    <d v="2016-10-15T00:00:00"/>
    <s v="wci_wa"/>
    <n v="0"/>
    <n v="0"/>
    <n v="0"/>
    <n v="0"/>
    <n v="0"/>
    <n v="1"/>
    <n v="70225"/>
    <n v="2010"/>
    <n v="0"/>
    <n v="0"/>
    <m/>
    <m/>
    <m/>
    <m/>
    <s v="VO04073311"/>
  </r>
  <r>
    <s v="70225-2010-000-00"/>
    <d v="2016-10-31T00:00:00"/>
    <n v="-240"/>
    <n v="0"/>
    <s v="USD"/>
    <s v="JRNLWA00343555"/>
    <s v="P"/>
    <s v="Exp2: PO Log Accrual"/>
    <s v="AdamJo"/>
    <s v="0/JE IC"/>
    <m/>
    <m/>
    <x v="1"/>
    <m/>
    <m/>
    <m/>
    <m/>
    <m/>
    <m/>
    <s v="JRNL00816429"/>
    <s v="JRNL00816449"/>
    <m/>
    <d v="2016-10-06T00:00:00"/>
    <d v="2016-10-06T00:00:00"/>
    <m/>
    <m/>
    <s v="wci_wa"/>
    <n v="0"/>
    <n v="0"/>
    <n v="0"/>
    <n v="0"/>
    <n v="5"/>
    <n v="1"/>
    <n v="70225"/>
    <n v="2010"/>
    <n v="0"/>
    <n v="0"/>
    <m/>
    <m/>
    <m/>
    <m/>
    <s v=""/>
  </r>
  <r>
    <s v="70225-2010-000-00"/>
    <d v="2016-11-27T00:00:00"/>
    <n v="190"/>
    <n v="0"/>
    <s v="USD"/>
    <s v="JRNLWA00345570"/>
    <s v="P"/>
    <s v="From Voucher Posting."/>
    <s v="RosemaryS"/>
    <s v="0/JE IC"/>
    <s v="VUS000010999"/>
    <m/>
    <x v="2"/>
    <d v="2016-11-14T00:00:00"/>
    <s v="1/2 page ad for 2016-17 Media Guide &amp; Ga"/>
    <s v="2016-17 AD"/>
    <s v="PO-2010-16-03900"/>
    <m/>
    <m/>
    <s v="VO04120044"/>
    <s v="JRNL00821628"/>
    <n v="2010"/>
    <d v="2016-11-27T00:00:00"/>
    <d v="2016-11-28T00:00:00"/>
    <n v="190"/>
    <d v="2016-11-24T00:00:00"/>
    <s v="wci_wa"/>
    <n v="0"/>
    <n v="0"/>
    <n v="0"/>
    <n v="0"/>
    <n v="0"/>
    <n v="1"/>
    <n v="70225"/>
    <n v="2010"/>
    <n v="0"/>
    <n v="0"/>
    <m/>
    <m/>
    <m/>
    <m/>
    <s v="VO04120044"/>
  </r>
  <r>
    <s v="70225-2010-000-00"/>
    <d v="2016-11-30T00:00:00"/>
    <n v="1210.56"/>
    <n v="0"/>
    <s v="USD"/>
    <s v="JRNLWA00346633"/>
    <s v="P"/>
    <s v="Exp2: PO Log Accrual"/>
    <s v="AdamJo"/>
    <s v="0/JE IC"/>
    <m/>
    <m/>
    <x v="3"/>
    <m/>
    <m/>
    <m/>
    <m/>
    <m/>
    <m/>
    <s v="JRNL00824069"/>
    <s v="JRNL00824069"/>
    <m/>
    <d v="2016-12-07T00:00:00"/>
    <d v="2016-12-07T00:00:00"/>
    <m/>
    <m/>
    <s v="wci_wa"/>
    <n v="0"/>
    <n v="0"/>
    <n v="0"/>
    <n v="0"/>
    <n v="0"/>
    <n v="1"/>
    <n v="70225"/>
    <n v="2010"/>
    <n v="0"/>
    <n v="0"/>
    <m/>
    <m/>
    <m/>
    <m/>
    <s v=""/>
  </r>
  <r>
    <s v="70225-2010-000-00"/>
    <d v="2016-12-08T00:00:00"/>
    <n v="1210.56"/>
    <n v="0"/>
    <s v="USD"/>
    <s v="JRNLWA00346835"/>
    <s v="P"/>
    <s v="From Voucher Posting."/>
    <s v="RosemaryS"/>
    <s v="0/JE IC"/>
    <s v="20COLUMB01"/>
    <m/>
    <x v="0"/>
    <d v="2016-11-30T00:00:00"/>
    <s v="2016 Holiday Schedule per NK"/>
    <n v="3115723"/>
    <s v="PO-2010-16-00229"/>
    <m/>
    <m/>
    <s v="VO04132005"/>
    <s v="JRNL00824414"/>
    <n v="2010"/>
    <d v="2016-12-08T00:00:00"/>
    <d v="2016-12-12T00:00:00"/>
    <n v="1210.56"/>
    <d v="2016-12-15T00:00:00"/>
    <s v="wci_wa"/>
    <n v="0"/>
    <n v="0"/>
    <n v="0"/>
    <n v="0"/>
    <n v="0"/>
    <n v="1"/>
    <n v="70225"/>
    <n v="2010"/>
    <n v="0"/>
    <n v="0"/>
    <m/>
    <m/>
    <m/>
    <m/>
    <s v="VO04132005"/>
  </r>
  <r>
    <s v="70225-2010-000-00"/>
    <d v="2016-12-31T00:00:00"/>
    <n v="-1210.56"/>
    <n v="0"/>
    <s v="USD"/>
    <s v="JRNLWA00346681"/>
    <s v="P"/>
    <s v="Exp2: PO Log Accrual"/>
    <s v="HeatherWe"/>
    <s v="0/JE IC"/>
    <m/>
    <m/>
    <x v="3"/>
    <m/>
    <m/>
    <m/>
    <m/>
    <m/>
    <m/>
    <s v="JRNL00824069"/>
    <s v="JRNL00824118"/>
    <m/>
    <d v="2016-12-07T00:00:00"/>
    <d v="2016-12-07T00:00:00"/>
    <m/>
    <m/>
    <s v="wci_wa"/>
    <n v="0"/>
    <n v="0"/>
    <n v="0"/>
    <n v="0"/>
    <n v="5"/>
    <n v="1"/>
    <n v="70225"/>
    <n v="2010"/>
    <n v="0"/>
    <n v="0"/>
    <m/>
    <m/>
    <m/>
    <m/>
    <s v=""/>
  </r>
  <r>
    <s v="70225-2010-000-00"/>
    <d v="2016-12-31T00:00:00"/>
    <n v="650.4"/>
    <n v="0"/>
    <s v="USD"/>
    <s v="JRNLWA00347450"/>
    <s v="P"/>
    <s v="PCard Activity December - West"/>
    <s v="AdamJo"/>
    <s v="0/JE IC"/>
    <m/>
    <m/>
    <x v="4"/>
    <m/>
    <m/>
    <m/>
    <m/>
    <m/>
    <m/>
    <s v="JRNL00826292"/>
    <s v="JRNL00826292"/>
    <m/>
    <d v="2017-01-05T00:00:00"/>
    <d v="2017-01-05T00:00:00"/>
    <m/>
    <m/>
    <s v="wci_wa"/>
    <n v="0"/>
    <n v="0"/>
    <n v="0"/>
    <n v="0"/>
    <n v="0"/>
    <n v="1"/>
    <n v="70225"/>
    <n v="2010"/>
    <n v="0"/>
    <n v="0"/>
    <m/>
    <m/>
    <m/>
    <m/>
    <s v=""/>
  </r>
  <r>
    <s v="70225-2010-000-00"/>
    <d v="2016-12-31T00:00:00"/>
    <n v="650.4"/>
    <n v="0"/>
    <s v="USD"/>
    <s v="JRNLWA00347450"/>
    <s v="P"/>
    <s v="PCard Activity December - West"/>
    <s v="AdamJo"/>
    <s v="0/JE IC"/>
    <m/>
    <m/>
    <x v="4"/>
    <m/>
    <m/>
    <m/>
    <m/>
    <m/>
    <m/>
    <s v="JRNL00826292"/>
    <s v="JRNL00826292"/>
    <m/>
    <d v="2017-01-05T00:00:00"/>
    <d v="2017-01-05T00:00:00"/>
    <m/>
    <m/>
    <s v="wci_wa"/>
    <n v="0"/>
    <n v="0"/>
    <n v="0"/>
    <n v="0"/>
    <n v="0"/>
    <n v="1"/>
    <n v="70225"/>
    <n v="2010"/>
    <n v="0"/>
    <n v="0"/>
    <m/>
    <m/>
    <m/>
    <m/>
    <s v=""/>
  </r>
  <r>
    <s v="70225-2010-000-00"/>
    <d v="2016-12-31T00:00:00"/>
    <n v="216.8"/>
    <n v="0"/>
    <s v="USD"/>
    <s v="JRNLWA00347450"/>
    <s v="P"/>
    <s v="PCard Activity December - West"/>
    <s v="AdamJo"/>
    <s v="0/JE IC"/>
    <m/>
    <m/>
    <x v="4"/>
    <m/>
    <m/>
    <m/>
    <m/>
    <m/>
    <m/>
    <s v="JRNL00826292"/>
    <s v="JRNL00826292"/>
    <m/>
    <d v="2017-01-05T00:00:00"/>
    <d v="2017-01-05T00:00:00"/>
    <m/>
    <m/>
    <s v="wci_wa"/>
    <n v="0"/>
    <n v="0"/>
    <n v="0"/>
    <n v="0"/>
    <n v="0"/>
    <n v="1"/>
    <n v="70225"/>
    <n v="2010"/>
    <n v="0"/>
    <n v="0"/>
    <m/>
    <m/>
    <m/>
    <m/>
    <s v=""/>
  </r>
  <r>
    <s v="70225-2010-000-00"/>
    <d v="2016-12-31T00:00:00"/>
    <n v="1084"/>
    <n v="0"/>
    <s v="USD"/>
    <s v="JRNLWA00347450"/>
    <s v="P"/>
    <s v="PCard Activity December - West"/>
    <s v="AdamJo"/>
    <s v="0/JE IC"/>
    <m/>
    <m/>
    <x v="4"/>
    <m/>
    <m/>
    <m/>
    <m/>
    <m/>
    <m/>
    <s v="JRNL00826292"/>
    <s v="JRNL00826292"/>
    <m/>
    <d v="2017-01-05T00:00:00"/>
    <d v="2017-01-05T00:00:00"/>
    <m/>
    <m/>
    <s v="wci_wa"/>
    <n v="0"/>
    <n v="0"/>
    <n v="0"/>
    <n v="0"/>
    <n v="0"/>
    <n v="1"/>
    <n v="70225"/>
    <n v="2010"/>
    <n v="0"/>
    <n v="0"/>
    <m/>
    <m/>
    <m/>
    <m/>
    <s v=""/>
  </r>
  <r>
    <s v="70225-2010-000-00"/>
    <d v="2016-12-31T00:00:00"/>
    <n v="1626"/>
    <n v="0"/>
    <s v="USD"/>
    <s v="JRNLWA00347450"/>
    <s v="P"/>
    <s v="PCard Activity December - West"/>
    <s v="AdamJo"/>
    <s v="0/JE IC"/>
    <m/>
    <m/>
    <x v="4"/>
    <m/>
    <m/>
    <m/>
    <m/>
    <m/>
    <m/>
    <s v="JRNL00826292"/>
    <s v="JRNL00826292"/>
    <m/>
    <d v="2017-01-05T00:00:00"/>
    <d v="2017-01-05T00:00:00"/>
    <m/>
    <m/>
    <s v="wci_wa"/>
    <n v="0"/>
    <n v="0"/>
    <n v="0"/>
    <n v="0"/>
    <n v="0"/>
    <n v="1"/>
    <n v="70225"/>
    <n v="2010"/>
    <n v="0"/>
    <n v="0"/>
    <m/>
    <m/>
    <m/>
    <m/>
    <s v=""/>
  </r>
  <r>
    <s v="70225-2010-000-00"/>
    <d v="2016-12-31T00:00:00"/>
    <n v="1084"/>
    <n v="0"/>
    <s v="USD"/>
    <s v="JRNLWA00347450"/>
    <s v="P"/>
    <s v="PCard Activity December - West"/>
    <s v="AdamJo"/>
    <s v="0/JE IC"/>
    <m/>
    <m/>
    <x v="4"/>
    <m/>
    <m/>
    <m/>
    <m/>
    <m/>
    <m/>
    <s v="JRNL00826292"/>
    <s v="JRNL00826292"/>
    <m/>
    <d v="2017-01-05T00:00:00"/>
    <d v="2017-01-05T00:00:00"/>
    <m/>
    <m/>
    <s v="wci_wa"/>
    <n v="0"/>
    <n v="0"/>
    <n v="0"/>
    <n v="0"/>
    <n v="0"/>
    <n v="1"/>
    <n v="70225"/>
    <n v="2010"/>
    <n v="0"/>
    <n v="0"/>
    <m/>
    <m/>
    <m/>
    <m/>
    <s v=""/>
  </r>
  <r>
    <s v="70225-2010-000-00"/>
    <d v="2016-12-31T00:00:00"/>
    <n v="2421.12"/>
    <n v="0"/>
    <s v="USD"/>
    <s v="JRNLWA00348055"/>
    <s v="P"/>
    <s v="Exp2: PO Log Accrual"/>
    <s v="MaribelV"/>
    <s v="0/JE IC"/>
    <m/>
    <m/>
    <x v="5"/>
    <m/>
    <m/>
    <m/>
    <m/>
    <m/>
    <m/>
    <s v="JRNL00827565"/>
    <s v="JRNL00827565"/>
    <m/>
    <d v="2017-01-06T00:00:00"/>
    <d v="2017-01-06T00:00:00"/>
    <m/>
    <m/>
    <s v="wci_wa"/>
    <n v="0"/>
    <n v="0"/>
    <n v="0"/>
    <n v="0"/>
    <n v="0"/>
    <n v="1"/>
    <n v="70225"/>
    <n v="2010"/>
    <n v="0"/>
    <n v="0"/>
    <m/>
    <m/>
    <m/>
    <m/>
    <s v=""/>
  </r>
  <r>
    <s v="70225-2010-000-00"/>
    <d v="2017-01-17T00:00:00"/>
    <n v="2421.12"/>
    <n v="0"/>
    <s v="USD"/>
    <s v="JRNLWA00348548"/>
    <s v="P"/>
    <s v="From Voucher Posting."/>
    <s v="RosemaryS"/>
    <s v="0/JE IC"/>
    <s v="VUS000012257"/>
    <m/>
    <x v="0"/>
    <d v="2016-12-31T00:00:00"/>
    <s v="2016 Holiday Schedule per Bridget Simard"/>
    <n v="3116784"/>
    <s v="PO-2010-17-00144"/>
    <m/>
    <m/>
    <s v="VO04173651"/>
    <s v="JRNL00828709"/>
    <n v="2010"/>
    <d v="2017-01-17T00:00:00"/>
    <d v="2017-01-23T00:00:00"/>
    <n v="2421.12"/>
    <d v="2017-01-10T00:00:00"/>
    <s v="wci_wa"/>
    <n v="0"/>
    <n v="0"/>
    <n v="0"/>
    <n v="0"/>
    <n v="0"/>
    <n v="1"/>
    <n v="70225"/>
    <n v="2010"/>
    <n v="0"/>
    <n v="0"/>
    <m/>
    <m/>
    <m/>
    <m/>
    <s v="VO04173651"/>
  </r>
  <r>
    <s v="70225-2010-000-00"/>
    <d v="2017-01-31T00:00:00"/>
    <n v="-2421.12"/>
    <n v="0"/>
    <s v="USD"/>
    <s v="JRNLWA00348113"/>
    <s v="P"/>
    <s v="Exp2: PO Log Accrual"/>
    <s v="MaribelV"/>
    <s v="0/JE IC"/>
    <m/>
    <m/>
    <x v="5"/>
    <m/>
    <m/>
    <m/>
    <m/>
    <m/>
    <m/>
    <s v="JRNL00827565"/>
    <s v="JRNL00827593"/>
    <m/>
    <d v="2017-01-06T00:00:00"/>
    <d v="2017-01-06T00:00:00"/>
    <m/>
    <m/>
    <s v="wci_wa"/>
    <n v="0"/>
    <n v="0"/>
    <n v="0"/>
    <n v="0"/>
    <n v="5"/>
    <n v="1"/>
    <n v="70225"/>
    <n v="2010"/>
    <n v="0"/>
    <n v="0"/>
    <m/>
    <m/>
    <m/>
    <m/>
    <s v=""/>
  </r>
  <r>
    <s v="70225-2010-000-00"/>
    <d v="2017-01-31T00:00:00"/>
    <n v="542"/>
    <n v="0"/>
    <s v="USD"/>
    <s v="JRNLWA00349054"/>
    <s v="P"/>
    <s v="PCard Activity January- Wester"/>
    <s v="AdamJo"/>
    <s v="0/JE IC"/>
    <m/>
    <m/>
    <x v="4"/>
    <m/>
    <m/>
    <m/>
    <m/>
    <m/>
    <m/>
    <s v="JRNL00830275"/>
    <s v="JRNL00830275"/>
    <m/>
    <d v="2017-02-03T00:00:00"/>
    <d v="2017-02-03T00:00:00"/>
    <m/>
    <m/>
    <s v="wci_wa"/>
    <n v="0"/>
    <n v="0"/>
    <n v="0"/>
    <n v="0"/>
    <n v="0"/>
    <n v="1"/>
    <n v="70225"/>
    <n v="2010"/>
    <n v="0"/>
    <n v="0"/>
    <m/>
    <m/>
    <m/>
    <m/>
    <s v=""/>
  </r>
  <r>
    <s v="70225-2010-000-00"/>
    <d v="2017-01-31T00:00:00"/>
    <n v="542"/>
    <n v="0"/>
    <s v="USD"/>
    <s v="JRNLWA00349054"/>
    <s v="P"/>
    <s v="PCard Activity January- Wester"/>
    <s v="AdamJo"/>
    <s v="0/JE IC"/>
    <m/>
    <m/>
    <x v="4"/>
    <m/>
    <m/>
    <m/>
    <m/>
    <m/>
    <m/>
    <s v="JRNL00830275"/>
    <s v="JRNL00830275"/>
    <m/>
    <d v="2017-02-03T00:00:00"/>
    <d v="2017-02-03T00:00:00"/>
    <m/>
    <m/>
    <s v="wci_wa"/>
    <n v="0"/>
    <n v="0"/>
    <n v="0"/>
    <n v="0"/>
    <n v="0"/>
    <n v="1"/>
    <n v="70225"/>
    <n v="2010"/>
    <n v="0"/>
    <n v="0"/>
    <m/>
    <m/>
    <m/>
    <m/>
    <s v=""/>
  </r>
  <r>
    <s v="70225-2010-000-00"/>
    <d v="2017-01-31T00:00:00"/>
    <n v="1626"/>
    <n v="0"/>
    <s v="USD"/>
    <s v="JRNLWA00349054"/>
    <s v="P"/>
    <s v="PCard Activity January- Wester"/>
    <s v="AdamJo"/>
    <s v="0/JE IC"/>
    <m/>
    <m/>
    <x v="4"/>
    <m/>
    <m/>
    <m/>
    <m/>
    <m/>
    <m/>
    <s v="JRNL00830275"/>
    <s v="JRNL00830275"/>
    <m/>
    <d v="2017-02-03T00:00:00"/>
    <d v="2017-02-03T00:00:00"/>
    <m/>
    <m/>
    <s v="wci_wa"/>
    <n v="0"/>
    <n v="0"/>
    <n v="0"/>
    <n v="0"/>
    <n v="0"/>
    <n v="1"/>
    <n v="70225"/>
    <n v="2010"/>
    <n v="0"/>
    <n v="0"/>
    <m/>
    <m/>
    <m/>
    <m/>
    <s v=""/>
  </r>
  <r>
    <s v="70225-2010-000-00"/>
    <d v="2017-01-31T00:00:00"/>
    <n v="1084"/>
    <n v="0"/>
    <s v="USD"/>
    <s v="JRNLWA00349054"/>
    <s v="P"/>
    <s v="PCard Activity January- Wester"/>
    <s v="AdamJo"/>
    <s v="0/JE IC"/>
    <m/>
    <m/>
    <x v="4"/>
    <m/>
    <m/>
    <m/>
    <m/>
    <m/>
    <m/>
    <s v="JRNL00830275"/>
    <s v="JRNL00830275"/>
    <m/>
    <d v="2017-02-03T00:00:00"/>
    <d v="2017-02-03T00:00:00"/>
    <m/>
    <m/>
    <s v="wci_wa"/>
    <n v="0"/>
    <n v="0"/>
    <n v="0"/>
    <n v="0"/>
    <n v="0"/>
    <n v="1"/>
    <n v="70225"/>
    <n v="2010"/>
    <n v="0"/>
    <n v="0"/>
    <m/>
    <m/>
    <m/>
    <m/>
    <s v=""/>
  </r>
  <r>
    <s v="70225-2010-000-00"/>
    <d v="2017-01-31T00:00:00"/>
    <n v="1084"/>
    <n v="0"/>
    <s v="USD"/>
    <s v="JRNLWA00349054"/>
    <s v="P"/>
    <s v="PCard Activity January- Wester"/>
    <s v="AdamJo"/>
    <s v="0/JE IC"/>
    <m/>
    <m/>
    <x v="4"/>
    <m/>
    <m/>
    <m/>
    <m/>
    <m/>
    <m/>
    <s v="JRNL00830275"/>
    <s v="JRNL00830275"/>
    <m/>
    <d v="2017-02-03T00:00:00"/>
    <d v="2017-02-03T00:00:00"/>
    <m/>
    <m/>
    <s v="wci_wa"/>
    <n v="0"/>
    <n v="0"/>
    <n v="0"/>
    <n v="0"/>
    <n v="0"/>
    <n v="1"/>
    <n v="70225"/>
    <n v="2010"/>
    <n v="0"/>
    <n v="0"/>
    <m/>
    <m/>
    <m/>
    <m/>
    <s v=""/>
  </r>
  <r>
    <s v="70225-2010-000-00"/>
    <d v="2017-01-31T00:00:00"/>
    <n v="325.2"/>
    <n v="0"/>
    <s v="USD"/>
    <s v="JRNLWA00349054"/>
    <s v="P"/>
    <s v="PCard Activity January- Wester"/>
    <s v="AdamJo"/>
    <s v="0/JE IC"/>
    <m/>
    <m/>
    <x v="4"/>
    <m/>
    <m/>
    <m/>
    <m/>
    <m/>
    <m/>
    <s v="JRNL00830275"/>
    <s v="JRNL00830275"/>
    <m/>
    <d v="2017-02-03T00:00:00"/>
    <d v="2017-02-03T00:00:00"/>
    <m/>
    <m/>
    <s v="wci_wa"/>
    <n v="0"/>
    <n v="0"/>
    <n v="0"/>
    <n v="0"/>
    <n v="0"/>
    <n v="1"/>
    <n v="70225"/>
    <n v="2010"/>
    <n v="0"/>
    <n v="0"/>
    <m/>
    <m/>
    <m/>
    <m/>
    <s v=""/>
  </r>
  <r>
    <s v="70225-2010-000-00"/>
    <d v="2017-01-31T00:00:00"/>
    <n v="1084"/>
    <n v="0"/>
    <s v="USD"/>
    <s v="JRNLWA00349054"/>
    <s v="P"/>
    <s v="PCard Activity January- Wester"/>
    <s v="AdamJo"/>
    <s v="0/JE IC"/>
    <m/>
    <m/>
    <x v="4"/>
    <m/>
    <m/>
    <m/>
    <m/>
    <m/>
    <m/>
    <s v="JRNL00830275"/>
    <s v="JRNL00830275"/>
    <m/>
    <d v="2017-02-03T00:00:00"/>
    <d v="2017-02-03T00:00:00"/>
    <m/>
    <m/>
    <s v="wci_wa"/>
    <n v="0"/>
    <n v="0"/>
    <n v="0"/>
    <n v="0"/>
    <n v="0"/>
    <n v="1"/>
    <n v="70225"/>
    <n v="2010"/>
    <n v="0"/>
    <n v="0"/>
    <m/>
    <m/>
    <m/>
    <m/>
    <s v=""/>
  </r>
  <r>
    <s v="70225-2010-000-00"/>
    <d v="2017-01-31T00:00:00"/>
    <n v="1626"/>
    <n v="0"/>
    <s v="USD"/>
    <s v="JRNLWA00349054"/>
    <s v="P"/>
    <s v="PCard Activity January- Wester"/>
    <s v="AdamJo"/>
    <s v="0/JE IC"/>
    <m/>
    <m/>
    <x v="4"/>
    <m/>
    <m/>
    <m/>
    <m/>
    <m/>
    <m/>
    <s v="JRNL00830275"/>
    <s v="JRNL00830275"/>
    <m/>
    <d v="2017-02-03T00:00:00"/>
    <d v="2017-02-03T00:00:00"/>
    <m/>
    <m/>
    <s v="wci_wa"/>
    <n v="0"/>
    <n v="0"/>
    <n v="0"/>
    <n v="0"/>
    <n v="0"/>
    <n v="1"/>
    <n v="70225"/>
    <n v="2010"/>
    <n v="0"/>
    <n v="0"/>
    <m/>
    <m/>
    <m/>
    <m/>
    <s v=""/>
  </r>
  <r>
    <s v="70225-2010-000-00"/>
    <d v="2017-01-31T00:00:00"/>
    <n v="325.2"/>
    <n v="0"/>
    <s v="USD"/>
    <s v="JRNLWA00349054"/>
    <s v="P"/>
    <s v="PCard Activity January- Wester"/>
    <s v="AdamJo"/>
    <s v="0/JE IC"/>
    <m/>
    <m/>
    <x v="4"/>
    <m/>
    <m/>
    <m/>
    <m/>
    <m/>
    <m/>
    <s v="JRNL00830275"/>
    <s v="JRNL00830275"/>
    <m/>
    <d v="2017-02-03T00:00:00"/>
    <d v="2017-02-03T00:00:00"/>
    <m/>
    <m/>
    <s v="wci_wa"/>
    <n v="0"/>
    <n v="0"/>
    <n v="0"/>
    <n v="0"/>
    <n v="0"/>
    <n v="1"/>
    <n v="70225"/>
    <n v="2010"/>
    <n v="0"/>
    <n v="0"/>
    <m/>
    <m/>
    <m/>
    <m/>
    <s v=""/>
  </r>
  <r>
    <s v="70225-2010-000-00"/>
    <d v="2017-02-28T00:00:00"/>
    <n v="108.4"/>
    <n v="0"/>
    <s v="USD"/>
    <s v="JRNLWA00350488"/>
    <s v="P"/>
    <s v="PCard Activity February - West"/>
    <s v="AdamJo"/>
    <s v="0/JE IC"/>
    <m/>
    <m/>
    <x v="4"/>
    <m/>
    <m/>
    <m/>
    <m/>
    <m/>
    <m/>
    <s v="JRNL00833894"/>
    <s v="JRNL00833894"/>
    <m/>
    <d v="2017-03-02T00:00:00"/>
    <d v="2017-03-03T00:00:00"/>
    <m/>
    <m/>
    <s v="wci_wa"/>
    <n v="0"/>
    <n v="0"/>
    <n v="0"/>
    <n v="0"/>
    <n v="0"/>
    <n v="1"/>
    <n v="70225"/>
    <n v="2010"/>
    <n v="0"/>
    <n v="0"/>
    <m/>
    <m/>
    <m/>
    <m/>
    <s v=""/>
  </r>
  <r>
    <s v="70225-2010-000-00"/>
    <d v="2017-04-13T00:00:00"/>
    <n v="431.43"/>
    <n v="0"/>
    <s v="USD"/>
    <s v="JRNLWA00353099"/>
    <s v="P"/>
    <s v="From Voucher Posting."/>
    <s v="JeffS"/>
    <s v="0/JE IC"/>
    <s v="VUS000011127"/>
    <m/>
    <x v="6"/>
    <d v="2017-04-11T00:00:00"/>
    <s v="COV Roll Cart brochures ordered by Bridg"/>
    <n v="18754"/>
    <s v="PO-2010-17-01047"/>
    <m/>
    <m/>
    <s v="VO04258846"/>
    <s v="JRNL00840343"/>
    <n v="2010"/>
    <d v="2017-04-13T00:00:00"/>
    <d v="2017-04-18T00:00:00"/>
    <n v="431.43"/>
    <d v="2017-04-21T00:00:00"/>
    <s v="wci_wa"/>
    <n v="0"/>
    <n v="0"/>
    <n v="0"/>
    <n v="0"/>
    <n v="0"/>
    <n v="1"/>
    <n v="70225"/>
    <n v="2010"/>
    <n v="0"/>
    <n v="0"/>
    <m/>
    <m/>
    <m/>
    <m/>
    <s v="VO04258846"/>
  </r>
  <r>
    <s v="70225-2010-000-00"/>
    <d v="2017-05-31T00:00:00"/>
    <n v="1084"/>
    <n v="0"/>
    <s v="USD"/>
    <s v="JRNLWA00355229"/>
    <s v="P"/>
    <s v="Pcard Activity May - Western"/>
    <s v="MaribelV"/>
    <s v="0/JE IC"/>
    <m/>
    <m/>
    <x v="4"/>
    <m/>
    <m/>
    <m/>
    <m/>
    <m/>
    <m/>
    <s v="JRNL00845802"/>
    <s v="JRNL00845802"/>
    <m/>
    <d v="2017-06-05T00:00:00"/>
    <d v="2017-06-05T00:00:00"/>
    <m/>
    <m/>
    <s v="wci_wa"/>
    <n v="0"/>
    <n v="0"/>
    <n v="0"/>
    <n v="0"/>
    <n v="0"/>
    <n v="1"/>
    <n v="70225"/>
    <n v="2010"/>
    <n v="0"/>
    <n v="0"/>
    <m/>
    <m/>
    <m/>
    <m/>
    <s v=""/>
  </r>
  <r>
    <s v="70225-2010-000-00"/>
    <d v="2017-05-31T00:00:00"/>
    <n v="379.4"/>
    <n v="0"/>
    <s v="USD"/>
    <s v="JRNLWA00355229"/>
    <s v="P"/>
    <s v="Pcard Activity May - Western"/>
    <s v="MaribelV"/>
    <s v="0/JE IC"/>
    <m/>
    <m/>
    <x v="4"/>
    <m/>
    <m/>
    <m/>
    <m/>
    <m/>
    <m/>
    <s v="JRNL00845802"/>
    <s v="JRNL00845802"/>
    <m/>
    <d v="2017-06-05T00:00:00"/>
    <d v="2017-06-05T00:00:00"/>
    <m/>
    <m/>
    <s v="wci_wa"/>
    <n v="0"/>
    <n v="0"/>
    <n v="0"/>
    <n v="0"/>
    <n v="0"/>
    <n v="1"/>
    <n v="70225"/>
    <n v="2010"/>
    <n v="0"/>
    <n v="0"/>
    <m/>
    <m/>
    <m/>
    <m/>
    <s v=""/>
  </r>
  <r>
    <s v="70225-2010-000-00"/>
    <d v="2017-05-31T00:00:00"/>
    <n v="1210.56"/>
    <n v="0"/>
    <s v="USD"/>
    <s v="JRNLWA00355650"/>
    <s v="P"/>
    <s v="Exp2: PO Log Accrual"/>
    <s v="HeatherWe"/>
    <s v="0/JE IC"/>
    <m/>
    <m/>
    <x v="7"/>
    <m/>
    <m/>
    <m/>
    <m/>
    <m/>
    <m/>
    <s v="JRNL00846908"/>
    <s v="JRNL00846908"/>
    <m/>
    <d v="2017-06-06T00:00:00"/>
    <d v="2017-06-06T00:00:00"/>
    <m/>
    <m/>
    <s v="wci_wa"/>
    <n v="0"/>
    <n v="0"/>
    <n v="0"/>
    <n v="0"/>
    <n v="0"/>
    <n v="1"/>
    <n v="70225"/>
    <n v="2010"/>
    <n v="0"/>
    <n v="0"/>
    <m/>
    <m/>
    <m/>
    <m/>
    <s v=""/>
  </r>
  <r>
    <s v="70225-2010-000-00"/>
    <d v="2017-05-31T00:00:00"/>
    <n v="1084"/>
    <n v="0"/>
    <s v="USD"/>
    <s v="JRNLWA00355758"/>
    <s v="P"/>
    <s v="EXP3: P-Card Accrual"/>
    <s v="HeatherWe"/>
    <s v="0/JE IC"/>
    <m/>
    <m/>
    <x v="4"/>
    <m/>
    <m/>
    <m/>
    <m/>
    <m/>
    <m/>
    <s v="JRNL00846909"/>
    <s v="JRNL00846909"/>
    <m/>
    <d v="2017-06-06T00:00:00"/>
    <d v="2017-06-07T00:00:00"/>
    <m/>
    <m/>
    <s v="wci_wa"/>
    <n v="0"/>
    <n v="0"/>
    <n v="0"/>
    <n v="0"/>
    <n v="0"/>
    <n v="1"/>
    <n v="70225"/>
    <n v="2010"/>
    <n v="0"/>
    <n v="0"/>
    <m/>
    <m/>
    <m/>
    <m/>
    <s v=""/>
  </r>
  <r>
    <s v="70225-2010-000-00"/>
    <d v="2017-05-31T00:00:00"/>
    <n v="162.6"/>
    <n v="0"/>
    <s v="USD"/>
    <s v="JRNLWA00355758"/>
    <s v="P"/>
    <s v="EXP3: P-Card Accrual"/>
    <s v="HeatherWe"/>
    <s v="0/JE IC"/>
    <m/>
    <m/>
    <x v="4"/>
    <m/>
    <m/>
    <m/>
    <m/>
    <m/>
    <m/>
    <s v="JRNL00846909"/>
    <s v="JRNL00846909"/>
    <m/>
    <d v="2017-06-06T00:00:00"/>
    <d v="2017-06-07T00:00:00"/>
    <m/>
    <m/>
    <s v="wci_wa"/>
    <n v="0"/>
    <n v="0"/>
    <n v="0"/>
    <n v="0"/>
    <n v="0"/>
    <n v="1"/>
    <n v="70225"/>
    <n v="2010"/>
    <n v="0"/>
    <n v="0"/>
    <m/>
    <m/>
    <m/>
    <m/>
    <s v=""/>
  </r>
  <r>
    <s v="70225-2010-000-00"/>
    <d v="2017-06-08T00:00:00"/>
    <n v="1210.56"/>
    <n v="0"/>
    <s v="USD"/>
    <s v="JRNLWA00356115"/>
    <s v="P"/>
    <s v="From Voucher Posting."/>
    <s v="RosemaryS"/>
    <s v="0/JE IC"/>
    <s v="VUS000012257"/>
    <m/>
    <x v="0"/>
    <d v="2017-05-31T00:00:00"/>
    <s v="2017 Holiday Schedule per Bridget Simard"/>
    <n v="3121737"/>
    <s v="PO-2010-17-00285"/>
    <m/>
    <m/>
    <s v="VO04312036"/>
    <s v="JRNL00847534"/>
    <n v="2010"/>
    <d v="2017-06-08T00:00:00"/>
    <d v="2017-06-08T00:00:00"/>
    <n v="1210.56"/>
    <d v="2017-06-10T00:00:00"/>
    <s v="wci_wa"/>
    <n v="0"/>
    <n v="0"/>
    <n v="0"/>
    <n v="0"/>
    <n v="0"/>
    <n v="1"/>
    <n v="70225"/>
    <n v="2010"/>
    <n v="0"/>
    <n v="0"/>
    <m/>
    <m/>
    <m/>
    <m/>
    <s v="VO04312036"/>
  </r>
  <r>
    <s v="70225-2010-000-00"/>
    <d v="2017-06-15T00:00:00"/>
    <n v="150"/>
    <n v="0"/>
    <s v="USD"/>
    <s v="JRNLWA00356205"/>
    <s v="P"/>
    <s v="From Voucher Posting."/>
    <s v="RosemaryS"/>
    <s v="0/JE IC"/>
    <s v="VUS000015431"/>
    <m/>
    <x v="8"/>
    <d v="2017-06-01T00:00:00"/>
    <s v="Stadium banner sponsor- Approved by Mike"/>
    <s v="Banner-2017"/>
    <s v="PO-2010-17-02009"/>
    <m/>
    <m/>
    <s v="VO04319444"/>
    <s v="JRNL00847913"/>
    <n v="2010"/>
    <d v="2017-06-15T00:00:00"/>
    <d v="2017-06-16T00:00:00"/>
    <n v="150"/>
    <d v="2017-06-11T00:00:00"/>
    <s v="wci_wa"/>
    <n v="0"/>
    <n v="0"/>
    <n v="0"/>
    <n v="0"/>
    <n v="0"/>
    <n v="1"/>
    <n v="70225"/>
    <n v="2010"/>
    <n v="0"/>
    <n v="0"/>
    <m/>
    <m/>
    <m/>
    <m/>
    <s v="VO04319444"/>
  </r>
  <r>
    <s v="70225-2010-000-00"/>
    <d v="2017-06-21T00:00:00"/>
    <n v="1506.63"/>
    <n v="0"/>
    <s v="USD"/>
    <s v="JRNLWA00356287"/>
    <s v="P"/>
    <s v="From Voucher Posting."/>
    <s v="RosemaryS"/>
    <s v="0/JE IC"/>
    <s v="VUS000011127"/>
    <m/>
    <x v="6"/>
    <d v="2017-06-13T00:00:00"/>
    <s v="City of Vancouver Annex letters Inv 1898"/>
    <n v="18989"/>
    <s v="PO-2010-17-02080"/>
    <m/>
    <m/>
    <s v="VO04326449"/>
    <s v="JRNL00848340"/>
    <n v="2010"/>
    <d v="2017-06-21T00:00:00"/>
    <d v="2017-06-21T00:00:00"/>
    <n v="1506.63"/>
    <d v="2017-06-23T00:00:00"/>
    <s v="wci_wa"/>
    <n v="0"/>
    <n v="0"/>
    <n v="0"/>
    <n v="0"/>
    <n v="0"/>
    <n v="1"/>
    <n v="70225"/>
    <n v="2010"/>
    <n v="0"/>
    <n v="0"/>
    <m/>
    <m/>
    <m/>
    <m/>
    <s v="VO04326449"/>
  </r>
  <r>
    <s v="70225-2010-000-00"/>
    <d v="2017-06-30T00:00:00"/>
    <n v="-1210.56"/>
    <n v="0"/>
    <s v="USD"/>
    <s v="JRNLWA00355845"/>
    <s v="P"/>
    <s v="Exp2: PO Log Accrual"/>
    <s v="HeatherWe"/>
    <s v="0/JE IC"/>
    <m/>
    <m/>
    <x v="7"/>
    <m/>
    <m/>
    <m/>
    <m/>
    <m/>
    <m/>
    <s v="JRNL00846908"/>
    <s v="JRNL00846938"/>
    <m/>
    <d v="2017-06-06T00:00:00"/>
    <d v="2017-06-07T00:00:00"/>
    <m/>
    <m/>
    <s v="wci_wa"/>
    <n v="0"/>
    <n v="0"/>
    <n v="0"/>
    <n v="0"/>
    <n v="5"/>
    <n v="1"/>
    <n v="70225"/>
    <n v="2010"/>
    <n v="0"/>
    <n v="0"/>
    <m/>
    <m/>
    <m/>
    <m/>
    <s v=""/>
  </r>
  <r>
    <s v="70225-2010-000-00"/>
    <d v="2017-06-30T00:00:00"/>
    <n v="-1084"/>
    <n v="0"/>
    <s v="USD"/>
    <s v="JRNLWA00355894"/>
    <s v="P"/>
    <s v="EXP3: P-Card Accrual"/>
    <s v="HeatherWe"/>
    <s v="0/JE IC"/>
    <m/>
    <m/>
    <x v="4"/>
    <m/>
    <m/>
    <m/>
    <m/>
    <m/>
    <m/>
    <s v="JRNL00846909"/>
    <s v="JRNL00847130"/>
    <m/>
    <d v="2017-06-07T00:00:00"/>
    <d v="2017-06-07T00:00:00"/>
    <m/>
    <m/>
    <s v="wci_wa"/>
    <n v="0"/>
    <n v="0"/>
    <n v="0"/>
    <n v="0"/>
    <n v="5"/>
    <n v="1"/>
    <n v="70225"/>
    <n v="2010"/>
    <n v="0"/>
    <n v="0"/>
    <m/>
    <m/>
    <m/>
    <m/>
    <s v=""/>
  </r>
  <r>
    <s v="70225-2010-000-00"/>
    <d v="2017-06-30T00:00:00"/>
    <n v="-162.6"/>
    <n v="0"/>
    <s v="USD"/>
    <s v="JRNLWA00355894"/>
    <s v="P"/>
    <s v="EXP3: P-Card Accrual"/>
    <s v="HeatherWe"/>
    <s v="0/JE IC"/>
    <m/>
    <m/>
    <x v="4"/>
    <m/>
    <m/>
    <m/>
    <m/>
    <m/>
    <m/>
    <s v="JRNL00846909"/>
    <s v="JRNL00847130"/>
    <m/>
    <d v="2017-06-07T00:00:00"/>
    <d v="2017-06-07T00:00:00"/>
    <m/>
    <m/>
    <s v="wci_wa"/>
    <n v="0"/>
    <n v="0"/>
    <n v="0"/>
    <n v="0"/>
    <n v="5"/>
    <n v="1"/>
    <n v="70225"/>
    <n v="2010"/>
    <n v="0"/>
    <n v="0"/>
    <m/>
    <m/>
    <m/>
    <m/>
    <s v=""/>
  </r>
  <r>
    <s v="70225-2010-000-00"/>
    <d v="2017-06-30T00:00:00"/>
    <n v="-1300.81"/>
    <n v="0"/>
    <s v="USD"/>
    <s v="JRNLWA00356482"/>
    <s v="P"/>
    <s v="MISC3: Book Clean Cart Campaig"/>
    <s v="DarcieB"/>
    <s v="0/JE STD"/>
    <m/>
    <m/>
    <x v="9"/>
    <m/>
    <m/>
    <m/>
    <m/>
    <m/>
    <m/>
    <s v="JRNLWA00356482"/>
    <m/>
    <m/>
    <d v="2017-07-05T00:00:00"/>
    <d v="2017-07-05T00:00:00"/>
    <m/>
    <m/>
    <s v="wci_wa"/>
    <n v="0"/>
    <n v="0"/>
    <n v="0"/>
    <n v="0"/>
    <n v="0"/>
    <n v="1"/>
    <n v="70225"/>
    <n v="2010"/>
    <n v="0"/>
    <n v="0"/>
    <m/>
    <m/>
    <m/>
    <m/>
    <s v=""/>
  </r>
  <r>
    <s v="70225-2010-000-00"/>
    <d v="2017-06-30T00:00:00"/>
    <n v="1084"/>
    <n v="0"/>
    <s v="USD"/>
    <s v="JRNLWA00356562"/>
    <s v="P"/>
    <s v="PCard Activity June - Western"/>
    <s v="HeatherWe"/>
    <s v="0/JE IC"/>
    <m/>
    <m/>
    <x v="4"/>
    <m/>
    <m/>
    <m/>
    <m/>
    <m/>
    <m/>
    <s v="JRNL00849664"/>
    <s v="JRNL00849664"/>
    <m/>
    <d v="2017-07-05T00:00:00"/>
    <d v="2017-07-06T00:00:00"/>
    <m/>
    <m/>
    <s v="wci_wa"/>
    <n v="0"/>
    <n v="0"/>
    <n v="0"/>
    <n v="0"/>
    <n v="0"/>
    <n v="1"/>
    <n v="70225"/>
    <n v="2010"/>
    <n v="0"/>
    <n v="0"/>
    <m/>
    <m/>
    <m/>
    <m/>
    <s v=""/>
  </r>
  <r>
    <s v="70225-2010-000-00"/>
    <d v="2017-06-30T00:00:00"/>
    <n v="162.6"/>
    <n v="0"/>
    <s v="USD"/>
    <s v="JRNLWA00356562"/>
    <s v="P"/>
    <s v="PCard Activity June - Western"/>
    <s v="HeatherWe"/>
    <s v="0/JE IC"/>
    <m/>
    <m/>
    <x v="4"/>
    <m/>
    <m/>
    <m/>
    <m/>
    <m/>
    <m/>
    <s v="JRNL00849664"/>
    <s v="JRNL00849664"/>
    <m/>
    <d v="2017-07-05T00:00:00"/>
    <d v="2017-07-06T00:00:00"/>
    <m/>
    <m/>
    <s v="wci_wa"/>
    <n v="0"/>
    <n v="0"/>
    <n v="0"/>
    <n v="0"/>
    <n v="0"/>
    <n v="1"/>
    <n v="70225"/>
    <n v="2010"/>
    <n v="0"/>
    <n v="0"/>
    <m/>
    <m/>
    <m/>
    <m/>
    <s v=""/>
  </r>
  <r>
    <s v="70225-2010-000-00"/>
    <d v="2017-06-30T00:00:00"/>
    <n v="357.5"/>
    <n v="0"/>
    <s v="USD"/>
    <s v="JRNLWA00356562"/>
    <s v="P"/>
    <s v="PCard Activity June - Western"/>
    <s v="HeatherWe"/>
    <s v="0/JE IC"/>
    <m/>
    <m/>
    <x v="10"/>
    <m/>
    <m/>
    <m/>
    <m/>
    <m/>
    <m/>
    <s v="JRNL00849664"/>
    <s v="JRNL00849664"/>
    <m/>
    <d v="2017-07-05T00:00:00"/>
    <d v="2017-07-06T00:00:00"/>
    <m/>
    <m/>
    <s v="wci_wa"/>
    <n v="0"/>
    <n v="0"/>
    <n v="0"/>
    <n v="0"/>
    <n v="0"/>
    <n v="1"/>
    <n v="70225"/>
    <n v="2010"/>
    <n v="0"/>
    <n v="0"/>
    <m/>
    <m/>
    <m/>
    <m/>
    <s v=""/>
  </r>
  <r>
    <s v="70225-2010-000-00"/>
    <d v="2017-06-30T00:00:00"/>
    <n v="-1506.63"/>
    <n v="0"/>
    <s v="USD"/>
    <s v="JRNLWA00357339"/>
    <s v="P"/>
    <s v="MISC5: Reclass Annex Letters"/>
    <s v="DarcieB"/>
    <s v="0/JE STD"/>
    <m/>
    <m/>
    <x v="11"/>
    <m/>
    <m/>
    <m/>
    <m/>
    <m/>
    <m/>
    <s v="JRNLWA00357339"/>
    <m/>
    <m/>
    <d v="2017-07-10T00:00:00"/>
    <d v="2017-07-10T00:00:00"/>
    <m/>
    <m/>
    <s v="wci_wa"/>
    <n v="0"/>
    <n v="0"/>
    <n v="0"/>
    <n v="0"/>
    <n v="0"/>
    <n v="1"/>
    <n v="70225"/>
    <n v="2010"/>
    <n v="0"/>
    <n v="0"/>
    <m/>
    <m/>
    <m/>
    <m/>
    <s v=""/>
  </r>
  <r>
    <s v="70225-2010-000-00"/>
    <d v="2017-06-30T00:00:00"/>
    <n v="1560"/>
    <n v="0"/>
    <s v="USD"/>
    <s v="JRNLWA00357359"/>
    <s v="P"/>
    <s v="Exp2: PO Log Accrual"/>
    <s v="HeatherWe"/>
    <s v="0/JE IC"/>
    <m/>
    <m/>
    <x v="7"/>
    <m/>
    <m/>
    <m/>
    <m/>
    <m/>
    <m/>
    <s v="JRNL00851428"/>
    <s v="JRNL00851428"/>
    <m/>
    <d v="2017-07-10T00:00:00"/>
    <d v="2017-07-10T00:00:00"/>
    <m/>
    <m/>
    <s v="wci_wa"/>
    <n v="0"/>
    <n v="0"/>
    <n v="0"/>
    <n v="0"/>
    <n v="0"/>
    <n v="1"/>
    <n v="70225"/>
    <n v="2010"/>
    <n v="0"/>
    <n v="0"/>
    <m/>
    <m/>
    <m/>
    <m/>
    <s v=""/>
  </r>
  <r>
    <s v="70225-2010-000-00"/>
    <d v="2017-07-06T00:00:00"/>
    <n v="1560"/>
    <n v="0"/>
    <s v="USD"/>
    <s v="JRNLWA00356558"/>
    <s v="P"/>
    <s v="From Voucher Posting."/>
    <s v="RosemaryS"/>
    <s v="0/JE IC"/>
    <s v="VUS000012257"/>
    <m/>
    <x v="0"/>
    <d v="2017-06-30T00:00:00"/>
    <s v="2017 Holiday Schedule per Bridget Simard"/>
    <n v="3122900"/>
    <s v="PO-2010-17-00285"/>
    <m/>
    <m/>
    <s v="VO04339798"/>
    <s v="JRNL00849674"/>
    <n v="2010"/>
    <d v="2017-07-06T00:00:00"/>
    <d v="2017-07-06T00:00:00"/>
    <n v="1560"/>
    <d v="2017-07-10T00:00:00"/>
    <s v="wci_wa"/>
    <n v="0"/>
    <n v="0"/>
    <n v="0"/>
    <n v="0"/>
    <n v="0"/>
    <n v="1"/>
    <n v="70225"/>
    <n v="2010"/>
    <n v="0"/>
    <n v="0"/>
    <m/>
    <m/>
    <m/>
    <m/>
    <s v="VO04339798"/>
  </r>
  <r>
    <s v="70225-2010-000-00"/>
    <d v="2017-07-31T00:00:00"/>
    <n v="-1560"/>
    <n v="0"/>
    <s v="USD"/>
    <s v="JRNLWA00357493"/>
    <s v="P"/>
    <s v="Exp2: PO Log Accrual"/>
    <s v="MaribelV"/>
    <s v="0/JE IC"/>
    <m/>
    <m/>
    <x v="7"/>
    <m/>
    <m/>
    <m/>
    <m/>
    <m/>
    <m/>
    <s v="JRNL00851428"/>
    <s v="JRNL00851462"/>
    <m/>
    <d v="2017-07-10T00:00:00"/>
    <d v="2017-07-11T00:00:00"/>
    <m/>
    <m/>
    <s v="wci_wa"/>
    <n v="0"/>
    <n v="0"/>
    <n v="0"/>
    <n v="0"/>
    <n v="5"/>
    <n v="1"/>
    <n v="70225"/>
    <n v="2010"/>
    <n v="0"/>
    <n v="0"/>
    <m/>
    <m/>
    <m/>
    <m/>
    <s v=""/>
  </r>
  <r>
    <s v="70225-2010-000-00"/>
    <d v="2017-07-31T00:00:00"/>
    <n v="1084"/>
    <n v="0"/>
    <s v="USD"/>
    <s v="JRNLWA00358110"/>
    <s v="P"/>
    <s v="PCard Activity July - Western"/>
    <s v="HeatherWe"/>
    <s v="0/JE IC"/>
    <m/>
    <m/>
    <x v="4"/>
    <m/>
    <m/>
    <m/>
    <m/>
    <m/>
    <m/>
    <s v="JRNL00853023"/>
    <s v="JRNL00853023"/>
    <m/>
    <d v="2017-08-01T00:00:00"/>
    <d v="2017-08-02T00:00:00"/>
    <m/>
    <m/>
    <s v="wci_wa"/>
    <n v="0"/>
    <n v="0"/>
    <n v="0"/>
    <n v="0"/>
    <n v="0"/>
    <n v="1"/>
    <n v="70225"/>
    <n v="2010"/>
    <n v="0"/>
    <n v="0"/>
    <m/>
    <m/>
    <m/>
    <m/>
    <s v=""/>
  </r>
  <r>
    <s v="70225-2010-000-00"/>
    <d v="2017-07-31T00:00:00"/>
    <n v="271"/>
    <n v="0"/>
    <s v="USD"/>
    <s v="JRNLWA00358110"/>
    <s v="P"/>
    <s v="PCard Activity July - Western"/>
    <s v="HeatherWe"/>
    <s v="0/JE IC"/>
    <m/>
    <m/>
    <x v="4"/>
    <m/>
    <m/>
    <m/>
    <m/>
    <m/>
    <m/>
    <s v="JRNL00853023"/>
    <s v="JRNL00853023"/>
    <m/>
    <d v="2017-08-01T00:00:00"/>
    <d v="2017-08-02T00:00:00"/>
    <m/>
    <m/>
    <s v="wci_wa"/>
    <n v="0"/>
    <n v="0"/>
    <n v="0"/>
    <n v="0"/>
    <n v="0"/>
    <n v="1"/>
    <n v="70225"/>
    <n v="2010"/>
    <n v="0"/>
    <n v="0"/>
    <m/>
    <m/>
    <m/>
    <m/>
    <s v=""/>
  </r>
  <r>
    <s v="70225-2010-000-00"/>
    <d v="2017-08-31T00:00:00"/>
    <n v="21.68"/>
    <n v="0"/>
    <s v="USD"/>
    <s v="JRNLWA00359794"/>
    <s v="P"/>
    <s v="PCard Activity - Aug - Western"/>
    <s v="HeatherWe"/>
    <s v="0/JE IC"/>
    <m/>
    <m/>
    <x v="4"/>
    <m/>
    <m/>
    <m/>
    <m/>
    <m/>
    <m/>
    <s v="JRNL00857227"/>
    <s v="JRNL00857227"/>
    <m/>
    <d v="2017-09-05T00:00:00"/>
    <d v="2017-09-06T00:00:00"/>
    <m/>
    <m/>
    <s v="wci_wa"/>
    <n v="0"/>
    <n v="0"/>
    <n v="0"/>
    <n v="0"/>
    <n v="0"/>
    <n v="1"/>
    <n v="70225"/>
    <n v="2010"/>
    <n v="0"/>
    <n v="0"/>
    <m/>
    <m/>
    <m/>
    <m/>
    <s v=""/>
  </r>
  <r>
    <s v="70225-2010-000-00"/>
    <d v="2017-08-31T00:00:00"/>
    <n v="10.84"/>
    <n v="0"/>
    <s v="USD"/>
    <s v="JRNLWA00359794"/>
    <s v="P"/>
    <s v="PCard Activity - Aug - Western"/>
    <s v="HeatherWe"/>
    <s v="0/JE IC"/>
    <m/>
    <m/>
    <x v="4"/>
    <m/>
    <m/>
    <m/>
    <m/>
    <m/>
    <m/>
    <s v="JRNL00857227"/>
    <s v="JRNL00857227"/>
    <m/>
    <d v="2017-09-05T00:00:00"/>
    <d v="2017-09-06T00:00:00"/>
    <m/>
    <m/>
    <s v="wci_wa"/>
    <n v="0"/>
    <n v="0"/>
    <n v="0"/>
    <n v="0"/>
    <n v="0"/>
    <n v="1"/>
    <n v="70225"/>
    <n v="2010"/>
    <n v="0"/>
    <n v="0"/>
    <m/>
    <m/>
    <m/>
    <m/>
    <s v=""/>
  </r>
  <r>
    <s v="70225-2010-000-00"/>
    <d v="2017-08-31T00:00:00"/>
    <n v="861.13"/>
    <n v="0"/>
    <s v="USD"/>
    <s v="JRNLWA00360296"/>
    <s v="P"/>
    <s v="Exp2: PO Log Accrual"/>
    <s v="HeatherWe"/>
    <s v="0/JE IC"/>
    <m/>
    <m/>
    <x v="7"/>
    <m/>
    <m/>
    <m/>
    <m/>
    <m/>
    <m/>
    <s v="JRNL00858320"/>
    <s v="JRNL00858320"/>
    <m/>
    <d v="2017-09-07T00:00:00"/>
    <d v="2017-09-07T00:00:00"/>
    <m/>
    <m/>
    <s v="wci_wa"/>
    <n v="0"/>
    <n v="0"/>
    <n v="0"/>
    <n v="0"/>
    <n v="0"/>
    <n v="1"/>
    <n v="70225"/>
    <n v="2010"/>
    <n v="0"/>
    <n v="0"/>
    <m/>
    <m/>
    <m/>
    <m/>
    <s v=""/>
  </r>
  <r>
    <s v="70225-2010-000-00"/>
    <d v="2017-09-07T00:00:00"/>
    <n v="861.13"/>
    <n v="0"/>
    <s v="USD"/>
    <s v="JRNLWA00360158"/>
    <s v="P"/>
    <s v="From Voucher Posting."/>
    <s v="JeffS"/>
    <s v="0/JE IC"/>
    <s v="VUS000012257"/>
    <m/>
    <x v="0"/>
    <d v="2017-08-31T00:00:00"/>
    <s v="2017 Holiday Schedule per Bridget Simard"/>
    <n v="3125065"/>
    <s v="PO-2010-17-00285"/>
    <m/>
    <m/>
    <s v="VO04402184"/>
    <s v="JRNL00857963"/>
    <n v="2010"/>
    <d v="2017-09-07T00:00:00"/>
    <d v="2017-09-07T00:00:00"/>
    <n v="861.13"/>
    <d v="2017-09-10T00:00:00"/>
    <s v="wci_wa"/>
    <n v="0"/>
    <n v="0"/>
    <n v="0"/>
    <n v="0"/>
    <n v="0"/>
    <n v="1"/>
    <n v="70225"/>
    <n v="2010"/>
    <n v="0"/>
    <n v="0"/>
    <m/>
    <m/>
    <m/>
    <m/>
    <s v="VO04402184"/>
  </r>
  <r>
    <s v="70225-2010-000-00"/>
    <d v="2017-09-30T00:00:00"/>
    <n v="-861.13"/>
    <n v="0"/>
    <s v="USD"/>
    <s v="JRNLWA00360332"/>
    <s v="P"/>
    <s v="Exp2: PO Log Accrual"/>
    <s v="HeatherWe"/>
    <s v="0/JE IC"/>
    <m/>
    <m/>
    <x v="7"/>
    <m/>
    <m/>
    <m/>
    <m/>
    <m/>
    <m/>
    <s v="JRNL00858320"/>
    <s v="JRNL00858336"/>
    <m/>
    <d v="2017-09-07T00:00:00"/>
    <d v="2017-09-07T00:00:00"/>
    <m/>
    <m/>
    <s v="wci_wa"/>
    <n v="0"/>
    <n v="0"/>
    <n v="0"/>
    <n v="0"/>
    <n v="5"/>
    <n v="1"/>
    <n v="70225"/>
    <n v="2010"/>
    <n v="0"/>
    <n v="0"/>
    <m/>
    <m/>
    <m/>
    <m/>
    <s v=""/>
  </r>
  <r>
    <s v="70225-2010-000-00"/>
    <d v="2017-09-30T00:00:00"/>
    <n v="1084"/>
    <n v="0"/>
    <s v="USD"/>
    <s v="JRNLWA00361268"/>
    <s v="P"/>
    <s v="PCard Activity - Sep - Western"/>
    <s v="HeatherWe"/>
    <s v="0/JE IC"/>
    <m/>
    <m/>
    <x v="4"/>
    <m/>
    <m/>
    <m/>
    <m/>
    <m/>
    <m/>
    <s v="JRNL00860630"/>
    <s v="JRNL00860630"/>
    <m/>
    <d v="2017-10-03T00:00:00"/>
    <d v="2017-10-03T00:00:00"/>
    <m/>
    <m/>
    <s v="wci_wa"/>
    <n v="0"/>
    <n v="0"/>
    <n v="0"/>
    <n v="0"/>
    <n v="0"/>
    <n v="1"/>
    <n v="70225"/>
    <n v="2010"/>
    <n v="0"/>
    <n v="0"/>
    <m/>
    <m/>
    <m/>
    <m/>
    <s v=""/>
  </r>
  <r>
    <s v="70225-2010-000-00"/>
    <d v="2017-09-30T00:00:00"/>
    <n v="325.2"/>
    <n v="0"/>
    <s v="USD"/>
    <s v="JRNLWA00361268"/>
    <s v="P"/>
    <s v="PCard Activity - Sep - Western"/>
    <s v="HeatherWe"/>
    <s v="0/JE IC"/>
    <m/>
    <m/>
    <x v="4"/>
    <m/>
    <m/>
    <m/>
    <m/>
    <m/>
    <m/>
    <s v="JRNL00860630"/>
    <s v="JRNL00860630"/>
    <m/>
    <d v="2017-10-03T00:00:00"/>
    <d v="2017-10-03T00:00:00"/>
    <m/>
    <m/>
    <s v="wci_wa"/>
    <n v="0"/>
    <n v="0"/>
    <n v="0"/>
    <n v="0"/>
    <n v="0"/>
    <n v="1"/>
    <n v="70225"/>
    <n v="2010"/>
    <n v="0"/>
    <n v="0"/>
    <m/>
    <m/>
    <m/>
    <m/>
    <s v=""/>
  </r>
  <r>
    <s v="70225-2010-000-00"/>
    <d v="2017-09-30T00:00:00"/>
    <n v="10.84"/>
    <n v="0"/>
    <s v="USD"/>
    <s v="JRNLWA00361268"/>
    <s v="P"/>
    <s v="PCard Activity - Sep - Western"/>
    <s v="HeatherWe"/>
    <s v="0/JE IC"/>
    <m/>
    <m/>
    <x v="4"/>
    <m/>
    <m/>
    <m/>
    <m/>
    <m/>
    <m/>
    <s v="JRNL00860630"/>
    <s v="JRNL00860630"/>
    <m/>
    <d v="2017-10-03T00:00:00"/>
    <d v="2017-10-03T00:00:00"/>
    <m/>
    <m/>
    <s v="wci_wa"/>
    <n v="0"/>
    <n v="0"/>
    <n v="0"/>
    <n v="0"/>
    <n v="0"/>
    <n v="1"/>
    <n v="70225"/>
    <n v="2010"/>
    <n v="0"/>
    <n v="0"/>
    <m/>
    <m/>
    <m/>
    <m/>
    <s v=""/>
  </r>
</pivotCacheRecords>
</file>

<file path=xl/pivotCache/pivotCacheRecords3.xml><?xml version="1.0" encoding="utf-8"?>
<pivotCacheRecords xmlns="http://schemas.openxmlformats.org/spreadsheetml/2006/main" xmlns:r="http://schemas.openxmlformats.org/officeDocument/2006/relationships" count="70">
  <r>
    <s v="43001-2010-000-00"/>
    <d v="2016-10-25T00:00:00"/>
    <n v="444.08"/>
    <n v="0"/>
    <s v="USD"/>
    <s v="JRNLWA00344036"/>
    <s v="P"/>
    <s v="From Voucher Posting."/>
    <s v="RosemaryS"/>
    <s v="0/JE IC"/>
    <s v="10DEPTREV"/>
    <s v="WASHINGTON DEPARTMENT OF REVENUE"/>
    <x v="0"/>
    <d v="2016-10-24T00:00:00"/>
    <s v="Excise Tax for September 2016"/>
    <d v="2023-03-24T00:00:00"/>
    <s v="PO-2010-16-03491"/>
    <m/>
    <m/>
    <s v="VO04088041"/>
    <s v="JRNL00817767"/>
    <n v="1010"/>
    <d v="2016-10-25T00:00:00"/>
    <d v="2016-11-01T00:00:00"/>
    <n v="254135"/>
    <d v="2016-10-25T00:00:00"/>
    <s v="wci_wa"/>
    <n v="0"/>
    <n v="0"/>
    <n v="0"/>
    <n v="0"/>
    <n v="0"/>
    <n v="1"/>
    <n v="43001"/>
    <n v="2010"/>
    <n v="0"/>
    <n v="0"/>
    <m/>
    <m/>
    <m/>
    <m/>
    <s v="VO04088041"/>
  </r>
  <r>
    <s v="43001-2010-000-00"/>
    <d v="2016-10-31T00:00:00"/>
    <n v="404.68"/>
    <n v="0"/>
    <s v="USD"/>
    <s v="JRNLWA00345138"/>
    <s v="P"/>
    <s v="TAX3-Accr Utility Taxes"/>
    <s v="AmandaH"/>
    <s v="0/JE STD"/>
    <m/>
    <m/>
    <x v="1"/>
    <m/>
    <m/>
    <m/>
    <m/>
    <m/>
    <m/>
    <s v="JRNLWA00345138"/>
    <m/>
    <m/>
    <d v="2016-11-07T00:00:00"/>
    <d v="2016-11-08T00:00:00"/>
    <m/>
    <m/>
    <s v="wci_wa"/>
    <n v="0"/>
    <n v="0"/>
    <n v="0"/>
    <n v="0"/>
    <n v="0"/>
    <n v="1"/>
    <n v="43001"/>
    <n v="2010"/>
    <n v="0"/>
    <n v="0"/>
    <m/>
    <m/>
    <m/>
    <m/>
    <s v=""/>
  </r>
  <r>
    <s v="43001-2010-000-00"/>
    <d v="2016-10-31T00:00:00"/>
    <n v="79341.09"/>
    <n v="0"/>
    <s v="USD"/>
    <s v="JRNLWA00345139"/>
    <s v="P"/>
    <s v="TAX5-Accr. B&amp;O Tax"/>
    <s v="AmandaH"/>
    <s v="0/JE STD"/>
    <m/>
    <m/>
    <x v="2"/>
    <m/>
    <m/>
    <m/>
    <m/>
    <m/>
    <m/>
    <s v="JRNLWA00345139"/>
    <m/>
    <m/>
    <d v="2016-11-07T00:00:00"/>
    <d v="2016-11-08T00:00:00"/>
    <m/>
    <m/>
    <s v="wci_wa"/>
    <n v="0"/>
    <n v="0"/>
    <n v="0"/>
    <n v="0"/>
    <n v="0"/>
    <n v="1"/>
    <n v="43001"/>
    <n v="2010"/>
    <n v="0"/>
    <n v="0"/>
    <m/>
    <m/>
    <m/>
    <m/>
    <s v=""/>
  </r>
  <r>
    <s v="43001-2010-000-00"/>
    <d v="2016-10-31T00:00:00"/>
    <n v="-1461.31"/>
    <n v="0"/>
    <s v="USD"/>
    <s v="JRNLWA00345144"/>
    <s v="P"/>
    <s v="MISC5: Adj refuse tax accrual"/>
    <s v="AmandaH"/>
    <s v="0/JE STD"/>
    <m/>
    <m/>
    <x v="3"/>
    <m/>
    <m/>
    <m/>
    <m/>
    <m/>
    <m/>
    <s v="JRNLWA00345144"/>
    <m/>
    <m/>
    <d v="2016-11-07T00:00:00"/>
    <d v="2016-11-08T00:00:00"/>
    <m/>
    <m/>
    <s v="wci_wa"/>
    <n v="0"/>
    <n v="0"/>
    <n v="0"/>
    <n v="0"/>
    <n v="0"/>
    <n v="1"/>
    <n v="43001"/>
    <n v="2010"/>
    <n v="0"/>
    <n v="0"/>
    <m/>
    <m/>
    <m/>
    <m/>
    <s v=""/>
  </r>
  <r>
    <s v="43001-2010-000-00"/>
    <d v="2016-11-21T00:00:00"/>
    <n v="439.21"/>
    <n v="0"/>
    <s v="USD"/>
    <s v="JRNLWA00345526"/>
    <s v="P"/>
    <s v="From Voucher Posting."/>
    <s v="RosemaryS"/>
    <s v="0/JE IC"/>
    <s v="10DEPTREV"/>
    <s v="WASHINGTON DEPARTMENT OF REVENUE"/>
    <x v="0"/>
    <d v="2016-11-21T00:00:00"/>
    <s v="Excise Tax for October 2016"/>
    <d v="1936-09-11T00:00:00"/>
    <s v="PO-2010-16-03849"/>
    <m/>
    <m/>
    <s v="VO04116987"/>
    <s v="JRNL00821454"/>
    <n v="1010"/>
    <d v="2016-11-21T00:00:00"/>
    <d v="2016-11-23T00:00:00"/>
    <n v="243995"/>
    <d v="2016-11-22T00:00:00"/>
    <s v="wci_wa"/>
    <n v="0"/>
    <n v="0"/>
    <n v="0"/>
    <n v="0"/>
    <n v="0"/>
    <n v="1"/>
    <n v="43001"/>
    <n v="2010"/>
    <n v="0"/>
    <n v="0"/>
    <m/>
    <m/>
    <m/>
    <m/>
    <s v="VO04116987"/>
  </r>
  <r>
    <s v="43001-2010-000-00"/>
    <d v="2016-11-30T00:00:00"/>
    <n v="-17.29"/>
    <n v="0"/>
    <s v="USD"/>
    <s v="JRNLWA00346589"/>
    <s v="P"/>
    <s v="TAX3-Accr Utility Taxes"/>
    <s v="AmandaH"/>
    <s v="0/JE STD"/>
    <m/>
    <m/>
    <x v="4"/>
    <m/>
    <m/>
    <m/>
    <m/>
    <m/>
    <m/>
    <s v="JRNLWA00346589"/>
    <m/>
    <m/>
    <d v="2016-12-07T00:00:00"/>
    <d v="2016-12-07T00:00:00"/>
    <m/>
    <m/>
    <s v="wci_wa"/>
    <n v="0"/>
    <n v="0"/>
    <n v="0"/>
    <n v="0"/>
    <n v="0"/>
    <n v="1"/>
    <n v="43001"/>
    <n v="2010"/>
    <n v="0"/>
    <n v="0"/>
    <m/>
    <m/>
    <m/>
    <m/>
    <s v=""/>
  </r>
  <r>
    <s v="43001-2010-000-00"/>
    <d v="2016-11-30T00:00:00"/>
    <n v="79536.37"/>
    <n v="0"/>
    <s v="USD"/>
    <s v="JRNLWA00346590"/>
    <s v="P"/>
    <s v="TAX5-Accr. B&amp;O Tax"/>
    <s v="AmandaH"/>
    <s v="0/JE STD"/>
    <m/>
    <m/>
    <x v="2"/>
    <m/>
    <m/>
    <m/>
    <m/>
    <m/>
    <m/>
    <s v="JRNLWA00346590"/>
    <m/>
    <m/>
    <d v="2016-12-07T00:00:00"/>
    <d v="2016-12-07T00:00:00"/>
    <m/>
    <m/>
    <s v="wci_wa"/>
    <n v="0"/>
    <n v="0"/>
    <n v="0"/>
    <n v="0"/>
    <n v="0"/>
    <n v="1"/>
    <n v="43001"/>
    <n v="2010"/>
    <n v="0"/>
    <n v="0"/>
    <m/>
    <m/>
    <m/>
    <m/>
    <s v=""/>
  </r>
  <r>
    <s v="43001-2010-000-00"/>
    <d v="2016-12-20T00:00:00"/>
    <n v="423.17"/>
    <n v="0"/>
    <s v="USD"/>
    <s v="JRNLWA00346952"/>
    <s v="P"/>
    <s v="From Voucher Posting."/>
    <s v="RosemaryS"/>
    <s v="0/JE IC"/>
    <s v="10DEPTREV"/>
    <s v="WASHINGTON DEPARTMENT OF REVENUE"/>
    <x v="0"/>
    <d v="2016-12-20T00:00:00"/>
    <s v="Excise Tax for November 2016"/>
    <d v="1903-06-16T00:00:00"/>
    <s v="PO-2010-16-04160"/>
    <m/>
    <m/>
    <s v="VO04143566"/>
    <s v="JRNL00824992"/>
    <n v="1010"/>
    <d v="2016-12-20T00:00:00"/>
    <d v="2016-12-23T00:00:00"/>
    <n v="244376"/>
    <d v="2016-12-21T00:00:00"/>
    <s v="wci_wa"/>
    <n v="0"/>
    <n v="0"/>
    <n v="0"/>
    <n v="0"/>
    <n v="0"/>
    <n v="1"/>
    <n v="43001"/>
    <n v="2010"/>
    <n v="0"/>
    <n v="0"/>
    <m/>
    <m/>
    <m/>
    <m/>
    <s v="VO04143566"/>
  </r>
  <r>
    <s v="43001-2010-000-00"/>
    <d v="2016-12-31T00:00:00"/>
    <n v="78460.740000000005"/>
    <n v="0"/>
    <s v="USD"/>
    <s v="JRNLWA00348031"/>
    <s v="P"/>
    <s v="TAX5-Accr. B&amp;O Tax"/>
    <s v="AmandaH"/>
    <s v="0/JE STD"/>
    <m/>
    <m/>
    <x v="2"/>
    <m/>
    <m/>
    <m/>
    <m/>
    <m/>
    <m/>
    <s v="JRNLWA00348031"/>
    <m/>
    <m/>
    <d v="2017-01-06T00:00:00"/>
    <d v="2017-01-06T00:00:00"/>
    <m/>
    <m/>
    <s v="wci_wa"/>
    <n v="0"/>
    <n v="0"/>
    <n v="0"/>
    <n v="0"/>
    <n v="0"/>
    <n v="1"/>
    <n v="43001"/>
    <n v="2010"/>
    <n v="0"/>
    <n v="0"/>
    <m/>
    <m/>
    <m/>
    <m/>
    <s v=""/>
  </r>
  <r>
    <s v="43001-2010-000-00"/>
    <d v="2016-12-31T00:00:00"/>
    <n v="-121.77"/>
    <n v="0"/>
    <s v="USD"/>
    <s v="JRNLWA00348031"/>
    <s v="P"/>
    <s v="TAX5-Accr. B&amp;O Tax"/>
    <s v="AmandaH"/>
    <s v="0/JE STD"/>
    <m/>
    <m/>
    <x v="5"/>
    <m/>
    <m/>
    <m/>
    <m/>
    <m/>
    <m/>
    <s v="JRNLWA00348031"/>
    <m/>
    <m/>
    <d v="2017-01-06T00:00:00"/>
    <d v="2017-01-06T00:00:00"/>
    <m/>
    <m/>
    <s v="wci_wa"/>
    <n v="0"/>
    <n v="0"/>
    <n v="0"/>
    <n v="0"/>
    <n v="0"/>
    <n v="1"/>
    <n v="43001"/>
    <n v="2010"/>
    <n v="0"/>
    <n v="0"/>
    <m/>
    <m/>
    <m/>
    <m/>
    <s v=""/>
  </r>
  <r>
    <s v="43001-2010-000-00"/>
    <d v="2016-12-31T00:00:00"/>
    <n v="-928"/>
    <n v="0"/>
    <s v="USD"/>
    <s v="JRNLWA00348220"/>
    <s v="P"/>
    <s v="MISC14: True Up Taxes"/>
    <s v="AmandaH"/>
    <s v="0/JE STD"/>
    <m/>
    <m/>
    <x v="6"/>
    <m/>
    <m/>
    <m/>
    <m/>
    <m/>
    <m/>
    <s v="JRNLWA00348220"/>
    <m/>
    <m/>
    <d v="2017-01-09T00:00:00"/>
    <d v="2017-01-09T00:00:00"/>
    <m/>
    <m/>
    <s v="wci_wa"/>
    <n v="0"/>
    <n v="0"/>
    <n v="0"/>
    <n v="0"/>
    <n v="0"/>
    <n v="1"/>
    <n v="43001"/>
    <n v="2010"/>
    <n v="0"/>
    <n v="0"/>
    <m/>
    <m/>
    <m/>
    <m/>
    <s v=""/>
  </r>
  <r>
    <s v="43001-2010-000-00"/>
    <d v="2016-12-31T00:00:00"/>
    <n v="1351.03"/>
    <n v="0"/>
    <s v="USD"/>
    <s v="JRNLWA00348466"/>
    <s v="P"/>
    <s v="MISC16: True Up Deferred Taxes"/>
    <s v="AmandaH"/>
    <s v="0/JE STD"/>
    <m/>
    <m/>
    <x v="7"/>
    <m/>
    <m/>
    <m/>
    <m/>
    <m/>
    <m/>
    <s v="JRNLWA00348466"/>
    <m/>
    <m/>
    <d v="2017-01-09T00:00:00"/>
    <d v="2017-01-10T00:00:00"/>
    <m/>
    <m/>
    <s v="wci_wa"/>
    <n v="0"/>
    <n v="0"/>
    <n v="0"/>
    <n v="0"/>
    <n v="0"/>
    <n v="1"/>
    <n v="43001"/>
    <n v="2010"/>
    <n v="0"/>
    <n v="0"/>
    <m/>
    <m/>
    <m/>
    <m/>
    <s v=""/>
  </r>
  <r>
    <s v="43001-2010-000-00"/>
    <d v="2017-01-23T00:00:00"/>
    <n v="435.66"/>
    <n v="0"/>
    <s v="USD"/>
    <s v="JRNLWA00348618"/>
    <s v="P"/>
    <s v="From Voucher Posting."/>
    <s v="RosemaryS"/>
    <s v="0/JE IC"/>
    <s v="10DEPTREV"/>
    <s v="WASHINGTON DEPARTMENT OF REVENUE"/>
    <x v="0"/>
    <d v="2017-01-23T00:00:00"/>
    <s v="Excise Tax for December 2016"/>
    <d v="1986-04-11T00:00:00"/>
    <s v="PO-2010-17-00279"/>
    <m/>
    <m/>
    <s v="VO04180659"/>
    <s v="JRNL00829034"/>
    <n v="2010"/>
    <d v="2017-01-23T00:00:00"/>
    <d v="2017-01-24T00:00:00"/>
    <n v="237383"/>
    <d v="2017-01-24T00:00:00"/>
    <s v="wci_wa"/>
    <n v="0"/>
    <n v="0"/>
    <n v="0"/>
    <n v="0"/>
    <n v="0"/>
    <n v="1"/>
    <n v="43001"/>
    <n v="2010"/>
    <n v="0"/>
    <n v="0"/>
    <m/>
    <m/>
    <m/>
    <m/>
    <s v="VO04180659"/>
  </r>
  <r>
    <s v="43001-2010-000-00"/>
    <d v="2017-01-31T00:00:00"/>
    <n v="76812.59"/>
    <n v="0"/>
    <s v="USD"/>
    <s v="JRNLWA00349443"/>
    <s v="P"/>
    <s v="TAX5-Accr. B&amp;O Tax"/>
    <s v="AmandaH"/>
    <s v="0/JE STD"/>
    <m/>
    <m/>
    <x v="2"/>
    <m/>
    <m/>
    <m/>
    <m/>
    <m/>
    <m/>
    <s v="JRNLWA00349443"/>
    <m/>
    <m/>
    <d v="2017-02-06T00:00:00"/>
    <d v="2017-02-07T00:00:00"/>
    <m/>
    <m/>
    <s v="wci_wa"/>
    <n v="0"/>
    <n v="0"/>
    <n v="0"/>
    <n v="0"/>
    <n v="0"/>
    <n v="1"/>
    <n v="43001"/>
    <n v="2010"/>
    <n v="0"/>
    <n v="0"/>
    <m/>
    <m/>
    <m/>
    <m/>
    <s v=""/>
  </r>
  <r>
    <s v="43001-2010-000-00"/>
    <d v="2017-02-23T00:00:00"/>
    <n v="440.54"/>
    <n v="0"/>
    <s v="USD"/>
    <s v="JRNLWA00350159"/>
    <s v="P"/>
    <s v="From Voucher Posting."/>
    <s v="RosemaryS"/>
    <s v="0/JE IC"/>
    <s v="10DEPTREV"/>
    <s v="WASHINGTON DEPARTMENT OF REVENUE"/>
    <x v="0"/>
    <d v="2017-02-21T00:00:00"/>
    <s v="Excise Tax for January 2017"/>
    <d v="1929-03-17T00:00:00"/>
    <s v="PO-2010-17-00674"/>
    <m/>
    <m/>
    <s v="VO04210229"/>
    <s v="JRNL00833050"/>
    <n v="2010"/>
    <d v="2017-02-23T00:00:00"/>
    <d v="2017-02-27T00:00:00"/>
    <n v="239045"/>
    <d v="2017-02-22T00:00:00"/>
    <s v="wci_wa"/>
    <n v="0"/>
    <n v="0"/>
    <n v="0"/>
    <n v="0"/>
    <n v="0"/>
    <n v="1"/>
    <n v="43001"/>
    <n v="2010"/>
    <n v="0"/>
    <n v="0"/>
    <m/>
    <m/>
    <m/>
    <m/>
    <s v="VO04210229"/>
  </r>
  <r>
    <s v="43001-2010-000-00"/>
    <d v="2017-02-28T00:00:00"/>
    <n v="2066.6799999999998"/>
    <n v="0"/>
    <s v="USD"/>
    <s v="JRNLWA00350814"/>
    <s v="P"/>
    <s v="OPEX14-Rrcd Prepaids Amort"/>
    <s v="DarcieB"/>
    <s v="0/JE STD"/>
    <m/>
    <m/>
    <x v="8"/>
    <m/>
    <m/>
    <m/>
    <m/>
    <m/>
    <m/>
    <s v="JRNLWA00350814"/>
    <m/>
    <m/>
    <d v="2017-03-05T00:00:00"/>
    <d v="2017-03-06T00:00:00"/>
    <m/>
    <m/>
    <s v="wci_wa"/>
    <n v="0"/>
    <n v="0"/>
    <n v="0"/>
    <n v="0"/>
    <n v="0"/>
    <n v="1"/>
    <n v="43001"/>
    <n v="2010"/>
    <n v="0"/>
    <n v="0"/>
    <m/>
    <m/>
    <m/>
    <m/>
    <s v=""/>
  </r>
  <r>
    <s v="43001-2010-000-00"/>
    <d v="2017-02-28T00:00:00"/>
    <n v="77694.36"/>
    <n v="0"/>
    <s v="USD"/>
    <s v="JRNLWA00350819"/>
    <s v="P"/>
    <s v="TAX5-Accr. B&amp;O Tax"/>
    <s v="DarcieB"/>
    <s v="0/JE STD"/>
    <m/>
    <m/>
    <x v="2"/>
    <m/>
    <m/>
    <m/>
    <m/>
    <m/>
    <m/>
    <s v="JRNLWA00350819"/>
    <m/>
    <m/>
    <d v="2017-03-05T00:00:00"/>
    <d v="2017-03-06T00:00:00"/>
    <m/>
    <m/>
    <s v="wci_wa"/>
    <n v="0"/>
    <n v="0"/>
    <n v="0"/>
    <n v="0"/>
    <n v="0"/>
    <n v="1"/>
    <n v="43001"/>
    <n v="2010"/>
    <n v="0"/>
    <n v="0"/>
    <m/>
    <m/>
    <m/>
    <m/>
    <s v=""/>
  </r>
  <r>
    <s v="43001-2010-000-00"/>
    <d v="2017-03-22T00:00:00"/>
    <n v="466.01"/>
    <n v="0"/>
    <s v="USD"/>
    <s v="JRNLWA00351625"/>
    <s v="P"/>
    <s v="From Voucher Posting."/>
    <s v="RosemaryS"/>
    <s v="0/JE IC"/>
    <s v="10DEPTREV"/>
    <s v="WASHINGTON DEPARTMENT OF REVENUE"/>
    <x v="0"/>
    <d v="2017-03-21T00:00:00"/>
    <s v="Excise Tax for February 2017"/>
    <d v="1937-03-31T00:00:00"/>
    <s v="PO-2010-17-00944"/>
    <m/>
    <m/>
    <s v="VO04236912"/>
    <s v="JRNL00836699"/>
    <n v="2010"/>
    <d v="2017-03-22T00:00:00"/>
    <d v="2017-03-28T00:00:00"/>
    <n v="243196"/>
    <d v="2017-03-22T00:00:00"/>
    <s v="wci_wa"/>
    <n v="0"/>
    <n v="0"/>
    <n v="0"/>
    <n v="0"/>
    <n v="0"/>
    <n v="1"/>
    <n v="43001"/>
    <n v="2010"/>
    <n v="0"/>
    <n v="0"/>
    <m/>
    <m/>
    <m/>
    <m/>
    <s v="VO04236912"/>
  </r>
  <r>
    <s v="43001-2010-000-00"/>
    <d v="2017-03-31T00:00:00"/>
    <n v="1033.32"/>
    <n v="0"/>
    <s v="USD"/>
    <s v="JRNLWA00352388"/>
    <s v="P"/>
    <s v="OPEX14-Rrcd Prepaids Amort"/>
    <s v="DarcieB"/>
    <s v="0/JE STD"/>
    <m/>
    <m/>
    <x v="8"/>
    <m/>
    <m/>
    <m/>
    <m/>
    <m/>
    <m/>
    <s v="JRNLWA00352388"/>
    <m/>
    <m/>
    <d v="2017-04-06T00:00:00"/>
    <d v="2017-04-06T00:00:00"/>
    <m/>
    <m/>
    <s v="wci_wa"/>
    <n v="0"/>
    <n v="0"/>
    <n v="0"/>
    <n v="0"/>
    <n v="0"/>
    <n v="1"/>
    <n v="43001"/>
    <n v="2010"/>
    <n v="0"/>
    <n v="0"/>
    <m/>
    <m/>
    <m/>
    <m/>
    <s v=""/>
  </r>
  <r>
    <s v="43001-2010-000-00"/>
    <d v="2017-03-31T00:00:00"/>
    <n v="104.23"/>
    <n v="0"/>
    <s v="USD"/>
    <s v="JRNLWA00352392"/>
    <s v="P"/>
    <s v="TAX3-Accr Utility Taxes"/>
    <s v="DarcieB"/>
    <s v="0/JE STD"/>
    <m/>
    <m/>
    <x v="4"/>
    <m/>
    <m/>
    <m/>
    <m/>
    <m/>
    <m/>
    <s v="JRNLWA00352392"/>
    <m/>
    <m/>
    <d v="2017-04-06T00:00:00"/>
    <d v="2017-04-06T00:00:00"/>
    <m/>
    <m/>
    <s v="wci_wa"/>
    <n v="0"/>
    <n v="0"/>
    <n v="0"/>
    <n v="0"/>
    <n v="0"/>
    <n v="1"/>
    <n v="43001"/>
    <n v="2010"/>
    <n v="0"/>
    <n v="0"/>
    <m/>
    <m/>
    <m/>
    <m/>
    <s v=""/>
  </r>
  <r>
    <s v="43001-2010-000-00"/>
    <d v="2017-03-31T00:00:00"/>
    <n v="231.37"/>
    <n v="0"/>
    <s v="USD"/>
    <s v="JRNLWA00352392"/>
    <s v="P"/>
    <s v="TAX3-Accr Utility Taxes"/>
    <s v="DarcieB"/>
    <s v="0/JE STD"/>
    <m/>
    <m/>
    <x v="1"/>
    <m/>
    <m/>
    <m/>
    <m/>
    <m/>
    <m/>
    <s v="JRNLWA00352392"/>
    <m/>
    <m/>
    <d v="2017-04-06T00:00:00"/>
    <d v="2017-04-06T00:00:00"/>
    <m/>
    <m/>
    <s v="wci_wa"/>
    <n v="0"/>
    <n v="0"/>
    <n v="0"/>
    <n v="0"/>
    <n v="0"/>
    <n v="1"/>
    <n v="43001"/>
    <n v="2010"/>
    <n v="0"/>
    <n v="0"/>
    <m/>
    <m/>
    <m/>
    <m/>
    <s v=""/>
  </r>
  <r>
    <s v="43001-2010-000-00"/>
    <d v="2017-03-31T00:00:00"/>
    <n v="-1409.63"/>
    <n v="0"/>
    <s v="USD"/>
    <s v="JRNLWA00352392"/>
    <s v="P"/>
    <s v="TAX3-Accr Utility Taxes"/>
    <s v="DarcieB"/>
    <s v="0/JE STD"/>
    <m/>
    <m/>
    <x v="9"/>
    <m/>
    <m/>
    <m/>
    <m/>
    <m/>
    <m/>
    <s v="JRNLWA00352392"/>
    <m/>
    <m/>
    <d v="2017-04-06T00:00:00"/>
    <d v="2017-04-06T00:00:00"/>
    <m/>
    <m/>
    <s v="wci_wa"/>
    <n v="0"/>
    <n v="0"/>
    <n v="0"/>
    <n v="0"/>
    <n v="0"/>
    <n v="1"/>
    <n v="43001"/>
    <n v="2010"/>
    <n v="0"/>
    <n v="0"/>
    <m/>
    <m/>
    <m/>
    <m/>
    <s v=""/>
  </r>
  <r>
    <s v="43001-2010-000-00"/>
    <d v="2017-03-31T00:00:00"/>
    <n v="236.9"/>
    <n v="0"/>
    <s v="USD"/>
    <s v="JRNLWA00352392"/>
    <s v="P"/>
    <s v="TAX3-Accr Utility Taxes"/>
    <s v="DarcieB"/>
    <s v="0/JE STD"/>
    <m/>
    <m/>
    <x v="10"/>
    <m/>
    <m/>
    <m/>
    <m/>
    <m/>
    <m/>
    <s v="JRNLWA00352392"/>
    <m/>
    <m/>
    <d v="2017-04-06T00:00:00"/>
    <d v="2017-04-06T00:00:00"/>
    <m/>
    <m/>
    <s v="wci_wa"/>
    <n v="0"/>
    <n v="0"/>
    <n v="0"/>
    <n v="0"/>
    <n v="0"/>
    <n v="1"/>
    <n v="43001"/>
    <n v="2010"/>
    <n v="0"/>
    <n v="0"/>
    <m/>
    <m/>
    <m/>
    <m/>
    <s v=""/>
  </r>
  <r>
    <s v="43001-2010-000-00"/>
    <d v="2017-03-31T00:00:00"/>
    <n v="83503.820000000007"/>
    <n v="0"/>
    <s v="USD"/>
    <s v="JRNLWA00352393"/>
    <s v="P"/>
    <s v="TAX5-Accr. B&amp;O Tax"/>
    <s v="DarcieB"/>
    <s v="0/JE STD"/>
    <m/>
    <m/>
    <x v="2"/>
    <m/>
    <m/>
    <m/>
    <m/>
    <m/>
    <m/>
    <s v="JRNLWA00352393"/>
    <m/>
    <m/>
    <d v="2017-04-06T00:00:00"/>
    <d v="2017-04-06T00:00:00"/>
    <m/>
    <m/>
    <s v="wci_wa"/>
    <n v="0"/>
    <n v="0"/>
    <n v="0"/>
    <n v="0"/>
    <n v="0"/>
    <n v="1"/>
    <n v="43001"/>
    <n v="2010"/>
    <n v="0"/>
    <n v="0"/>
    <m/>
    <m/>
    <m/>
    <m/>
    <s v=""/>
  </r>
  <r>
    <s v="43001-2010-000-00"/>
    <d v="2017-03-31T00:00:00"/>
    <n v="-1002.73"/>
    <n v="0"/>
    <s v="USD"/>
    <s v="JRNLWA00352393"/>
    <s v="P"/>
    <s v="TAX5-Accr. B&amp;O Tax"/>
    <s v="DarcieB"/>
    <s v="0/JE STD"/>
    <m/>
    <m/>
    <x v="5"/>
    <m/>
    <m/>
    <m/>
    <m/>
    <m/>
    <m/>
    <s v="JRNLWA00352393"/>
    <m/>
    <m/>
    <d v="2017-04-06T00:00:00"/>
    <d v="2017-04-06T00:00:00"/>
    <m/>
    <m/>
    <s v="wci_wa"/>
    <n v="0"/>
    <n v="0"/>
    <n v="0"/>
    <n v="0"/>
    <n v="0"/>
    <n v="1"/>
    <n v="43001"/>
    <n v="2010"/>
    <n v="0"/>
    <n v="0"/>
    <m/>
    <m/>
    <m/>
    <m/>
    <s v=""/>
  </r>
  <r>
    <s v="43001-2010-000-00"/>
    <d v="2017-03-31T00:00:00"/>
    <n v="-97.72"/>
    <n v="0"/>
    <s v="USD"/>
    <s v="JRNLWA00352393"/>
    <s v="P"/>
    <s v="TAX5-Accr. B&amp;O Tax"/>
    <s v="DarcieB"/>
    <s v="0/JE STD"/>
    <m/>
    <m/>
    <x v="11"/>
    <m/>
    <m/>
    <m/>
    <m/>
    <m/>
    <m/>
    <s v="JRNLWA00352393"/>
    <m/>
    <m/>
    <d v="2017-04-06T00:00:00"/>
    <d v="2017-04-06T00:00:00"/>
    <m/>
    <m/>
    <s v="wci_wa"/>
    <n v="0"/>
    <n v="0"/>
    <n v="0"/>
    <n v="0"/>
    <n v="0"/>
    <n v="1"/>
    <n v="43001"/>
    <n v="2010"/>
    <n v="0"/>
    <n v="0"/>
    <m/>
    <m/>
    <m/>
    <m/>
    <s v=""/>
  </r>
  <r>
    <s v="43001-2010-000-00"/>
    <d v="2017-04-21T00:00:00"/>
    <n v="493.08"/>
    <n v="0"/>
    <s v="USD"/>
    <s v="JRNLWA00353200"/>
    <s v="P"/>
    <s v="From Voucher Posting."/>
    <s v="RosemaryS"/>
    <s v="0/JE IC"/>
    <s v="10DEPTREV"/>
    <s v="WASHINGTON DEPARTMENT OF REVENUE"/>
    <x v="0"/>
    <d v="2017-04-20T00:00:00"/>
    <s v="Excise Tax for March 2017"/>
    <d v="1912-07-18T00:00:00"/>
    <s v="PO-2010-17-01328"/>
    <m/>
    <m/>
    <s v="VO04268843"/>
    <s v="JRNL00840738"/>
    <n v="1010"/>
    <d v="2017-04-21T00:00:00"/>
    <d v="2017-04-25T00:00:00"/>
    <n v="258399"/>
    <d v="2017-04-21T00:00:00"/>
    <s v="wci_wa"/>
    <n v="0"/>
    <n v="0"/>
    <n v="0"/>
    <n v="0"/>
    <n v="0"/>
    <n v="1"/>
    <n v="43001"/>
    <n v="2010"/>
    <n v="0"/>
    <n v="0"/>
    <m/>
    <m/>
    <m/>
    <m/>
    <s v="VO04268843"/>
  </r>
  <r>
    <s v="43001-2010-000-00"/>
    <d v="2017-04-30T00:00:00"/>
    <n v="950"/>
    <n v="0"/>
    <s v="USD"/>
    <s v="JRNLWA00354050"/>
    <s v="P"/>
    <s v="OPEX14-Rrcd Prepaids Amort"/>
    <s v="DarcieB"/>
    <s v="0/JE STD"/>
    <m/>
    <m/>
    <x v="12"/>
    <m/>
    <m/>
    <m/>
    <m/>
    <m/>
    <m/>
    <s v="JRNLWA00354050"/>
    <m/>
    <m/>
    <d v="2017-05-04T00:00:00"/>
    <d v="2017-05-04T00:00:00"/>
    <m/>
    <m/>
    <s v="wci_wa"/>
    <n v="0"/>
    <n v="0"/>
    <n v="0"/>
    <n v="0"/>
    <n v="0"/>
    <n v="1"/>
    <n v="43001"/>
    <n v="2010"/>
    <n v="0"/>
    <n v="0"/>
    <m/>
    <m/>
    <m/>
    <m/>
    <s v=""/>
  </r>
  <r>
    <s v="43001-2010-000-00"/>
    <d v="2017-04-30T00:00:00"/>
    <n v="397.97"/>
    <n v="0"/>
    <s v="USD"/>
    <s v="JRNLWA00354050"/>
    <s v="P"/>
    <s v="OPEX14-Rrcd Prepaids Amort"/>
    <s v="DarcieB"/>
    <s v="0/JE STD"/>
    <m/>
    <m/>
    <x v="13"/>
    <m/>
    <m/>
    <m/>
    <m/>
    <m/>
    <m/>
    <s v="JRNLWA00354050"/>
    <m/>
    <m/>
    <d v="2017-05-04T00:00:00"/>
    <d v="2017-05-04T00:00:00"/>
    <m/>
    <m/>
    <s v="wci_wa"/>
    <n v="0"/>
    <n v="0"/>
    <n v="0"/>
    <n v="0"/>
    <n v="0"/>
    <n v="1"/>
    <n v="43001"/>
    <n v="2010"/>
    <n v="0"/>
    <n v="0"/>
    <m/>
    <m/>
    <m/>
    <m/>
    <s v=""/>
  </r>
  <r>
    <s v="43001-2010-000-00"/>
    <d v="2017-04-30T00:00:00"/>
    <n v="81357.429999999993"/>
    <n v="0"/>
    <s v="USD"/>
    <s v="JRNLWA00354055"/>
    <s v="P"/>
    <s v="TAX5-Accr. B&amp;O Tax"/>
    <s v="DarcieB"/>
    <s v="0/JE STD"/>
    <m/>
    <m/>
    <x v="2"/>
    <m/>
    <m/>
    <m/>
    <m/>
    <m/>
    <m/>
    <s v="JRNLWA00354055"/>
    <m/>
    <m/>
    <d v="2017-05-04T00:00:00"/>
    <d v="2017-05-04T00:00:00"/>
    <m/>
    <m/>
    <s v="wci_wa"/>
    <n v="0"/>
    <n v="0"/>
    <n v="0"/>
    <n v="0"/>
    <n v="0"/>
    <n v="1"/>
    <n v="43001"/>
    <n v="2010"/>
    <n v="0"/>
    <n v="0"/>
    <m/>
    <m/>
    <m/>
    <m/>
    <s v=""/>
  </r>
  <r>
    <s v="43001-2010-000-00"/>
    <d v="2017-04-30T00:00:00"/>
    <n v="-162.25"/>
    <n v="0"/>
    <s v="USD"/>
    <s v="JRNLWA00354055"/>
    <s v="P"/>
    <s v="TAX5-Accr. B&amp;O Tax"/>
    <s v="DarcieB"/>
    <s v="0/JE STD"/>
    <m/>
    <m/>
    <x v="5"/>
    <m/>
    <m/>
    <m/>
    <m/>
    <m/>
    <m/>
    <s v="JRNLWA00354055"/>
    <m/>
    <m/>
    <d v="2017-05-04T00:00:00"/>
    <d v="2017-05-04T00:00:00"/>
    <m/>
    <m/>
    <s v="wci_wa"/>
    <n v="0"/>
    <n v="0"/>
    <n v="0"/>
    <n v="0"/>
    <n v="0"/>
    <n v="1"/>
    <n v="43001"/>
    <n v="2010"/>
    <n v="0"/>
    <n v="0"/>
    <m/>
    <m/>
    <m/>
    <m/>
    <s v=""/>
  </r>
  <r>
    <s v="43001-2010-000-00"/>
    <d v="2017-05-19T00:00:00"/>
    <n v="495.25"/>
    <n v="0"/>
    <s v="USD"/>
    <s v="JRNLWA00354737"/>
    <s v="P"/>
    <s v="From Voucher Posting."/>
    <s v="RosemaryS"/>
    <s v="0/JE IC"/>
    <s v="10DEPTREV"/>
    <s v="WASHINGTON DEPARTMENT OF REVENUE"/>
    <x v="0"/>
    <d v="2017-05-19T00:00:00"/>
    <s v="Excise Tax for April 2017"/>
    <d v="2149-11-17T00:00:00"/>
    <s v="PO-2010-17-01671"/>
    <m/>
    <m/>
    <s v="VO04296722"/>
    <s v="JRNL00844539"/>
    <n v="1010"/>
    <d v="2017-05-19T00:00:00"/>
    <d v="2017-05-22T00:00:00"/>
    <n v="263007"/>
    <d v="2017-05-20T00:00:00"/>
    <s v="wci_wa"/>
    <n v="0"/>
    <n v="0"/>
    <n v="0"/>
    <n v="0"/>
    <n v="0"/>
    <n v="1"/>
    <n v="43001"/>
    <n v="2010"/>
    <n v="0"/>
    <n v="0"/>
    <m/>
    <m/>
    <m/>
    <m/>
    <s v="VO04296722"/>
  </r>
  <r>
    <s v="43001-2010-000-00"/>
    <d v="2017-05-31T00:00:00"/>
    <n v="185.92"/>
    <n v="0"/>
    <s v="USD"/>
    <s v="JRNLWA00355545"/>
    <s v="P"/>
    <s v="TAX3-Accr Utility Taxes"/>
    <s v="DarcieB"/>
    <s v="0/JE STD"/>
    <m/>
    <m/>
    <x v="4"/>
    <m/>
    <m/>
    <m/>
    <m/>
    <m/>
    <m/>
    <s v="JRNLWA00355545"/>
    <m/>
    <m/>
    <d v="2017-06-06T00:00:00"/>
    <d v="2017-06-06T00:00:00"/>
    <m/>
    <m/>
    <s v="wci_wa"/>
    <n v="0"/>
    <n v="0"/>
    <n v="0"/>
    <n v="0"/>
    <n v="0"/>
    <n v="1"/>
    <n v="43001"/>
    <n v="2010"/>
    <n v="0"/>
    <n v="0"/>
    <m/>
    <m/>
    <m/>
    <m/>
    <s v=""/>
  </r>
  <r>
    <s v="43001-2010-000-00"/>
    <d v="2017-05-31T00:00:00"/>
    <n v="160.47999999999999"/>
    <n v="0"/>
    <s v="USD"/>
    <s v="JRNLWA00355545"/>
    <s v="P"/>
    <s v="TAX3-Accr Utility Taxes"/>
    <s v="DarcieB"/>
    <s v="0/JE STD"/>
    <m/>
    <m/>
    <x v="1"/>
    <m/>
    <m/>
    <m/>
    <m/>
    <m/>
    <m/>
    <s v="JRNLWA00355545"/>
    <m/>
    <m/>
    <d v="2017-06-06T00:00:00"/>
    <d v="2017-06-06T00:00:00"/>
    <m/>
    <m/>
    <s v="wci_wa"/>
    <n v="0"/>
    <n v="0"/>
    <n v="0"/>
    <n v="0"/>
    <n v="0"/>
    <n v="1"/>
    <n v="43001"/>
    <n v="2010"/>
    <n v="0"/>
    <n v="0"/>
    <m/>
    <m/>
    <m/>
    <m/>
    <s v=""/>
  </r>
  <r>
    <s v="43001-2010-000-00"/>
    <d v="2017-05-31T00:00:00"/>
    <n v="-1131.98"/>
    <n v="0"/>
    <s v="USD"/>
    <s v="JRNLWA00355545"/>
    <s v="P"/>
    <s v="TAX3-Accr Utility Taxes"/>
    <s v="DarcieB"/>
    <s v="0/JE STD"/>
    <m/>
    <m/>
    <x v="9"/>
    <m/>
    <m/>
    <m/>
    <m/>
    <m/>
    <m/>
    <s v="JRNLWA00355545"/>
    <m/>
    <m/>
    <d v="2017-06-06T00:00:00"/>
    <d v="2017-06-06T00:00:00"/>
    <m/>
    <m/>
    <s v="wci_wa"/>
    <n v="0"/>
    <n v="0"/>
    <n v="0"/>
    <n v="0"/>
    <n v="0"/>
    <n v="1"/>
    <n v="43001"/>
    <n v="2010"/>
    <n v="0"/>
    <n v="0"/>
    <m/>
    <m/>
    <m/>
    <m/>
    <s v=""/>
  </r>
  <r>
    <s v="43001-2010-000-00"/>
    <d v="2017-05-31T00:00:00"/>
    <n v="84993.94"/>
    <n v="0"/>
    <s v="USD"/>
    <s v="JRNLWA00355549"/>
    <s v="P"/>
    <s v="TAX5-Accr. B&amp;O Tax"/>
    <s v="DarcieB"/>
    <s v="0/JE STD"/>
    <m/>
    <m/>
    <x v="2"/>
    <m/>
    <m/>
    <m/>
    <m/>
    <m/>
    <m/>
    <s v="JRNLWA00355549"/>
    <m/>
    <m/>
    <d v="2017-06-06T00:00:00"/>
    <d v="2017-06-06T00:00:00"/>
    <m/>
    <m/>
    <s v="wci_wa"/>
    <n v="0"/>
    <n v="0"/>
    <n v="0"/>
    <n v="0"/>
    <n v="0"/>
    <n v="1"/>
    <n v="43001"/>
    <n v="2010"/>
    <n v="0"/>
    <n v="0"/>
    <m/>
    <m/>
    <m/>
    <m/>
    <s v=""/>
  </r>
  <r>
    <s v="43001-2010-000-00"/>
    <d v="2017-05-31T00:00:00"/>
    <n v="-21.23"/>
    <n v="0"/>
    <s v="USD"/>
    <s v="JRNLWA00355549"/>
    <s v="P"/>
    <s v="TAX5-Accr. B&amp;O Tax"/>
    <s v="DarcieB"/>
    <s v="0/JE STD"/>
    <m/>
    <m/>
    <x v="5"/>
    <m/>
    <m/>
    <m/>
    <m/>
    <m/>
    <m/>
    <s v="JRNLWA00355549"/>
    <m/>
    <m/>
    <d v="2017-06-06T00:00:00"/>
    <d v="2017-06-06T00:00:00"/>
    <m/>
    <m/>
    <s v="wci_wa"/>
    <n v="0"/>
    <n v="0"/>
    <n v="0"/>
    <n v="0"/>
    <n v="0"/>
    <n v="1"/>
    <n v="43001"/>
    <n v="2010"/>
    <n v="0"/>
    <n v="0"/>
    <m/>
    <m/>
    <m/>
    <m/>
    <s v=""/>
  </r>
  <r>
    <s v="43001-2010-000-00"/>
    <d v="2017-05-31T00:00:00"/>
    <n v="950"/>
    <n v="0"/>
    <s v="USD"/>
    <s v="JRNLWA00355551"/>
    <s v="P"/>
    <s v="OPEX14-Rrcd Prepaids Amort"/>
    <s v="DarcieB"/>
    <s v="0/JE STD"/>
    <m/>
    <m/>
    <x v="12"/>
    <m/>
    <m/>
    <m/>
    <m/>
    <m/>
    <m/>
    <s v="JRNLWA00355551"/>
    <m/>
    <m/>
    <d v="2017-06-06T00:00:00"/>
    <d v="2017-06-06T00:00:00"/>
    <m/>
    <m/>
    <s v="wci_wa"/>
    <n v="0"/>
    <n v="0"/>
    <n v="0"/>
    <n v="0"/>
    <n v="0"/>
    <n v="1"/>
    <n v="43001"/>
    <n v="2010"/>
    <n v="0"/>
    <n v="0"/>
    <m/>
    <m/>
    <m/>
    <m/>
    <s v=""/>
  </r>
  <r>
    <s v="43001-2010-000-00"/>
    <d v="2017-06-21T00:00:00"/>
    <n v="540.16999999999996"/>
    <n v="0"/>
    <s v="USD"/>
    <s v="JRNLWA00356281"/>
    <s v="P"/>
    <s v="From Voucher Posting."/>
    <s v="RosemaryS"/>
    <s v="0/JE IC"/>
    <s v="10DEPTREV"/>
    <s v="WASHINGTON DEPARTMENT OF REVENUE"/>
    <x v="0"/>
    <d v="2017-06-21T00:00:00"/>
    <s v="Excise Tax for May 2017"/>
    <d v="1929-01-13T00:00:00"/>
    <s v="PO-2010-17-02106"/>
    <m/>
    <m/>
    <s v="VO04326155"/>
    <s v="JRNL00848321"/>
    <n v="1010"/>
    <d v="2017-06-21T00:00:00"/>
    <d v="2017-06-21T00:00:00"/>
    <n v="264685"/>
    <d v="2017-06-22T00:00:00"/>
    <s v="wci_wa"/>
    <n v="0"/>
    <n v="0"/>
    <n v="0"/>
    <n v="0"/>
    <n v="0"/>
    <n v="1"/>
    <n v="43001"/>
    <n v="2010"/>
    <n v="0"/>
    <n v="0"/>
    <m/>
    <m/>
    <m/>
    <m/>
    <s v="VO04326155"/>
  </r>
  <r>
    <s v="43001-2010-000-00"/>
    <d v="2017-06-30T00:00:00"/>
    <n v="-284.62"/>
    <n v="0"/>
    <s v="USD"/>
    <s v="JRNLWA00357331"/>
    <s v="P"/>
    <s v="TAX3-Accr Utility Taxes"/>
    <s v="DarcieB"/>
    <s v="0/JE STD"/>
    <m/>
    <m/>
    <x v="4"/>
    <m/>
    <m/>
    <m/>
    <m/>
    <m/>
    <m/>
    <s v="JRNLWA00357331"/>
    <m/>
    <m/>
    <d v="2017-07-10T00:00:00"/>
    <d v="2017-07-10T00:00:00"/>
    <m/>
    <m/>
    <s v="wci_wa"/>
    <n v="0"/>
    <n v="0"/>
    <n v="0"/>
    <n v="0"/>
    <n v="0"/>
    <n v="1"/>
    <n v="43001"/>
    <n v="2010"/>
    <n v="0"/>
    <n v="0"/>
    <m/>
    <m/>
    <m/>
    <m/>
    <s v=""/>
  </r>
  <r>
    <s v="43001-2010-000-00"/>
    <d v="2017-06-30T00:00:00"/>
    <n v="49.77"/>
    <n v="0"/>
    <s v="USD"/>
    <s v="JRNLWA00357331"/>
    <s v="P"/>
    <s v="TAX3-Accr Utility Taxes"/>
    <s v="DarcieB"/>
    <s v="0/JE STD"/>
    <m/>
    <m/>
    <x v="1"/>
    <m/>
    <m/>
    <m/>
    <m/>
    <m/>
    <m/>
    <s v="JRNLWA00357331"/>
    <m/>
    <m/>
    <d v="2017-07-10T00:00:00"/>
    <d v="2017-07-10T00:00:00"/>
    <m/>
    <m/>
    <s v="wci_wa"/>
    <n v="0"/>
    <n v="0"/>
    <n v="0"/>
    <n v="0"/>
    <n v="0"/>
    <n v="1"/>
    <n v="43001"/>
    <n v="2010"/>
    <n v="0"/>
    <n v="0"/>
    <m/>
    <m/>
    <m/>
    <m/>
    <s v=""/>
  </r>
  <r>
    <s v="43001-2010-000-00"/>
    <d v="2017-06-30T00:00:00"/>
    <n v="-385.99"/>
    <n v="0"/>
    <s v="USD"/>
    <s v="JRNLWA00357331"/>
    <s v="P"/>
    <s v="TAX3-Accr Utility Taxes"/>
    <s v="DarcieB"/>
    <s v="0/JE STD"/>
    <m/>
    <m/>
    <x v="9"/>
    <m/>
    <m/>
    <m/>
    <m/>
    <m/>
    <m/>
    <s v="JRNLWA00357331"/>
    <m/>
    <m/>
    <d v="2017-07-10T00:00:00"/>
    <d v="2017-07-10T00:00:00"/>
    <m/>
    <m/>
    <s v="wci_wa"/>
    <n v="0"/>
    <n v="0"/>
    <n v="0"/>
    <n v="0"/>
    <n v="0"/>
    <n v="1"/>
    <n v="43001"/>
    <n v="2010"/>
    <n v="0"/>
    <n v="0"/>
    <m/>
    <m/>
    <m/>
    <m/>
    <s v=""/>
  </r>
  <r>
    <s v="43001-2010-000-00"/>
    <d v="2017-06-30T00:00:00"/>
    <n v="950"/>
    <n v="0"/>
    <s v="USD"/>
    <s v="JRNLWA00357333"/>
    <s v="P"/>
    <s v="OPEX14-Rrcd Prepaids Amort"/>
    <s v="DarcieB"/>
    <s v="0/JE STD"/>
    <m/>
    <m/>
    <x v="12"/>
    <m/>
    <m/>
    <m/>
    <m/>
    <m/>
    <m/>
    <s v="JRNLWA00357333"/>
    <m/>
    <m/>
    <d v="2017-07-10T00:00:00"/>
    <d v="2017-07-10T00:00:00"/>
    <m/>
    <m/>
    <s v="wci_wa"/>
    <n v="0"/>
    <n v="0"/>
    <n v="0"/>
    <n v="0"/>
    <n v="0"/>
    <n v="1"/>
    <n v="43001"/>
    <n v="2010"/>
    <n v="0"/>
    <n v="0"/>
    <m/>
    <m/>
    <m/>
    <m/>
    <s v=""/>
  </r>
  <r>
    <s v="43001-2010-000-00"/>
    <d v="2017-06-30T00:00:00"/>
    <n v="86493.61"/>
    <n v="0"/>
    <s v="USD"/>
    <s v="JRNLWA00357335"/>
    <s v="P"/>
    <s v="TAX5-Accr. B&amp;O Tax"/>
    <s v="DarcieB"/>
    <s v="0/JE STD"/>
    <m/>
    <m/>
    <x v="2"/>
    <m/>
    <m/>
    <m/>
    <m/>
    <m/>
    <m/>
    <s v="JRNLWA00357335"/>
    <m/>
    <m/>
    <d v="2017-07-10T00:00:00"/>
    <d v="2017-07-10T00:00:00"/>
    <m/>
    <m/>
    <s v="wci_wa"/>
    <n v="0"/>
    <n v="0"/>
    <n v="0"/>
    <n v="0"/>
    <n v="0"/>
    <n v="1"/>
    <n v="43001"/>
    <n v="2010"/>
    <n v="0"/>
    <n v="0"/>
    <m/>
    <m/>
    <m/>
    <m/>
    <s v=""/>
  </r>
  <r>
    <s v="43001-2010-000-00"/>
    <d v="2017-06-30T00:00:00"/>
    <n v="-66.150000000000006"/>
    <n v="0"/>
    <s v="USD"/>
    <s v="JRNLWA00357335"/>
    <s v="P"/>
    <s v="TAX5-Accr. B&amp;O Tax"/>
    <s v="DarcieB"/>
    <s v="0/JE STD"/>
    <m/>
    <m/>
    <x v="5"/>
    <m/>
    <m/>
    <m/>
    <m/>
    <m/>
    <m/>
    <s v="JRNLWA00357335"/>
    <m/>
    <m/>
    <d v="2017-07-10T00:00:00"/>
    <d v="2017-07-10T00:00:00"/>
    <m/>
    <m/>
    <s v="wci_wa"/>
    <n v="0"/>
    <n v="0"/>
    <n v="0"/>
    <n v="0"/>
    <n v="0"/>
    <n v="1"/>
    <n v="43001"/>
    <n v="2010"/>
    <n v="0"/>
    <n v="0"/>
    <m/>
    <m/>
    <m/>
    <m/>
    <s v=""/>
  </r>
  <r>
    <s v="43001-2010-000-00"/>
    <d v="2017-07-20T00:00:00"/>
    <n v="811.83"/>
    <n v="0"/>
    <s v="USD"/>
    <s v="JRNLWA00357814"/>
    <s v="P"/>
    <s v="From Voucher Posting."/>
    <s v="JeffS"/>
    <s v="0/JE IC"/>
    <s v="VUS000000893"/>
    <m/>
    <x v="14"/>
    <d v="2017-07-19T00:00:00"/>
    <s v="Q2 CNG Tax due"/>
    <d v="2148-11-02T00:00:00"/>
    <s v="PO-2010-17-02444"/>
    <m/>
    <m/>
    <s v="VO04353552"/>
    <s v="JRNL00852153"/>
    <n v="1010"/>
    <d v="2017-07-20T00:00:00"/>
    <d v="2017-07-21T00:00:00"/>
    <n v="811.83"/>
    <d v="2017-07-20T00:00:00"/>
    <s v="wci_wa"/>
    <n v="0"/>
    <n v="0"/>
    <n v="0"/>
    <n v="0"/>
    <n v="0"/>
    <n v="1"/>
    <n v="43001"/>
    <n v="2010"/>
    <n v="0"/>
    <n v="0"/>
    <m/>
    <m/>
    <m/>
    <m/>
    <s v="VO04353552"/>
  </r>
  <r>
    <s v="43001-2010-000-00"/>
    <d v="2017-07-20T00:00:00"/>
    <n v="557.54999999999995"/>
    <n v="0"/>
    <s v="USD"/>
    <s v="JRNLWA00357816"/>
    <s v="P"/>
    <s v="From Voucher Posting."/>
    <s v="JeffS"/>
    <s v="0/JE IC"/>
    <s v="10DEPTREV"/>
    <s v="WASHINGTON DEPARTMENT OF REVENUE"/>
    <x v="0"/>
    <d v="2017-07-20T00:00:00"/>
    <s v="Excise Tax for June 2017"/>
    <d v="1900-11-20T00:00:00"/>
    <s v="PO-2010-17-02476"/>
    <m/>
    <m/>
    <s v="VO04353858"/>
    <s v="JRNL00852155"/>
    <n v="1010"/>
    <d v="2017-07-20T00:00:00"/>
    <d v="2017-07-21T00:00:00"/>
    <n v="274103"/>
    <d v="2017-07-21T00:00:00"/>
    <s v="wci_wa"/>
    <n v="0"/>
    <n v="0"/>
    <n v="0"/>
    <n v="0"/>
    <n v="0"/>
    <n v="1"/>
    <n v="43001"/>
    <n v="2010"/>
    <n v="0"/>
    <n v="0"/>
    <m/>
    <m/>
    <m/>
    <m/>
    <s v="VO04353858"/>
  </r>
  <r>
    <s v="43001-2010-000-00"/>
    <d v="2017-07-31T00:00:00"/>
    <n v="284.61"/>
    <n v="0"/>
    <s v="USD"/>
    <s v="JRNLWA00358206"/>
    <s v="P"/>
    <s v="TAX3-Accr Utility Taxes"/>
    <s v="DarcieB"/>
    <s v="0/JE STD"/>
    <m/>
    <m/>
    <x v="4"/>
    <m/>
    <m/>
    <m/>
    <m/>
    <m/>
    <m/>
    <s v="JRNLWA00358206"/>
    <m/>
    <m/>
    <d v="2017-08-02T00:00:00"/>
    <d v="2017-08-03T00:00:00"/>
    <m/>
    <m/>
    <s v="wci_wa"/>
    <n v="0"/>
    <n v="0"/>
    <n v="0"/>
    <n v="0"/>
    <n v="0"/>
    <n v="1"/>
    <n v="43001"/>
    <n v="2010"/>
    <n v="0"/>
    <n v="0"/>
    <m/>
    <m/>
    <m/>
    <m/>
    <s v=""/>
  </r>
  <r>
    <s v="43001-2010-000-00"/>
    <d v="2017-07-31T00:00:00"/>
    <n v="126.09"/>
    <n v="0"/>
    <s v="USD"/>
    <s v="JRNLWA00358206"/>
    <s v="P"/>
    <s v="TAX3-Accr Utility Taxes"/>
    <s v="DarcieB"/>
    <s v="0/JE STD"/>
    <m/>
    <m/>
    <x v="1"/>
    <m/>
    <m/>
    <m/>
    <m/>
    <m/>
    <m/>
    <s v="JRNLWA00358206"/>
    <m/>
    <m/>
    <d v="2017-08-02T00:00:00"/>
    <d v="2017-08-03T00:00:00"/>
    <m/>
    <m/>
    <s v="wci_wa"/>
    <n v="0"/>
    <n v="0"/>
    <n v="0"/>
    <n v="0"/>
    <n v="0"/>
    <n v="1"/>
    <n v="43001"/>
    <n v="2010"/>
    <n v="0"/>
    <n v="0"/>
    <m/>
    <m/>
    <m/>
    <m/>
    <s v=""/>
  </r>
  <r>
    <s v="43001-2010-000-00"/>
    <d v="2017-07-31T00:00:00"/>
    <n v="-111.6"/>
    <n v="0"/>
    <s v="USD"/>
    <s v="JRNLWA00358206"/>
    <s v="P"/>
    <s v="TAX3-Accr Utility Taxes"/>
    <s v="DarcieB"/>
    <s v="0/JE STD"/>
    <m/>
    <m/>
    <x v="9"/>
    <m/>
    <m/>
    <m/>
    <m/>
    <m/>
    <m/>
    <s v="JRNLWA00358206"/>
    <m/>
    <m/>
    <d v="2017-08-02T00:00:00"/>
    <d v="2017-08-03T00:00:00"/>
    <m/>
    <m/>
    <s v="wci_wa"/>
    <n v="0"/>
    <n v="0"/>
    <n v="0"/>
    <n v="0"/>
    <n v="0"/>
    <n v="1"/>
    <n v="43001"/>
    <n v="2010"/>
    <n v="0"/>
    <n v="0"/>
    <m/>
    <m/>
    <m/>
    <m/>
    <s v=""/>
  </r>
  <r>
    <s v="43001-2010-000-00"/>
    <d v="2017-07-31T00:00:00"/>
    <n v="1233.33"/>
    <n v="0"/>
    <s v="USD"/>
    <s v="JRNLWA00358567"/>
    <s v="P"/>
    <s v="OPEX14-Rrcd Prepaids Amort"/>
    <s v="DarcieB"/>
    <s v="0/JE STD"/>
    <m/>
    <m/>
    <x v="12"/>
    <m/>
    <m/>
    <m/>
    <m/>
    <m/>
    <m/>
    <s v="JRNLWA00358567"/>
    <m/>
    <m/>
    <d v="2017-08-04T00:00:00"/>
    <d v="2017-08-04T00:00:00"/>
    <m/>
    <m/>
    <s v="wci_wa"/>
    <n v="0"/>
    <n v="0"/>
    <n v="0"/>
    <n v="0"/>
    <n v="0"/>
    <n v="1"/>
    <n v="43001"/>
    <n v="2010"/>
    <n v="0"/>
    <n v="0"/>
    <m/>
    <m/>
    <m/>
    <m/>
    <s v=""/>
  </r>
  <r>
    <s v="43001-2010-000-00"/>
    <d v="2017-07-31T00:00:00"/>
    <n v="84992.86"/>
    <n v="0"/>
    <s v="USD"/>
    <s v="JRNLWA00358570"/>
    <s v="P"/>
    <s v="TAX5-Accr. B&amp;O Tax"/>
    <s v="DarcieB"/>
    <s v="0/JE STD"/>
    <m/>
    <m/>
    <x v="2"/>
    <m/>
    <m/>
    <m/>
    <m/>
    <m/>
    <m/>
    <s v="JRNLWA00358570"/>
    <m/>
    <m/>
    <d v="2017-08-04T00:00:00"/>
    <d v="2017-08-04T00:00:00"/>
    <m/>
    <m/>
    <s v="wci_wa"/>
    <n v="0"/>
    <n v="0"/>
    <n v="0"/>
    <n v="0"/>
    <n v="0"/>
    <n v="1"/>
    <n v="43001"/>
    <n v="2010"/>
    <n v="0"/>
    <n v="0"/>
    <m/>
    <m/>
    <m/>
    <m/>
    <s v=""/>
  </r>
  <r>
    <s v="43001-2010-000-00"/>
    <d v="2017-07-31T00:00:00"/>
    <n v="-763.84"/>
    <n v="0"/>
    <s v="USD"/>
    <s v="JRNLWA00358570"/>
    <s v="P"/>
    <s v="TAX5-Accr. B&amp;O Tax"/>
    <s v="DarcieB"/>
    <s v="0/JE STD"/>
    <m/>
    <m/>
    <x v="5"/>
    <m/>
    <m/>
    <m/>
    <m/>
    <m/>
    <m/>
    <s v="JRNLWA00358570"/>
    <m/>
    <m/>
    <d v="2017-08-04T00:00:00"/>
    <d v="2017-08-04T00:00:00"/>
    <m/>
    <m/>
    <s v="wci_wa"/>
    <n v="0"/>
    <n v="0"/>
    <n v="0"/>
    <n v="0"/>
    <n v="0"/>
    <n v="1"/>
    <n v="43001"/>
    <n v="2010"/>
    <n v="0"/>
    <n v="0"/>
    <m/>
    <m/>
    <m/>
    <m/>
    <s v=""/>
  </r>
  <r>
    <s v="43001-2010-000-00"/>
    <d v="2017-07-31T00:00:00"/>
    <n v="-24.85"/>
    <n v="0"/>
    <s v="USD"/>
    <s v="JRNLWA00358570"/>
    <s v="P"/>
    <s v="TAX5-Accr. B&amp;O Tax"/>
    <s v="DarcieB"/>
    <s v="0/JE STD"/>
    <m/>
    <m/>
    <x v="11"/>
    <m/>
    <m/>
    <m/>
    <m/>
    <m/>
    <m/>
    <s v="JRNLWA00358570"/>
    <m/>
    <m/>
    <d v="2017-08-04T00:00:00"/>
    <d v="2017-08-04T00:00:00"/>
    <m/>
    <m/>
    <s v="wci_wa"/>
    <n v="0"/>
    <n v="0"/>
    <n v="0"/>
    <n v="0"/>
    <n v="0"/>
    <n v="1"/>
    <n v="43001"/>
    <n v="2010"/>
    <n v="0"/>
    <n v="0"/>
    <m/>
    <m/>
    <m/>
    <m/>
    <s v=""/>
  </r>
  <r>
    <s v="43001-2010-000-00"/>
    <d v="2017-08-23T00:00:00"/>
    <n v="565.45000000000005"/>
    <n v="0"/>
    <s v="USD"/>
    <s v="JRNLWA00359449"/>
    <s v="P"/>
    <s v="From Voucher Posting."/>
    <s v="RosemaryS"/>
    <s v="0/JE IC"/>
    <s v="10DEPTREV"/>
    <s v="WASHINGTON DEPARTMENT OF REVENUE"/>
    <x v="0"/>
    <d v="2017-08-21T00:00:00"/>
    <s v="Excise Tax for July 2017"/>
    <d v="1936-08-08T00:00:00"/>
    <s v="PO-2010-17-02921"/>
    <m/>
    <m/>
    <s v="VO04388839"/>
    <s v="JRNL00856037"/>
    <n v="1010"/>
    <d v="2017-08-23T00:00:00"/>
    <d v="2017-08-24T00:00:00"/>
    <n v="264217"/>
    <d v="2017-08-22T00:00:00"/>
    <s v="wci_wa"/>
    <n v="0"/>
    <n v="0"/>
    <n v="0"/>
    <n v="0"/>
    <n v="0"/>
    <n v="1"/>
    <n v="43001"/>
    <n v="2010"/>
    <n v="0"/>
    <n v="0"/>
    <m/>
    <m/>
    <m/>
    <m/>
    <s v="VO04388839"/>
  </r>
  <r>
    <s v="43001-2010-000-00"/>
    <d v="2017-08-31T00:00:00"/>
    <n v="-247.72"/>
    <n v="0"/>
    <s v="USD"/>
    <s v="JRNLWA00360112"/>
    <s v="P"/>
    <s v="TAX3-Accr Utility Taxes"/>
    <s v="DarcieB"/>
    <s v="0/JE STD"/>
    <m/>
    <m/>
    <x v="4"/>
    <m/>
    <m/>
    <m/>
    <m/>
    <m/>
    <m/>
    <s v="JRNLWA00360112"/>
    <m/>
    <m/>
    <d v="2017-09-06T00:00:00"/>
    <d v="2017-09-07T00:00:00"/>
    <m/>
    <m/>
    <s v="wci_wa"/>
    <n v="0"/>
    <n v="0"/>
    <n v="0"/>
    <n v="0"/>
    <n v="0"/>
    <n v="1"/>
    <n v="43001"/>
    <n v="2010"/>
    <n v="0"/>
    <n v="0"/>
    <m/>
    <m/>
    <m/>
    <m/>
    <s v=""/>
  </r>
  <r>
    <s v="43001-2010-000-00"/>
    <d v="2017-08-31T00:00:00"/>
    <n v="46.48"/>
    <n v="0"/>
    <s v="USD"/>
    <s v="JRNLWA00360112"/>
    <s v="P"/>
    <s v="TAX3-Accr Utility Taxes"/>
    <s v="DarcieB"/>
    <s v="0/JE STD"/>
    <m/>
    <m/>
    <x v="1"/>
    <m/>
    <m/>
    <m/>
    <m/>
    <m/>
    <m/>
    <s v="JRNLWA00360112"/>
    <m/>
    <m/>
    <d v="2017-09-06T00:00:00"/>
    <d v="2017-09-07T00:00:00"/>
    <m/>
    <m/>
    <s v="wci_wa"/>
    <n v="0"/>
    <n v="0"/>
    <n v="0"/>
    <n v="0"/>
    <n v="0"/>
    <n v="1"/>
    <n v="43001"/>
    <n v="2010"/>
    <n v="0"/>
    <n v="0"/>
    <m/>
    <m/>
    <m/>
    <m/>
    <s v=""/>
  </r>
  <r>
    <s v="43001-2010-000-00"/>
    <d v="2017-08-31T00:00:00"/>
    <n v="20.99"/>
    <n v="0"/>
    <s v="USD"/>
    <s v="JRNLWA00360112"/>
    <s v="P"/>
    <s v="TAX3-Accr Utility Taxes"/>
    <s v="DarcieB"/>
    <s v="0/JE STD"/>
    <m/>
    <m/>
    <x v="9"/>
    <m/>
    <m/>
    <m/>
    <m/>
    <m/>
    <m/>
    <s v="JRNLWA00360112"/>
    <m/>
    <m/>
    <d v="2017-09-06T00:00:00"/>
    <d v="2017-09-07T00:00:00"/>
    <m/>
    <m/>
    <s v="wci_wa"/>
    <n v="0"/>
    <n v="0"/>
    <n v="0"/>
    <n v="0"/>
    <n v="0"/>
    <n v="1"/>
    <n v="43001"/>
    <n v="2010"/>
    <n v="0"/>
    <n v="0"/>
    <m/>
    <m/>
    <m/>
    <m/>
    <s v=""/>
  </r>
  <r>
    <s v="43001-2010-000-00"/>
    <d v="2017-08-31T00:00:00"/>
    <n v="1233.33"/>
    <n v="0"/>
    <s v="USD"/>
    <s v="JRNLWA00360301"/>
    <s v="P"/>
    <s v="OPEX14-Rrcd Prepaids Amort"/>
    <s v="DarcieB"/>
    <s v="0/JE STD"/>
    <m/>
    <m/>
    <x v="12"/>
    <m/>
    <m/>
    <m/>
    <m/>
    <m/>
    <m/>
    <s v="JRNLWA00360301"/>
    <m/>
    <m/>
    <d v="2017-09-07T00:00:00"/>
    <d v="2017-09-07T00:00:00"/>
    <m/>
    <m/>
    <s v="wci_wa"/>
    <n v="0"/>
    <n v="0"/>
    <n v="0"/>
    <n v="0"/>
    <n v="0"/>
    <n v="1"/>
    <n v="43001"/>
    <n v="2010"/>
    <n v="0"/>
    <n v="0"/>
    <m/>
    <m/>
    <m/>
    <m/>
    <s v=""/>
  </r>
  <r>
    <s v="43001-2010-000-00"/>
    <d v="2017-08-31T00:00:00"/>
    <n v="85746.22"/>
    <n v="0"/>
    <s v="USD"/>
    <s v="JRNLWA00360305"/>
    <s v="P"/>
    <s v="TAX5-Accr. B&amp;O Tax"/>
    <s v="DarcieB"/>
    <s v="0/JE STD"/>
    <m/>
    <m/>
    <x v="2"/>
    <m/>
    <m/>
    <m/>
    <m/>
    <m/>
    <m/>
    <s v="JRNLWA00360305"/>
    <m/>
    <m/>
    <d v="2017-09-07T00:00:00"/>
    <d v="2017-09-07T00:00:00"/>
    <m/>
    <m/>
    <s v="wci_wa"/>
    <n v="0"/>
    <n v="0"/>
    <n v="0"/>
    <n v="0"/>
    <n v="0"/>
    <n v="1"/>
    <n v="43001"/>
    <n v="2010"/>
    <n v="0"/>
    <n v="0"/>
    <m/>
    <m/>
    <m/>
    <m/>
    <s v=""/>
  </r>
  <r>
    <s v="43001-2010-000-00"/>
    <d v="2017-08-31T00:00:00"/>
    <n v="-180.71"/>
    <n v="0"/>
    <s v="USD"/>
    <s v="JRNLWA00360305"/>
    <s v="P"/>
    <s v="TAX5-Accr. B&amp;O Tax"/>
    <s v="DarcieB"/>
    <s v="0/JE STD"/>
    <m/>
    <m/>
    <x v="5"/>
    <m/>
    <m/>
    <m/>
    <m/>
    <m/>
    <m/>
    <s v="JRNLWA00360305"/>
    <m/>
    <m/>
    <d v="2017-09-07T00:00:00"/>
    <d v="2017-09-07T00:00:00"/>
    <m/>
    <m/>
    <s v="wci_wa"/>
    <n v="0"/>
    <n v="0"/>
    <n v="0"/>
    <n v="0"/>
    <n v="0"/>
    <n v="1"/>
    <n v="43001"/>
    <n v="2010"/>
    <n v="0"/>
    <n v="0"/>
    <m/>
    <m/>
    <m/>
    <m/>
    <s v=""/>
  </r>
  <r>
    <s v="43001-2010-000-00"/>
    <d v="2017-08-31T00:00:00"/>
    <n v="23.96"/>
    <n v="0"/>
    <s v="USD"/>
    <s v="JRNLWA00360305"/>
    <s v="P"/>
    <s v="TAX5-Accr. B&amp;O Tax"/>
    <s v="DarcieB"/>
    <s v="0/JE STD"/>
    <m/>
    <m/>
    <x v="11"/>
    <m/>
    <m/>
    <m/>
    <m/>
    <m/>
    <m/>
    <s v="JRNLWA00360305"/>
    <m/>
    <m/>
    <d v="2017-09-07T00:00:00"/>
    <d v="2017-09-07T00:00:00"/>
    <m/>
    <m/>
    <s v="wci_wa"/>
    <n v="0"/>
    <n v="0"/>
    <n v="0"/>
    <n v="0"/>
    <n v="0"/>
    <n v="1"/>
    <n v="43001"/>
    <n v="2010"/>
    <n v="0"/>
    <n v="0"/>
    <m/>
    <m/>
    <m/>
    <m/>
    <s v=""/>
  </r>
  <r>
    <s v="43001-2010-000-00"/>
    <d v="2017-09-21T00:00:00"/>
    <n v="573.98"/>
    <n v="0"/>
    <s v="USD"/>
    <s v="JRNLWA00360930"/>
    <s v="P"/>
    <s v="From Voucher Posting."/>
    <s v="RosemaryS"/>
    <s v="0/JE IC"/>
    <s v="10DEPTREV"/>
    <s v="WASHINGTON DEPARTMENT OF REVENUE"/>
    <x v="0"/>
    <d v="2017-09-20T00:00:00"/>
    <s v="Excise Tax for August 2017"/>
    <d v="1909-01-24T00:00:00"/>
    <s v="PO-2010-17-03323"/>
    <m/>
    <m/>
    <s v="VO04416888"/>
    <s v="JRNL00859597"/>
    <n v="1010"/>
    <d v="2017-09-21T00:00:00"/>
    <d v="2017-09-22T00:00:00"/>
    <n v="268911"/>
    <d v="2017-09-21T00:00:00"/>
    <s v="wci_wa"/>
    <n v="0"/>
    <n v="0"/>
    <n v="0"/>
    <n v="0"/>
    <n v="0"/>
    <n v="1"/>
    <n v="43001"/>
    <n v="2010"/>
    <n v="0"/>
    <n v="0"/>
    <m/>
    <m/>
    <m/>
    <m/>
    <s v="VO04416888"/>
  </r>
  <r>
    <s v="43001-2010-000-00"/>
    <d v="2017-09-30T00:00:00"/>
    <n v="50.27"/>
    <n v="0"/>
    <s v="USD"/>
    <s v="JRNLWA00361249"/>
    <s v="P"/>
    <s v="TAX3-Accr Utility Taxes"/>
    <s v="DarcieB"/>
    <s v="0/JE STD"/>
    <m/>
    <m/>
    <x v="4"/>
    <m/>
    <m/>
    <m/>
    <m/>
    <m/>
    <m/>
    <s v="JRNLWA00361249"/>
    <m/>
    <m/>
    <d v="2017-10-03T00:00:00"/>
    <d v="2017-10-03T00:00:00"/>
    <m/>
    <m/>
    <s v="wci_wa"/>
    <n v="0"/>
    <n v="0"/>
    <n v="0"/>
    <n v="0"/>
    <n v="0"/>
    <n v="1"/>
    <n v="43001"/>
    <n v="2010"/>
    <n v="0"/>
    <n v="0"/>
    <m/>
    <m/>
    <m/>
    <m/>
    <s v=""/>
  </r>
  <r>
    <s v="43001-2010-000-00"/>
    <d v="2017-09-30T00:00:00"/>
    <n v="99.27"/>
    <n v="0"/>
    <s v="USD"/>
    <s v="JRNLWA00361249"/>
    <s v="P"/>
    <s v="TAX3-Accr Utility Taxes"/>
    <s v="DarcieB"/>
    <s v="0/JE STD"/>
    <m/>
    <m/>
    <x v="1"/>
    <m/>
    <m/>
    <m/>
    <m/>
    <m/>
    <m/>
    <s v="JRNLWA00361249"/>
    <m/>
    <m/>
    <d v="2017-10-03T00:00:00"/>
    <d v="2017-10-03T00:00:00"/>
    <m/>
    <m/>
    <s v="wci_wa"/>
    <n v="0"/>
    <n v="0"/>
    <n v="0"/>
    <n v="0"/>
    <n v="0"/>
    <n v="1"/>
    <n v="43001"/>
    <n v="2010"/>
    <n v="0"/>
    <n v="0"/>
    <m/>
    <m/>
    <m/>
    <m/>
    <s v=""/>
  </r>
  <r>
    <s v="43001-2010-000-00"/>
    <d v="2017-09-30T00:00:00"/>
    <n v="818.04"/>
    <n v="0"/>
    <s v="USD"/>
    <s v="JRNLWA00361249"/>
    <s v="P"/>
    <s v="TAX3-Accr Utility Taxes"/>
    <s v="DarcieB"/>
    <s v="0/JE STD"/>
    <m/>
    <m/>
    <x v="9"/>
    <m/>
    <m/>
    <m/>
    <m/>
    <m/>
    <m/>
    <s v="JRNLWA00361249"/>
    <m/>
    <m/>
    <d v="2017-10-03T00:00:00"/>
    <d v="2017-10-03T00:00:00"/>
    <m/>
    <m/>
    <s v="wci_wa"/>
    <n v="0"/>
    <n v="0"/>
    <n v="0"/>
    <n v="0"/>
    <n v="0"/>
    <n v="1"/>
    <n v="43001"/>
    <n v="2010"/>
    <n v="0"/>
    <n v="0"/>
    <m/>
    <m/>
    <m/>
    <m/>
    <s v=""/>
  </r>
  <r>
    <s v="43001-2010-000-00"/>
    <d v="2017-09-30T00:00:00"/>
    <n v="84410.86"/>
    <n v="0"/>
    <s v="USD"/>
    <s v="JRNLWA00361756"/>
    <s v="P"/>
    <s v="TAX5-Accr. B&amp;O Tax"/>
    <s v="DarcieB"/>
    <s v="0/JE STD"/>
    <m/>
    <m/>
    <x v="2"/>
    <m/>
    <m/>
    <m/>
    <m/>
    <m/>
    <m/>
    <s v="JRNLWA00361756"/>
    <m/>
    <m/>
    <d v="2017-10-05T00:00:00"/>
    <d v="2017-10-05T00:00:00"/>
    <m/>
    <m/>
    <s v="wci_wa"/>
    <n v="0"/>
    <n v="0"/>
    <n v="0"/>
    <n v="0"/>
    <n v="0"/>
    <n v="1"/>
    <n v="43001"/>
    <n v="2010"/>
    <n v="0"/>
    <n v="0"/>
    <m/>
    <m/>
    <m/>
    <m/>
    <s v=""/>
  </r>
  <r>
    <s v="43001-2010-000-00"/>
    <d v="2017-09-30T00:00:00"/>
    <n v="-387.72"/>
    <n v="0"/>
    <s v="USD"/>
    <s v="JRNLWA00361756"/>
    <s v="P"/>
    <s v="TAX5-Accr. B&amp;O Tax"/>
    <s v="DarcieB"/>
    <s v="0/JE STD"/>
    <m/>
    <m/>
    <x v="5"/>
    <m/>
    <m/>
    <m/>
    <m/>
    <m/>
    <m/>
    <s v="JRNLWA00361756"/>
    <m/>
    <m/>
    <d v="2017-10-05T00:00:00"/>
    <d v="2017-10-05T00:00:00"/>
    <m/>
    <m/>
    <s v="wci_wa"/>
    <n v="0"/>
    <n v="0"/>
    <n v="0"/>
    <n v="0"/>
    <n v="0"/>
    <n v="1"/>
    <n v="43001"/>
    <n v="2010"/>
    <n v="0"/>
    <n v="0"/>
    <m/>
    <m/>
    <m/>
    <m/>
    <s v=""/>
  </r>
  <r>
    <s v="43001-2010-000-00"/>
    <d v="2017-09-30T00:00:00"/>
    <n v="47.76"/>
    <n v="0"/>
    <s v="USD"/>
    <s v="JRNLWA00361756"/>
    <s v="P"/>
    <s v="TAX5-Accr. B&amp;O Tax"/>
    <s v="DarcieB"/>
    <s v="0/JE STD"/>
    <m/>
    <m/>
    <x v="11"/>
    <m/>
    <m/>
    <m/>
    <m/>
    <m/>
    <m/>
    <s v="JRNLWA00361756"/>
    <m/>
    <m/>
    <d v="2017-10-05T00:00:00"/>
    <d v="2017-10-05T00:00:00"/>
    <m/>
    <m/>
    <s v="wci_wa"/>
    <n v="0"/>
    <n v="0"/>
    <n v="0"/>
    <n v="0"/>
    <n v="0"/>
    <n v="1"/>
    <n v="43001"/>
    <n v="2010"/>
    <n v="0"/>
    <n v="0"/>
    <m/>
    <m/>
    <m/>
    <m/>
    <s v=""/>
  </r>
  <r>
    <s v="43001-2010-000-00"/>
    <d v="2017-09-30T00:00:00"/>
    <n v="1233.3399999999999"/>
    <n v="0"/>
    <s v="USD"/>
    <s v="JRNLWA00361757"/>
    <s v="P"/>
    <s v="OPEX14-Rrcd Prepaids Amort"/>
    <s v="DarcieB"/>
    <s v="0/JE STD"/>
    <m/>
    <m/>
    <x v="12"/>
    <m/>
    <m/>
    <m/>
    <m/>
    <m/>
    <m/>
    <s v="JRNLWA00361757"/>
    <m/>
    <m/>
    <d v="2017-10-05T00:00:00"/>
    <d v="2017-10-05T00:00:00"/>
    <m/>
    <m/>
    <s v="wci_wa"/>
    <n v="0"/>
    <n v="0"/>
    <n v="0"/>
    <n v="0"/>
    <n v="0"/>
    <n v="1"/>
    <n v="43001"/>
    <n v="2010"/>
    <n v="0"/>
    <n v="0"/>
    <m/>
    <m/>
    <m/>
    <m/>
    <s v=""/>
  </r>
</pivotCacheRecords>
</file>

<file path=xl/pivotCache/pivotCacheRecords4.xml><?xml version="1.0" encoding="utf-8"?>
<pivotCacheRecords xmlns="http://schemas.openxmlformats.org/spreadsheetml/2006/main" xmlns:r="http://schemas.openxmlformats.org/officeDocument/2006/relationships" count="205">
  <r>
    <s v="60225-2010-000-00"/>
    <d v="2016-10-20T00:00:00"/>
    <n v="470"/>
    <n v="0"/>
    <s v="USD"/>
    <s v="JRNLWA00343987"/>
    <s v="P"/>
    <s v="From Voucher Posting."/>
    <s v="RosemaryS"/>
    <s v="0/JE IC"/>
    <s v="VUS000010485"/>
    <m/>
    <x v="0"/>
    <d v="2016-09-30T00:00:00"/>
    <s v="LMS Website set up"/>
    <s v="F-000761"/>
    <s v="PO-2183-16-03485"/>
    <m/>
    <m/>
    <s v="VO04084595"/>
    <s v="JRNL00817463"/>
    <n v="2183"/>
    <d v="2016-10-20T00:00:00"/>
    <d v="2016-10-21T00:00:00"/>
    <n v="4700"/>
    <d v="2016-10-01T00:00:00"/>
    <s v="wci_wa"/>
    <n v="0"/>
    <n v="0"/>
    <n v="0"/>
    <n v="0"/>
    <n v="0"/>
    <n v="1"/>
    <n v="60225"/>
    <n v="2010"/>
    <n v="0"/>
    <n v="0"/>
    <m/>
    <m/>
    <m/>
    <m/>
    <s v="VO04084595"/>
  </r>
  <r>
    <s v="60225-2010-000-00"/>
    <d v="2016-10-31T00:00:00"/>
    <n v="-470"/>
    <n v="0"/>
    <s v="USD"/>
    <s v="JRNLWA00343552"/>
    <s v="P"/>
    <s v="Opex 12 - PO Log and Exp Repor"/>
    <s v="AdamJo"/>
    <s v="0/JE IC"/>
    <m/>
    <m/>
    <x v="1"/>
    <m/>
    <m/>
    <m/>
    <m/>
    <m/>
    <m/>
    <s v="JRNL00816416"/>
    <s v="JRNL00816445"/>
    <m/>
    <d v="2016-10-06T00:00:00"/>
    <d v="2016-10-06T00:00:00"/>
    <m/>
    <m/>
    <s v="wci_wa"/>
    <n v="0"/>
    <n v="0"/>
    <n v="0"/>
    <n v="0"/>
    <n v="5"/>
    <n v="1"/>
    <n v="60225"/>
    <n v="2010"/>
    <n v="0"/>
    <n v="0"/>
    <m/>
    <m/>
    <m/>
    <m/>
    <s v=""/>
  </r>
  <r>
    <s v="60225-2010-000-00"/>
    <d v="2016-10-31T00:00:00"/>
    <n v="-790"/>
    <n v="0"/>
    <s v="USD"/>
    <s v="JRNLWA00343555"/>
    <s v="P"/>
    <s v="Exp2: PO Log Accrual"/>
    <s v="AdamJo"/>
    <s v="0/JE IC"/>
    <m/>
    <m/>
    <x v="2"/>
    <m/>
    <m/>
    <m/>
    <m/>
    <m/>
    <m/>
    <s v="JRNL00816429"/>
    <s v="JRNL00816449"/>
    <m/>
    <d v="2016-10-06T00:00:00"/>
    <d v="2016-10-06T00:00:00"/>
    <m/>
    <m/>
    <s v="wci_wa"/>
    <n v="0"/>
    <n v="0"/>
    <n v="0"/>
    <n v="0"/>
    <n v="5"/>
    <n v="1"/>
    <n v="60225"/>
    <n v="2010"/>
    <n v="0"/>
    <n v="0"/>
    <m/>
    <m/>
    <m/>
    <m/>
    <s v=""/>
  </r>
  <r>
    <s v="60225-2010-000-00"/>
    <d v="2016-10-31T00:00:00"/>
    <n v="-197.29"/>
    <n v="0"/>
    <s v="USD"/>
    <s v="JRNLWA00343555"/>
    <s v="P"/>
    <s v="Exp2: PO Log Accrual"/>
    <s v="AdamJo"/>
    <s v="0/JE IC"/>
    <m/>
    <m/>
    <x v="3"/>
    <m/>
    <m/>
    <m/>
    <m/>
    <m/>
    <m/>
    <s v="JRNL00816429"/>
    <s v="JRNL00816449"/>
    <m/>
    <d v="2016-10-06T00:00:00"/>
    <d v="2016-10-06T00:00:00"/>
    <m/>
    <m/>
    <s v="wci_wa"/>
    <n v="0"/>
    <n v="0"/>
    <n v="0"/>
    <n v="0"/>
    <n v="5"/>
    <n v="1"/>
    <n v="60225"/>
    <n v="2010"/>
    <n v="0"/>
    <n v="0"/>
    <m/>
    <m/>
    <m/>
    <m/>
    <s v=""/>
  </r>
  <r>
    <s v="60225-2010-000-00"/>
    <d v="2016-10-31T00:00:00"/>
    <n v="-313.2"/>
    <n v="0"/>
    <s v="USD"/>
    <s v="JRNLWA00343555"/>
    <s v="P"/>
    <s v="Exp2: PO Log Accrual"/>
    <s v="AdamJo"/>
    <s v="0/JE IC"/>
    <m/>
    <m/>
    <x v="4"/>
    <m/>
    <m/>
    <m/>
    <m/>
    <m/>
    <m/>
    <s v="JRNL00816429"/>
    <s v="JRNL00816449"/>
    <m/>
    <d v="2016-10-06T00:00:00"/>
    <d v="2016-10-06T00:00:00"/>
    <m/>
    <m/>
    <s v="wci_wa"/>
    <n v="0"/>
    <n v="0"/>
    <n v="0"/>
    <n v="0"/>
    <n v="5"/>
    <n v="1"/>
    <n v="60225"/>
    <n v="2010"/>
    <n v="0"/>
    <n v="0"/>
    <m/>
    <m/>
    <m/>
    <m/>
    <s v=""/>
  </r>
  <r>
    <s v="60225-2010-000-00"/>
    <d v="2016-10-31T00:00:00"/>
    <n v="790"/>
    <n v="0"/>
    <s v="USD"/>
    <s v="JRNLWA00344344"/>
    <s v="P"/>
    <s v="Your journal description"/>
    <s v="HeatherWe"/>
    <s v="0/JE IC"/>
    <m/>
    <m/>
    <x v="5"/>
    <m/>
    <m/>
    <m/>
    <m/>
    <m/>
    <m/>
    <s v="JRNL00818594"/>
    <s v="JRNL00818594"/>
    <m/>
    <d v="2016-11-02T00:00:00"/>
    <d v="2016-11-02T00:00:00"/>
    <m/>
    <m/>
    <s v="wci_wa"/>
    <n v="0"/>
    <n v="0"/>
    <n v="0"/>
    <n v="0"/>
    <n v="0"/>
    <n v="1"/>
    <n v="60225"/>
    <n v="2010"/>
    <n v="0"/>
    <n v="0"/>
    <m/>
    <m/>
    <m/>
    <m/>
    <s v=""/>
  </r>
  <r>
    <s v="60225-2010-000-00"/>
    <d v="2016-10-31T00:00:00"/>
    <n v="3598.88"/>
    <n v="0"/>
    <s v="USD"/>
    <s v="JRNLWA00344344"/>
    <s v="P"/>
    <s v="Your journal description"/>
    <s v="HeatherWe"/>
    <s v="0/JE IC"/>
    <m/>
    <m/>
    <x v="6"/>
    <m/>
    <m/>
    <m/>
    <m/>
    <m/>
    <m/>
    <s v="JRNL00818594"/>
    <s v="JRNL00818594"/>
    <m/>
    <d v="2016-11-02T00:00:00"/>
    <d v="2016-11-02T00:00:00"/>
    <m/>
    <m/>
    <s v="wci_wa"/>
    <n v="0"/>
    <n v="0"/>
    <n v="0"/>
    <n v="0"/>
    <n v="0"/>
    <n v="1"/>
    <n v="60225"/>
    <n v="2010"/>
    <n v="0"/>
    <n v="0"/>
    <m/>
    <m/>
    <m/>
    <m/>
    <s v=""/>
  </r>
  <r>
    <s v="60225-2010-000-00"/>
    <d v="2016-10-31T00:00:00"/>
    <n v="197.29"/>
    <n v="0"/>
    <s v="USD"/>
    <s v="JRNLWA00344947"/>
    <s v="P"/>
    <s v="EXP3: P-Card Accrual"/>
    <s v="AmandaH"/>
    <s v="1/JE STD"/>
    <m/>
    <m/>
    <x v="7"/>
    <m/>
    <m/>
    <m/>
    <m/>
    <m/>
    <m/>
    <s v="JRNLWA00344947"/>
    <s v="PO-2010-16-02723"/>
    <m/>
    <d v="2016-11-07T00:00:00"/>
    <d v="2016-11-07T00:00:00"/>
    <m/>
    <m/>
    <s v="wci_wa"/>
    <n v="1"/>
    <n v="0"/>
    <n v="0"/>
    <n v="0"/>
    <n v="0"/>
    <n v="1"/>
    <n v="60225"/>
    <n v="2010"/>
    <n v="0"/>
    <n v="0"/>
    <m/>
    <m/>
    <m/>
    <m/>
    <s v=""/>
  </r>
  <r>
    <s v="60225-2010-000-00"/>
    <d v="2016-10-31T00:00:00"/>
    <n v="777.77"/>
    <n v="0"/>
    <s v="USD"/>
    <s v="JRNLWA00344947"/>
    <s v="P"/>
    <s v="EXP3: P-Card Accrual"/>
    <s v="AmandaH"/>
    <s v="1/JE STD"/>
    <m/>
    <m/>
    <x v="8"/>
    <m/>
    <m/>
    <m/>
    <m/>
    <m/>
    <m/>
    <s v="JRNLWA00344947"/>
    <s v="PO-2010-16-03129"/>
    <m/>
    <d v="2016-11-07T00:00:00"/>
    <d v="2016-11-07T00:00:00"/>
    <m/>
    <m/>
    <s v="wci_wa"/>
    <n v="1"/>
    <n v="0"/>
    <n v="0"/>
    <n v="0"/>
    <n v="0"/>
    <n v="1"/>
    <n v="60225"/>
    <n v="2010"/>
    <n v="0"/>
    <n v="0"/>
    <m/>
    <m/>
    <m/>
    <m/>
    <s v=""/>
  </r>
  <r>
    <s v="60225-2010-000-00"/>
    <d v="2016-10-31T00:00:00"/>
    <n v="16459.46"/>
    <n v="0"/>
    <s v="USD"/>
    <s v="JRNLWA00344947"/>
    <s v="P"/>
    <s v="EXP3: P-Card Accrual"/>
    <s v="AmandaH"/>
    <s v="1/JE STD"/>
    <m/>
    <m/>
    <x v="9"/>
    <m/>
    <m/>
    <m/>
    <m/>
    <m/>
    <m/>
    <s v="JRNLWA00344947"/>
    <s v="PO-2010-16-03140"/>
    <m/>
    <d v="2016-11-07T00:00:00"/>
    <d v="2016-11-07T00:00:00"/>
    <m/>
    <m/>
    <s v="wci_wa"/>
    <n v="1"/>
    <n v="0"/>
    <n v="0"/>
    <n v="0"/>
    <n v="0"/>
    <n v="1"/>
    <n v="60225"/>
    <n v="2010"/>
    <n v="0"/>
    <n v="0"/>
    <m/>
    <m/>
    <m/>
    <m/>
    <s v=""/>
  </r>
  <r>
    <s v="60225-2010-000-00"/>
    <d v="2016-10-31T00:00:00"/>
    <n v="313.25"/>
    <n v="0"/>
    <s v="USD"/>
    <s v="JRNLWA00344947"/>
    <s v="P"/>
    <s v="EXP3: P-Card Accrual"/>
    <s v="AmandaH"/>
    <s v="1/JE STD"/>
    <m/>
    <m/>
    <x v="7"/>
    <m/>
    <m/>
    <m/>
    <m/>
    <m/>
    <m/>
    <s v="JRNLWA00344947"/>
    <s v="PO-2010-16-03141"/>
    <m/>
    <d v="2016-11-07T00:00:00"/>
    <d v="2016-11-07T00:00:00"/>
    <m/>
    <m/>
    <s v="wci_wa"/>
    <n v="1"/>
    <n v="0"/>
    <n v="0"/>
    <n v="0"/>
    <n v="0"/>
    <n v="1"/>
    <n v="60225"/>
    <n v="2010"/>
    <n v="0"/>
    <n v="0"/>
    <m/>
    <m/>
    <m/>
    <m/>
    <s v=""/>
  </r>
  <r>
    <s v="60225-2010-000-00"/>
    <d v="2016-10-31T00:00:00"/>
    <n v="30007.58"/>
    <n v="0"/>
    <s v="USD"/>
    <s v="JRNLWA00345141"/>
    <s v="P"/>
    <s v="OPEX14-Rrcd Prepaids Amort"/>
    <s v="AmandaH"/>
    <s v="0/JE STD"/>
    <m/>
    <m/>
    <x v="10"/>
    <m/>
    <m/>
    <m/>
    <m/>
    <m/>
    <m/>
    <s v="JRNLWA00345141"/>
    <m/>
    <m/>
    <d v="2016-11-07T00:00:00"/>
    <d v="2016-11-08T00:00:00"/>
    <m/>
    <m/>
    <s v="wci_wa"/>
    <n v="0"/>
    <n v="0"/>
    <n v="0"/>
    <n v="0"/>
    <n v="0"/>
    <n v="1"/>
    <n v="60225"/>
    <n v="2010"/>
    <n v="0"/>
    <n v="0"/>
    <m/>
    <m/>
    <m/>
    <m/>
    <s v=""/>
  </r>
  <r>
    <s v="60225-2010-000-00"/>
    <d v="2016-10-31T00:00:00"/>
    <n v="300"/>
    <n v="0"/>
    <s v="USD"/>
    <s v="JRNLWA00345213"/>
    <s v="P"/>
    <s v="Exp2: PO Log Accrual"/>
    <s v="HeatherWe"/>
    <s v="0/JE IC"/>
    <m/>
    <m/>
    <x v="2"/>
    <m/>
    <m/>
    <m/>
    <m/>
    <m/>
    <m/>
    <s v="JRNL00820236"/>
    <s v="JRNL00820236"/>
    <m/>
    <d v="2016-11-07T00:00:00"/>
    <d v="2016-11-08T00:00:00"/>
    <m/>
    <m/>
    <s v="wci_wa"/>
    <n v="0"/>
    <n v="0"/>
    <n v="0"/>
    <n v="0"/>
    <n v="0"/>
    <n v="1"/>
    <n v="60225"/>
    <n v="2010"/>
    <n v="0"/>
    <n v="0"/>
    <m/>
    <m/>
    <m/>
    <m/>
    <s v=""/>
  </r>
  <r>
    <s v="60225-2010-000-00"/>
    <d v="2016-11-10T00:00:00"/>
    <n v="200"/>
    <n v="0"/>
    <s v="USD"/>
    <s v="JRNLWA00345399"/>
    <s v="P"/>
    <s v="From Voucher Posting."/>
    <s v="RosemaryS"/>
    <s v="0/JE IC"/>
    <s v="20CLARK01"/>
    <m/>
    <x v="11"/>
    <d v="2016-11-01T00:00:00"/>
    <s v="Deposit for HGIF Booth April 28,29&amp;30 20"/>
    <s v="2017 BOOTH DEP"/>
    <s v="PO-2010-16-03716"/>
    <m/>
    <m/>
    <s v="VO04105473"/>
    <s v="JRNL00820783"/>
    <n v="2010"/>
    <d v="2016-11-10T00:00:00"/>
    <d v="2016-11-10T00:00:00"/>
    <n v="200"/>
    <d v="2016-11-11T00:00:00"/>
    <s v="wci_wa"/>
    <n v="0"/>
    <n v="0"/>
    <n v="0"/>
    <n v="0"/>
    <n v="0"/>
    <n v="1"/>
    <n v="60225"/>
    <n v="2010"/>
    <n v="0"/>
    <n v="0"/>
    <m/>
    <m/>
    <m/>
    <m/>
    <s v="VO04105473"/>
  </r>
  <r>
    <s v="60225-2010-000-00"/>
    <d v="2016-11-30T00:00:00"/>
    <n v="-197.29"/>
    <n v="0"/>
    <s v="USD"/>
    <s v="JRNLWA00344964"/>
    <s v="P"/>
    <s v="EXP3: P-Card Accrual"/>
    <s v="AmandaH"/>
    <s v="0/REVERSE"/>
    <m/>
    <m/>
    <x v="7"/>
    <m/>
    <m/>
    <m/>
    <m/>
    <m/>
    <m/>
    <s v="JRNLWA00344947"/>
    <s v="PO-2010-16-02723"/>
    <m/>
    <d v="2016-11-07T00:00:00"/>
    <d v="2016-11-07T00:00:00"/>
    <m/>
    <m/>
    <s v="wci_wa"/>
    <n v="0"/>
    <n v="0"/>
    <n v="0"/>
    <n v="0"/>
    <n v="5"/>
    <n v="1"/>
    <n v="60225"/>
    <n v="2010"/>
    <n v="0"/>
    <n v="0"/>
    <m/>
    <m/>
    <m/>
    <m/>
    <s v=""/>
  </r>
  <r>
    <s v="60225-2010-000-00"/>
    <d v="2016-11-30T00:00:00"/>
    <n v="-777.77"/>
    <n v="0"/>
    <s v="USD"/>
    <s v="JRNLWA00344964"/>
    <s v="P"/>
    <s v="EXP3: P-Card Accrual"/>
    <s v="AmandaH"/>
    <s v="0/REVERSE"/>
    <m/>
    <m/>
    <x v="8"/>
    <m/>
    <m/>
    <m/>
    <m/>
    <m/>
    <m/>
    <s v="JRNLWA00344947"/>
    <s v="PO-2010-16-03129"/>
    <m/>
    <d v="2016-11-07T00:00:00"/>
    <d v="2016-11-07T00:00:00"/>
    <m/>
    <m/>
    <s v="wci_wa"/>
    <n v="0"/>
    <n v="0"/>
    <n v="0"/>
    <n v="0"/>
    <n v="5"/>
    <n v="1"/>
    <n v="60225"/>
    <n v="2010"/>
    <n v="0"/>
    <n v="0"/>
    <m/>
    <m/>
    <m/>
    <m/>
    <s v=""/>
  </r>
  <r>
    <s v="60225-2010-000-00"/>
    <d v="2016-11-30T00:00:00"/>
    <n v="-16459.46"/>
    <n v="0"/>
    <s v="USD"/>
    <s v="JRNLWA00344964"/>
    <s v="P"/>
    <s v="EXP3: P-Card Accrual"/>
    <s v="AmandaH"/>
    <s v="0/REVERSE"/>
    <m/>
    <m/>
    <x v="9"/>
    <m/>
    <m/>
    <m/>
    <m/>
    <m/>
    <m/>
    <s v="JRNLWA00344947"/>
    <s v="PO-2010-16-03140"/>
    <m/>
    <d v="2016-11-07T00:00:00"/>
    <d v="2016-11-07T00:00:00"/>
    <m/>
    <m/>
    <s v="wci_wa"/>
    <n v="0"/>
    <n v="0"/>
    <n v="0"/>
    <n v="0"/>
    <n v="5"/>
    <n v="1"/>
    <n v="60225"/>
    <n v="2010"/>
    <n v="0"/>
    <n v="0"/>
    <m/>
    <m/>
    <m/>
    <m/>
    <s v=""/>
  </r>
  <r>
    <s v="60225-2010-000-00"/>
    <d v="2016-11-30T00:00:00"/>
    <n v="-313.25"/>
    <n v="0"/>
    <s v="USD"/>
    <s v="JRNLWA00344964"/>
    <s v="P"/>
    <s v="EXP3: P-Card Accrual"/>
    <s v="AmandaH"/>
    <s v="0/REVERSE"/>
    <m/>
    <m/>
    <x v="7"/>
    <m/>
    <m/>
    <m/>
    <m/>
    <m/>
    <m/>
    <s v="JRNLWA00344947"/>
    <s v="PO-2010-16-03141"/>
    <m/>
    <d v="2016-11-07T00:00:00"/>
    <d v="2016-11-07T00:00:00"/>
    <m/>
    <m/>
    <s v="wci_wa"/>
    <n v="0"/>
    <n v="0"/>
    <n v="0"/>
    <n v="0"/>
    <n v="5"/>
    <n v="1"/>
    <n v="60225"/>
    <n v="2010"/>
    <n v="0"/>
    <n v="0"/>
    <m/>
    <m/>
    <m/>
    <m/>
    <s v=""/>
  </r>
  <r>
    <s v="60225-2010-000-00"/>
    <d v="2016-11-30T00:00:00"/>
    <n v="-300"/>
    <n v="0"/>
    <s v="USD"/>
    <s v="JRNLWA00345272"/>
    <s v="P"/>
    <s v="Exp2: PO Log Accrual"/>
    <s v="AdamJo"/>
    <s v="0/JE IC"/>
    <m/>
    <m/>
    <x v="2"/>
    <m/>
    <m/>
    <m/>
    <m/>
    <m/>
    <m/>
    <s v="JRNL00820236"/>
    <s v="JRNL00820414"/>
    <m/>
    <d v="2016-11-08T00:00:00"/>
    <d v="2016-11-08T00:00:00"/>
    <m/>
    <m/>
    <s v="wci_wa"/>
    <n v="0"/>
    <n v="0"/>
    <n v="0"/>
    <n v="0"/>
    <n v="5"/>
    <n v="1"/>
    <n v="60225"/>
    <n v="2010"/>
    <n v="0"/>
    <n v="0"/>
    <m/>
    <m/>
    <m/>
    <m/>
    <s v=""/>
  </r>
  <r>
    <s v="60225-2010-000-00"/>
    <d v="2016-11-30T00:00:00"/>
    <n v="300"/>
    <n v="0"/>
    <s v="USD"/>
    <s v="JRNLWA00345917"/>
    <s v="P"/>
    <s v="Pcard Activity November - West"/>
    <s v="AdamJo"/>
    <s v="0/JE IC"/>
    <m/>
    <m/>
    <x v="5"/>
    <m/>
    <m/>
    <m/>
    <m/>
    <m/>
    <m/>
    <s v="JRNL00822449"/>
    <s v="JRNL00822449"/>
    <m/>
    <d v="2016-12-02T00:00:00"/>
    <d v="2016-12-05T00:00:00"/>
    <m/>
    <m/>
    <s v="wci_wa"/>
    <n v="0"/>
    <n v="0"/>
    <n v="0"/>
    <n v="0"/>
    <n v="0"/>
    <n v="1"/>
    <n v="60225"/>
    <n v="2010"/>
    <n v="0"/>
    <n v="0"/>
    <m/>
    <m/>
    <m/>
    <m/>
    <s v=""/>
  </r>
  <r>
    <s v="60225-2010-000-00"/>
    <d v="2016-11-30T00:00:00"/>
    <n v="197.29"/>
    <n v="0"/>
    <s v="USD"/>
    <s v="JRNLWA00345917"/>
    <s v="P"/>
    <s v="Pcard Activity November - West"/>
    <s v="AdamJo"/>
    <s v="0/JE IC"/>
    <m/>
    <m/>
    <x v="7"/>
    <m/>
    <m/>
    <m/>
    <m/>
    <m/>
    <m/>
    <s v="JRNL00822449"/>
    <s v="JRNL00822449"/>
    <m/>
    <d v="2016-12-02T00:00:00"/>
    <d v="2016-12-05T00:00:00"/>
    <m/>
    <m/>
    <s v="wci_wa"/>
    <n v="0"/>
    <n v="0"/>
    <n v="0"/>
    <n v="0"/>
    <n v="0"/>
    <n v="1"/>
    <n v="60225"/>
    <n v="2010"/>
    <n v="0"/>
    <n v="0"/>
    <m/>
    <m/>
    <m/>
    <m/>
    <s v=""/>
  </r>
  <r>
    <s v="60225-2010-000-00"/>
    <d v="2016-11-30T00:00:00"/>
    <n v="777.77"/>
    <n v="0"/>
    <s v="USD"/>
    <s v="JRNLWA00345917"/>
    <s v="P"/>
    <s v="Pcard Activity November - West"/>
    <s v="AdamJo"/>
    <s v="0/JE IC"/>
    <m/>
    <m/>
    <x v="8"/>
    <m/>
    <m/>
    <m/>
    <m/>
    <m/>
    <m/>
    <s v="JRNL00822449"/>
    <s v="JRNL00822449"/>
    <m/>
    <d v="2016-12-02T00:00:00"/>
    <d v="2016-12-05T00:00:00"/>
    <m/>
    <m/>
    <s v="wci_wa"/>
    <n v="0"/>
    <n v="0"/>
    <n v="0"/>
    <n v="0"/>
    <n v="0"/>
    <n v="1"/>
    <n v="60225"/>
    <n v="2010"/>
    <n v="0"/>
    <n v="0"/>
    <m/>
    <m/>
    <m/>
    <m/>
    <s v=""/>
  </r>
  <r>
    <s v="60225-2010-000-00"/>
    <d v="2016-11-30T00:00:00"/>
    <n v="16459.46"/>
    <n v="0"/>
    <s v="USD"/>
    <s v="JRNLWA00345917"/>
    <s v="P"/>
    <s v="Pcard Activity November - West"/>
    <s v="AdamJo"/>
    <s v="0/JE IC"/>
    <m/>
    <m/>
    <x v="9"/>
    <m/>
    <m/>
    <m/>
    <m/>
    <m/>
    <m/>
    <s v="JRNL00822449"/>
    <s v="JRNL00822449"/>
    <m/>
    <d v="2016-12-02T00:00:00"/>
    <d v="2016-12-05T00:00:00"/>
    <m/>
    <m/>
    <s v="wci_wa"/>
    <n v="0"/>
    <n v="0"/>
    <n v="0"/>
    <n v="0"/>
    <n v="0"/>
    <n v="1"/>
    <n v="60225"/>
    <n v="2010"/>
    <n v="0"/>
    <n v="0"/>
    <m/>
    <m/>
    <m/>
    <m/>
    <s v=""/>
  </r>
  <r>
    <s v="60225-2010-000-00"/>
    <d v="2016-11-30T00:00:00"/>
    <n v="313.25"/>
    <n v="0"/>
    <s v="USD"/>
    <s v="JRNLWA00345917"/>
    <s v="P"/>
    <s v="Pcard Activity November - West"/>
    <s v="AdamJo"/>
    <s v="0/JE IC"/>
    <m/>
    <m/>
    <x v="7"/>
    <m/>
    <m/>
    <m/>
    <m/>
    <m/>
    <m/>
    <s v="JRNL00822449"/>
    <s v="JRNL00822449"/>
    <m/>
    <d v="2016-12-02T00:00:00"/>
    <d v="2016-12-05T00:00:00"/>
    <m/>
    <m/>
    <s v="wci_wa"/>
    <n v="0"/>
    <n v="0"/>
    <n v="0"/>
    <n v="0"/>
    <n v="0"/>
    <n v="1"/>
    <n v="60225"/>
    <n v="2010"/>
    <n v="0"/>
    <n v="0"/>
    <m/>
    <m/>
    <m/>
    <m/>
    <s v=""/>
  </r>
  <r>
    <s v="60225-2010-000-00"/>
    <d v="2016-11-30T00:00:00"/>
    <n v="1976.14"/>
    <n v="0"/>
    <s v="USD"/>
    <s v="JRNLWA00345917"/>
    <s v="P"/>
    <s v="Pcard Activity November - West"/>
    <s v="AdamJo"/>
    <s v="0/JE IC"/>
    <m/>
    <m/>
    <x v="12"/>
    <m/>
    <m/>
    <m/>
    <m/>
    <m/>
    <m/>
    <s v="JRNL00822449"/>
    <s v="JRNL00822449"/>
    <m/>
    <d v="2016-12-02T00:00:00"/>
    <d v="2016-12-05T00:00:00"/>
    <m/>
    <m/>
    <s v="wci_wa"/>
    <n v="0"/>
    <n v="0"/>
    <n v="0"/>
    <n v="0"/>
    <n v="0"/>
    <n v="1"/>
    <n v="60225"/>
    <n v="2010"/>
    <n v="0"/>
    <n v="0"/>
    <m/>
    <m/>
    <m/>
    <m/>
    <s v=""/>
  </r>
  <r>
    <s v="60225-2010-000-00"/>
    <d v="2016-11-30T00:00:00"/>
    <n v="587.5"/>
    <n v="0"/>
    <s v="USD"/>
    <s v="JRNLWA00346633"/>
    <s v="P"/>
    <s v="Exp2: PO Log Accrual"/>
    <s v="AdamJo"/>
    <s v="0/JE IC"/>
    <m/>
    <m/>
    <x v="2"/>
    <m/>
    <m/>
    <m/>
    <m/>
    <m/>
    <m/>
    <s v="JRNL00824069"/>
    <s v="JRNL00824069"/>
    <m/>
    <d v="2016-12-07T00:00:00"/>
    <d v="2016-12-07T00:00:00"/>
    <m/>
    <m/>
    <s v="wci_wa"/>
    <n v="0"/>
    <n v="0"/>
    <n v="0"/>
    <n v="0"/>
    <n v="0"/>
    <n v="1"/>
    <n v="60225"/>
    <n v="2010"/>
    <n v="0"/>
    <n v="0"/>
    <m/>
    <m/>
    <m/>
    <m/>
    <s v=""/>
  </r>
  <r>
    <s v="60225-2010-000-00"/>
    <d v="2016-11-30T00:00:00"/>
    <n v="24.66"/>
    <n v="0"/>
    <s v="USD"/>
    <s v="JRNLWA00346633"/>
    <s v="P"/>
    <s v="Exp2: PO Log Accrual"/>
    <s v="AdamJo"/>
    <s v="0/JE IC"/>
    <m/>
    <m/>
    <x v="13"/>
    <m/>
    <m/>
    <m/>
    <m/>
    <m/>
    <m/>
    <s v="JRNL00824069"/>
    <s v="JRNL00824069"/>
    <m/>
    <d v="2016-12-07T00:00:00"/>
    <d v="2016-12-07T00:00:00"/>
    <m/>
    <m/>
    <s v="wci_wa"/>
    <n v="0"/>
    <n v="0"/>
    <n v="0"/>
    <n v="0"/>
    <n v="0"/>
    <n v="1"/>
    <n v="60225"/>
    <n v="2010"/>
    <n v="0"/>
    <n v="0"/>
    <m/>
    <m/>
    <m/>
    <m/>
    <s v=""/>
  </r>
  <r>
    <s v="60225-2010-000-00"/>
    <d v="2016-12-15T00:00:00"/>
    <n v="20926.73"/>
    <n v="0"/>
    <s v="USD"/>
    <s v="JRNLWA00346903"/>
    <s v="P"/>
    <s v="From Voucher Posting."/>
    <s v="RosemaryS"/>
    <s v="0/JE IC"/>
    <s v="VUS000011199"/>
    <m/>
    <x v="14"/>
    <d v="2016-12-01T00:00:00"/>
    <s v="2016 EOW Calendar postage OK per Bridget"/>
    <s v="2016 EOW POSTAGE"/>
    <s v="PO-2010-16-04123"/>
    <m/>
    <m/>
    <s v="VO04139461"/>
    <s v="JRNL00824734"/>
    <n v="2010"/>
    <d v="2016-12-15T00:00:00"/>
    <d v="2016-12-15T00:00:00"/>
    <n v="20926.7"/>
    <d v="2016-12-15T00:00:00"/>
    <s v="wci_wa"/>
    <n v="0"/>
    <n v="0"/>
    <n v="0"/>
    <n v="0"/>
    <n v="0"/>
    <n v="1"/>
    <n v="60225"/>
    <n v="2010"/>
    <n v="0"/>
    <n v="0"/>
    <m/>
    <m/>
    <m/>
    <m/>
    <s v="VO04139461"/>
  </r>
  <r>
    <s v="60225-2010-000-00"/>
    <d v="2016-12-31T00:00:00"/>
    <n v="-587.5"/>
    <n v="0"/>
    <s v="USD"/>
    <s v="JRNLWA00346681"/>
    <s v="P"/>
    <s v="Exp2: PO Log Accrual"/>
    <s v="HeatherWe"/>
    <s v="0/JE IC"/>
    <m/>
    <m/>
    <x v="2"/>
    <m/>
    <m/>
    <m/>
    <m/>
    <m/>
    <m/>
    <s v="JRNL00824069"/>
    <s v="JRNL00824118"/>
    <m/>
    <d v="2016-12-07T00:00:00"/>
    <d v="2016-12-07T00:00:00"/>
    <m/>
    <m/>
    <s v="wci_wa"/>
    <n v="0"/>
    <n v="0"/>
    <n v="0"/>
    <n v="0"/>
    <n v="5"/>
    <n v="1"/>
    <n v="60225"/>
    <n v="2010"/>
    <n v="0"/>
    <n v="0"/>
    <m/>
    <m/>
    <m/>
    <m/>
    <s v=""/>
  </r>
  <r>
    <s v="60225-2010-000-00"/>
    <d v="2016-12-31T00:00:00"/>
    <n v="-24.66"/>
    <n v="0"/>
    <s v="USD"/>
    <s v="JRNLWA00346681"/>
    <s v="P"/>
    <s v="Exp2: PO Log Accrual"/>
    <s v="HeatherWe"/>
    <s v="0/JE IC"/>
    <m/>
    <m/>
    <x v="13"/>
    <m/>
    <m/>
    <m/>
    <m/>
    <m/>
    <m/>
    <s v="JRNL00824069"/>
    <s v="JRNL00824118"/>
    <m/>
    <d v="2016-12-07T00:00:00"/>
    <d v="2016-12-07T00:00:00"/>
    <m/>
    <m/>
    <s v="wci_wa"/>
    <n v="0"/>
    <n v="0"/>
    <n v="0"/>
    <n v="0"/>
    <n v="5"/>
    <n v="1"/>
    <n v="60225"/>
    <n v="2010"/>
    <n v="0"/>
    <n v="0"/>
    <m/>
    <m/>
    <m/>
    <m/>
    <s v=""/>
  </r>
  <r>
    <s v="60225-2010-000-00"/>
    <d v="2016-12-31T00:00:00"/>
    <n v="587.5"/>
    <n v="0"/>
    <s v="USD"/>
    <s v="JRNLWA00347450"/>
    <s v="P"/>
    <s v="PCard Activity December - West"/>
    <s v="AdamJo"/>
    <s v="0/JE IC"/>
    <m/>
    <m/>
    <x v="5"/>
    <m/>
    <m/>
    <m/>
    <m/>
    <m/>
    <m/>
    <s v="JRNL00826292"/>
    <s v="JRNL00826292"/>
    <m/>
    <d v="2017-01-05T00:00:00"/>
    <d v="2017-01-05T00:00:00"/>
    <m/>
    <m/>
    <s v="wci_wa"/>
    <n v="0"/>
    <n v="0"/>
    <n v="0"/>
    <n v="0"/>
    <n v="0"/>
    <n v="1"/>
    <n v="60225"/>
    <n v="2010"/>
    <n v="0"/>
    <n v="0"/>
    <m/>
    <m/>
    <m/>
    <m/>
    <s v=""/>
  </r>
  <r>
    <s v="60225-2010-000-00"/>
    <d v="2016-12-31T00:00:00"/>
    <n v="30.03"/>
    <n v="0"/>
    <s v="USD"/>
    <s v="JRNLWA00347450"/>
    <s v="P"/>
    <s v="PCard Activity December - West"/>
    <s v="AdamJo"/>
    <s v="0/JE IC"/>
    <m/>
    <m/>
    <x v="15"/>
    <m/>
    <m/>
    <m/>
    <m/>
    <m/>
    <m/>
    <s v="JRNL00826292"/>
    <s v="JRNL00826292"/>
    <m/>
    <d v="2017-01-05T00:00:00"/>
    <d v="2017-01-05T00:00:00"/>
    <m/>
    <m/>
    <s v="wci_wa"/>
    <n v="0"/>
    <n v="0"/>
    <n v="0"/>
    <n v="0"/>
    <n v="0"/>
    <n v="1"/>
    <n v="60225"/>
    <n v="2010"/>
    <n v="0"/>
    <n v="0"/>
    <m/>
    <m/>
    <m/>
    <m/>
    <s v=""/>
  </r>
  <r>
    <s v="60225-2010-000-00"/>
    <d v="2016-12-31T00:00:00"/>
    <n v="290"/>
    <n v="0"/>
    <s v="USD"/>
    <s v="JRNLWA00347450"/>
    <s v="P"/>
    <s v="PCard Activity December - West"/>
    <s v="AdamJo"/>
    <s v="0/JE IC"/>
    <m/>
    <m/>
    <x v="16"/>
    <m/>
    <m/>
    <m/>
    <m/>
    <m/>
    <m/>
    <s v="JRNL00826292"/>
    <s v="JRNL00826292"/>
    <m/>
    <d v="2017-01-05T00:00:00"/>
    <d v="2017-01-05T00:00:00"/>
    <m/>
    <m/>
    <s v="wci_wa"/>
    <n v="0"/>
    <n v="0"/>
    <n v="0"/>
    <n v="0"/>
    <n v="0"/>
    <n v="1"/>
    <n v="60225"/>
    <n v="2010"/>
    <n v="0"/>
    <n v="0"/>
    <m/>
    <m/>
    <m/>
    <m/>
    <s v=""/>
  </r>
  <r>
    <s v="60225-2010-000-00"/>
    <d v="2016-12-31T00:00:00"/>
    <n v="-215"/>
    <n v="0"/>
    <s v="USD"/>
    <s v="JRNLWA00348017"/>
    <s v="P"/>
    <s v="EXP3: PCard Accrual"/>
    <s v="AmandaH"/>
    <s v="1/JE STD"/>
    <m/>
    <m/>
    <x v="16"/>
    <m/>
    <m/>
    <m/>
    <m/>
    <m/>
    <m/>
    <s v="JRNLWA00348017"/>
    <s v="PO-2010-16-04252"/>
    <m/>
    <d v="2017-01-06T00:00:00"/>
    <d v="2017-01-06T00:00:00"/>
    <m/>
    <m/>
    <s v="wci_wa"/>
    <n v="1"/>
    <n v="0"/>
    <n v="0"/>
    <n v="0"/>
    <n v="0"/>
    <n v="1"/>
    <n v="60225"/>
    <n v="2010"/>
    <n v="0"/>
    <n v="0"/>
    <m/>
    <m/>
    <m/>
    <m/>
    <s v=""/>
  </r>
  <r>
    <s v="60225-2010-000-00"/>
    <d v="2016-12-31T00:00:00"/>
    <n v="881.25"/>
    <n v="0"/>
    <s v="USD"/>
    <s v="JRNLWA00348055"/>
    <s v="P"/>
    <s v="Exp2: PO Log Accrual"/>
    <s v="MaribelV"/>
    <s v="0/JE IC"/>
    <m/>
    <m/>
    <x v="2"/>
    <m/>
    <m/>
    <m/>
    <m/>
    <m/>
    <m/>
    <s v="JRNL00827565"/>
    <s v="JRNL00827565"/>
    <m/>
    <d v="2017-01-06T00:00:00"/>
    <d v="2017-01-06T00:00:00"/>
    <m/>
    <m/>
    <s v="wci_wa"/>
    <n v="0"/>
    <n v="0"/>
    <n v="0"/>
    <n v="0"/>
    <n v="0"/>
    <n v="1"/>
    <n v="60225"/>
    <n v="2010"/>
    <n v="0"/>
    <n v="0"/>
    <m/>
    <m/>
    <m/>
    <m/>
    <s v=""/>
  </r>
  <r>
    <s v="60225-2010-000-00"/>
    <d v="2016-12-31T00:00:00"/>
    <n v="9476.43"/>
    <n v="0"/>
    <s v="USD"/>
    <s v="JRNLWA00348055"/>
    <s v="P"/>
    <s v="Exp2: PO Log Accrual"/>
    <s v="MaribelV"/>
    <s v="0/JE IC"/>
    <m/>
    <m/>
    <x v="17"/>
    <m/>
    <m/>
    <m/>
    <m/>
    <m/>
    <m/>
    <s v="JRNL00827565"/>
    <s v="JRNL00827565"/>
    <m/>
    <d v="2017-01-06T00:00:00"/>
    <d v="2017-01-06T00:00:00"/>
    <m/>
    <m/>
    <s v="wci_wa"/>
    <n v="0"/>
    <n v="0"/>
    <n v="0"/>
    <n v="0"/>
    <n v="0"/>
    <n v="1"/>
    <n v="60225"/>
    <n v="2010"/>
    <n v="0"/>
    <n v="0"/>
    <m/>
    <m/>
    <m/>
    <m/>
    <s v=""/>
  </r>
  <r>
    <s v="60225-2010-000-00"/>
    <d v="2017-01-12T00:00:00"/>
    <n v="445"/>
    <n v="0"/>
    <s v="USD"/>
    <s v="JRNLWA00348509"/>
    <s v="P"/>
    <s v="From Voucher Posting."/>
    <s v="RosemaryS"/>
    <s v="0/JE IC"/>
    <s v="VUS000012158"/>
    <s v="CITY OF VANCOUVER"/>
    <x v="18"/>
    <d v="2017-01-01T00:00:00"/>
    <s v="Senior Messenger Advertisement Inv 43826"/>
    <n v="438265"/>
    <s v="PO-2010-17-00124"/>
    <m/>
    <m/>
    <s v="VO04169899"/>
    <s v="JRNL00828422"/>
    <n v="2010"/>
    <d v="2017-01-12T00:00:00"/>
    <d v="2017-01-13T00:00:00"/>
    <n v="445"/>
    <d v="2017-01-02T00:00:00"/>
    <s v="wci_wa"/>
    <n v="0"/>
    <n v="0"/>
    <n v="0"/>
    <n v="0"/>
    <n v="0"/>
    <n v="1"/>
    <n v="60225"/>
    <n v="2010"/>
    <n v="0"/>
    <n v="0"/>
    <m/>
    <m/>
    <m/>
    <m/>
    <s v="VO04169899"/>
  </r>
  <r>
    <s v="60225-2010-000-00"/>
    <d v="2017-01-31T00:00:00"/>
    <n v="215"/>
    <n v="0"/>
    <s v="USD"/>
    <s v="JRNLWA00348099"/>
    <s v="P"/>
    <s v="EXP3: PCard Accrual"/>
    <s v="AmandaH"/>
    <s v="0/REVERSE"/>
    <m/>
    <m/>
    <x v="16"/>
    <m/>
    <m/>
    <m/>
    <m/>
    <m/>
    <m/>
    <s v="JRNLWA00348017"/>
    <s v="PO-2010-16-04252"/>
    <m/>
    <d v="2017-01-06T00:00:00"/>
    <d v="2017-01-06T00:00:00"/>
    <m/>
    <m/>
    <s v="wci_wa"/>
    <n v="0"/>
    <n v="0"/>
    <n v="0"/>
    <n v="0"/>
    <n v="5"/>
    <n v="1"/>
    <n v="60225"/>
    <n v="2010"/>
    <n v="0"/>
    <n v="0"/>
    <m/>
    <m/>
    <m/>
    <m/>
    <s v=""/>
  </r>
  <r>
    <s v="60225-2010-000-00"/>
    <d v="2017-01-31T00:00:00"/>
    <n v="-881.25"/>
    <n v="0"/>
    <s v="USD"/>
    <s v="JRNLWA00348113"/>
    <s v="P"/>
    <s v="Exp2: PO Log Accrual"/>
    <s v="MaribelV"/>
    <s v="0/JE IC"/>
    <m/>
    <m/>
    <x v="2"/>
    <m/>
    <m/>
    <m/>
    <m/>
    <m/>
    <m/>
    <s v="JRNL00827565"/>
    <s v="JRNL00827593"/>
    <m/>
    <d v="2017-01-06T00:00:00"/>
    <d v="2017-01-06T00:00:00"/>
    <m/>
    <m/>
    <s v="wci_wa"/>
    <n v="0"/>
    <n v="0"/>
    <n v="0"/>
    <n v="0"/>
    <n v="5"/>
    <n v="1"/>
    <n v="60225"/>
    <n v="2010"/>
    <n v="0"/>
    <n v="0"/>
    <m/>
    <m/>
    <m/>
    <m/>
    <s v=""/>
  </r>
  <r>
    <s v="60225-2010-000-00"/>
    <d v="2017-01-31T00:00:00"/>
    <n v="-9476.43"/>
    <n v="0"/>
    <s v="USD"/>
    <s v="JRNLWA00348113"/>
    <s v="P"/>
    <s v="Exp2: PO Log Accrual"/>
    <s v="MaribelV"/>
    <s v="0/JE IC"/>
    <m/>
    <m/>
    <x v="17"/>
    <m/>
    <m/>
    <m/>
    <m/>
    <m/>
    <m/>
    <s v="JRNL00827565"/>
    <s v="JRNL00827593"/>
    <m/>
    <d v="2017-01-06T00:00:00"/>
    <d v="2017-01-06T00:00:00"/>
    <m/>
    <m/>
    <s v="wci_wa"/>
    <n v="0"/>
    <n v="0"/>
    <n v="0"/>
    <n v="0"/>
    <n v="5"/>
    <n v="1"/>
    <n v="60225"/>
    <n v="2010"/>
    <n v="0"/>
    <n v="0"/>
    <m/>
    <m/>
    <m/>
    <m/>
    <s v=""/>
  </r>
  <r>
    <s v="60225-2010-000-00"/>
    <d v="2017-01-31T00:00:00"/>
    <n v="881.25"/>
    <n v="0"/>
    <s v="USD"/>
    <s v="JRNLWA00349054"/>
    <s v="P"/>
    <s v="PCard Activity January- Wester"/>
    <s v="AdamJo"/>
    <s v="0/JE IC"/>
    <m/>
    <m/>
    <x v="5"/>
    <m/>
    <m/>
    <m/>
    <m/>
    <m/>
    <m/>
    <s v="JRNL00830275"/>
    <s v="JRNL00830275"/>
    <m/>
    <d v="2017-02-03T00:00:00"/>
    <d v="2017-02-03T00:00:00"/>
    <m/>
    <m/>
    <s v="wci_wa"/>
    <n v="0"/>
    <n v="0"/>
    <n v="0"/>
    <n v="0"/>
    <n v="0"/>
    <n v="1"/>
    <n v="60225"/>
    <n v="2010"/>
    <n v="0"/>
    <n v="0"/>
    <m/>
    <m/>
    <m/>
    <m/>
    <s v=""/>
  </r>
  <r>
    <s v="60225-2010-000-00"/>
    <d v="2017-01-31T00:00:00"/>
    <n v="-215"/>
    <n v="0"/>
    <s v="USD"/>
    <s v="JRNLWA00349054"/>
    <s v="P"/>
    <s v="PCard Activity January- Wester"/>
    <s v="AdamJo"/>
    <s v="0/JE IC"/>
    <m/>
    <m/>
    <x v="16"/>
    <m/>
    <m/>
    <m/>
    <m/>
    <m/>
    <m/>
    <s v="JRNL00830275"/>
    <s v="JRNL00830275"/>
    <m/>
    <d v="2017-02-03T00:00:00"/>
    <d v="2017-02-03T00:00:00"/>
    <m/>
    <m/>
    <s v="wci_wa"/>
    <n v="0"/>
    <n v="0"/>
    <n v="0"/>
    <n v="0"/>
    <n v="0"/>
    <n v="1"/>
    <n v="60225"/>
    <n v="2010"/>
    <n v="0"/>
    <n v="0"/>
    <m/>
    <m/>
    <m/>
    <m/>
    <s v=""/>
  </r>
  <r>
    <s v="60225-2010-000-00"/>
    <d v="2017-01-31T00:00:00"/>
    <n v="9476.43"/>
    <n v="0"/>
    <s v="USD"/>
    <s v="JRNLWA00349054"/>
    <s v="P"/>
    <s v="PCard Activity January- Wester"/>
    <s v="AdamJo"/>
    <s v="0/JE IC"/>
    <m/>
    <m/>
    <x v="19"/>
    <m/>
    <m/>
    <m/>
    <m/>
    <m/>
    <m/>
    <s v="JRNL00830275"/>
    <s v="JRNL00830275"/>
    <m/>
    <d v="2017-02-03T00:00:00"/>
    <d v="2017-02-03T00:00:00"/>
    <m/>
    <m/>
    <s v="wci_wa"/>
    <n v="0"/>
    <n v="0"/>
    <n v="0"/>
    <n v="0"/>
    <n v="0"/>
    <n v="1"/>
    <n v="60225"/>
    <n v="2010"/>
    <n v="0"/>
    <n v="0"/>
    <m/>
    <m/>
    <m/>
    <m/>
    <s v=""/>
  </r>
  <r>
    <s v="60225-2010-000-00"/>
    <d v="2017-01-31T00:00:00"/>
    <n v="173.43"/>
    <n v="0"/>
    <s v="USD"/>
    <s v="JRNLWA00349423"/>
    <s v="P"/>
    <s v="EXP3: P-Card Accrual"/>
    <s v="AmandaH"/>
    <s v="1/JE STD"/>
    <m/>
    <m/>
    <x v="20"/>
    <m/>
    <m/>
    <m/>
    <m/>
    <m/>
    <m/>
    <s v="JRNLWA00349423"/>
    <s v="PO-2010-17-00456"/>
    <m/>
    <d v="2017-02-06T00:00:00"/>
    <d v="2017-02-07T00:00:00"/>
    <m/>
    <m/>
    <s v="wci_wa"/>
    <n v="1"/>
    <n v="0"/>
    <n v="0"/>
    <n v="0"/>
    <n v="0"/>
    <n v="1"/>
    <n v="60225"/>
    <n v="2010"/>
    <n v="0"/>
    <n v="0"/>
    <m/>
    <m/>
    <m/>
    <m/>
    <s v=""/>
  </r>
  <r>
    <s v="60225-2010-000-00"/>
    <d v="2017-01-31T00:00:00"/>
    <n v="173.43"/>
    <n v="0"/>
    <s v="USD"/>
    <s v="JRNLWA00349423"/>
    <s v="P"/>
    <s v="EXP3: P-Card Accrual"/>
    <s v="AmandaH"/>
    <s v="1/JE STD"/>
    <m/>
    <m/>
    <x v="20"/>
    <m/>
    <m/>
    <m/>
    <m/>
    <m/>
    <m/>
    <s v="JRNLWA00349423"/>
    <s v="PO-2010-17-00456"/>
    <m/>
    <d v="2017-02-06T00:00:00"/>
    <d v="2017-02-07T00:00:00"/>
    <m/>
    <m/>
    <s v="wci_wa"/>
    <n v="1"/>
    <n v="0"/>
    <n v="0"/>
    <n v="0"/>
    <n v="0"/>
    <n v="1"/>
    <n v="60225"/>
    <n v="2010"/>
    <n v="0"/>
    <n v="0"/>
    <m/>
    <m/>
    <m/>
    <m/>
    <s v=""/>
  </r>
  <r>
    <s v="60225-2010-000-00"/>
    <d v="2017-01-31T00:00:00"/>
    <n v="1650.46"/>
    <n v="0"/>
    <s v="USD"/>
    <s v="JRNLWA00349477"/>
    <s v="P"/>
    <s v="Exp2: PO Log Accrual"/>
    <s v="HeatherWe"/>
    <s v="0/JE IC"/>
    <m/>
    <m/>
    <x v="21"/>
    <m/>
    <m/>
    <m/>
    <m/>
    <m/>
    <m/>
    <s v="JRNL00831497"/>
    <s v="JRNL00831497"/>
    <m/>
    <d v="2017-02-06T00:00:00"/>
    <d v="2017-02-07T00:00:00"/>
    <m/>
    <m/>
    <s v="wci_wa"/>
    <n v="0"/>
    <n v="0"/>
    <n v="0"/>
    <n v="0"/>
    <n v="0"/>
    <n v="1"/>
    <n v="60225"/>
    <n v="2010"/>
    <n v="0"/>
    <n v="0"/>
    <m/>
    <m/>
    <m/>
    <m/>
    <s v=""/>
  </r>
  <r>
    <s v="60225-2010-000-00"/>
    <d v="2017-01-31T00:00:00"/>
    <n v="300"/>
    <n v="0"/>
    <s v="USD"/>
    <s v="JRNLWA00349477"/>
    <s v="P"/>
    <s v="Exp2: PO Log Accrual"/>
    <s v="HeatherWe"/>
    <s v="0/JE IC"/>
    <m/>
    <m/>
    <x v="22"/>
    <m/>
    <m/>
    <m/>
    <m/>
    <m/>
    <m/>
    <s v="JRNL00831497"/>
    <s v="JRNL00831497"/>
    <m/>
    <d v="2017-02-06T00:00:00"/>
    <d v="2017-02-07T00:00:00"/>
    <m/>
    <m/>
    <s v="wci_wa"/>
    <n v="0"/>
    <n v="0"/>
    <n v="0"/>
    <n v="0"/>
    <n v="0"/>
    <n v="1"/>
    <n v="60225"/>
    <n v="2010"/>
    <n v="0"/>
    <n v="0"/>
    <m/>
    <m/>
    <m/>
    <m/>
    <s v=""/>
  </r>
  <r>
    <s v="60225-2010-100-00"/>
    <d v="2017-01-31T00:00:00"/>
    <n v="249"/>
    <n v="0"/>
    <s v="USD"/>
    <s v="JRNLWA00349480"/>
    <s v="P"/>
    <s v="EXP1: Expense Report Accrual"/>
    <s v="HeatherWe"/>
    <s v="0/JE IC"/>
    <m/>
    <m/>
    <x v="23"/>
    <m/>
    <m/>
    <m/>
    <m/>
    <m/>
    <m/>
    <s v="JRNL00831500"/>
    <s v="JRNL00831500"/>
    <m/>
    <d v="2017-02-06T00:00:00"/>
    <d v="2017-02-07T00:00:00"/>
    <m/>
    <m/>
    <s v="wci_wa"/>
    <n v="0"/>
    <n v="0"/>
    <n v="0"/>
    <n v="0"/>
    <n v="0"/>
    <n v="1"/>
    <n v="60225"/>
    <n v="2010"/>
    <n v="100"/>
    <n v="0"/>
    <m/>
    <m/>
    <m/>
    <m/>
    <s v=""/>
  </r>
  <r>
    <s v="60225-2010-100-00"/>
    <d v="2017-01-31T00:00:00"/>
    <n v="250"/>
    <n v="0"/>
    <s v="USD"/>
    <s v="JRNLWA00349480"/>
    <s v="P"/>
    <s v="EXP1: Expense Report Accrual"/>
    <s v="HeatherWe"/>
    <s v="0/JE IC"/>
    <m/>
    <m/>
    <x v="24"/>
    <m/>
    <m/>
    <m/>
    <m/>
    <m/>
    <m/>
    <s v="JRNL00831500"/>
    <s v="JRNL00831500"/>
    <m/>
    <d v="2017-02-06T00:00:00"/>
    <d v="2017-02-07T00:00:00"/>
    <m/>
    <m/>
    <s v="wci_wa"/>
    <n v="0"/>
    <n v="0"/>
    <n v="0"/>
    <n v="0"/>
    <n v="0"/>
    <n v="1"/>
    <n v="60225"/>
    <n v="2010"/>
    <n v="100"/>
    <n v="0"/>
    <m/>
    <m/>
    <m/>
    <m/>
    <s v=""/>
  </r>
  <r>
    <s v="60225-2010-100-00"/>
    <d v="2017-02-23T00:00:00"/>
    <n v="249"/>
    <n v="0"/>
    <s v="USD"/>
    <s v="JRNLWA00350162"/>
    <s v="P"/>
    <s v="From Voucher Posting."/>
    <s v="RosemaryS"/>
    <s v="0/JE IC"/>
    <s v="20MTIEFENTH"/>
    <m/>
    <x v="25"/>
    <d v="2017-01-31T00:00:00"/>
    <m/>
    <s v="01/01-01/31/2017"/>
    <m/>
    <m/>
    <m/>
    <s v="VO04210704"/>
    <s v="JRNL00833053"/>
    <n v="2010"/>
    <d v="2017-02-23T00:00:00"/>
    <d v="2017-02-27T00:00:00"/>
    <n v="909.77"/>
    <d v="2017-02-01T00:00:00"/>
    <s v="wci_wa"/>
    <n v="0"/>
    <n v="0"/>
    <n v="0"/>
    <n v="0"/>
    <n v="0"/>
    <n v="1"/>
    <n v="60225"/>
    <n v="2010"/>
    <n v="100"/>
    <n v="0"/>
    <m/>
    <m/>
    <m/>
    <m/>
    <s v="VO04210704"/>
  </r>
  <r>
    <s v="60225-2010-100-00"/>
    <d v="2017-02-23T00:00:00"/>
    <n v="250"/>
    <n v="0"/>
    <s v="USD"/>
    <s v="JRNLWA00350162"/>
    <s v="P"/>
    <s v="From Voucher Posting."/>
    <s v="RosemaryS"/>
    <s v="0/JE IC"/>
    <s v="20MTIEFENTH"/>
    <m/>
    <x v="25"/>
    <d v="2017-01-31T00:00:00"/>
    <m/>
    <s v="01/01-01/31/2017"/>
    <m/>
    <m/>
    <m/>
    <s v="VO04210704"/>
    <s v="JRNL00833053"/>
    <n v="2010"/>
    <d v="2017-02-23T00:00:00"/>
    <d v="2017-02-27T00:00:00"/>
    <n v="909.77"/>
    <d v="2017-02-01T00:00:00"/>
    <s v="wci_wa"/>
    <n v="0"/>
    <n v="0"/>
    <n v="0"/>
    <n v="0"/>
    <n v="0"/>
    <n v="1"/>
    <n v="60225"/>
    <n v="2010"/>
    <n v="100"/>
    <n v="0"/>
    <m/>
    <m/>
    <m/>
    <m/>
    <s v="VO04210704"/>
  </r>
  <r>
    <s v="60225-2010-000-00"/>
    <d v="2017-02-28T00:00:00"/>
    <n v="-1650.46"/>
    <n v="0"/>
    <s v="USD"/>
    <s v="JRNLWA00349565"/>
    <s v="P"/>
    <s v="Exp2: PO Log Accrual"/>
    <s v="HeatherWe"/>
    <s v="0/JE IC"/>
    <m/>
    <m/>
    <x v="21"/>
    <m/>
    <m/>
    <m/>
    <m/>
    <m/>
    <m/>
    <s v="JRNL00831497"/>
    <s v="JRNL00831619"/>
    <m/>
    <d v="2017-02-07T00:00:00"/>
    <d v="2017-02-07T00:00:00"/>
    <m/>
    <m/>
    <s v="wci_wa"/>
    <n v="0"/>
    <n v="0"/>
    <n v="0"/>
    <n v="0"/>
    <n v="5"/>
    <n v="1"/>
    <n v="60225"/>
    <n v="2010"/>
    <n v="0"/>
    <n v="0"/>
    <m/>
    <m/>
    <m/>
    <m/>
    <s v=""/>
  </r>
  <r>
    <s v="60225-2010-000-00"/>
    <d v="2017-02-28T00:00:00"/>
    <n v="-300"/>
    <n v="0"/>
    <s v="USD"/>
    <s v="JRNLWA00349565"/>
    <s v="P"/>
    <s v="Exp2: PO Log Accrual"/>
    <s v="HeatherWe"/>
    <s v="0/JE IC"/>
    <m/>
    <m/>
    <x v="22"/>
    <m/>
    <m/>
    <m/>
    <m/>
    <m/>
    <m/>
    <s v="JRNL00831497"/>
    <s v="JRNL00831619"/>
    <m/>
    <d v="2017-02-07T00:00:00"/>
    <d v="2017-02-07T00:00:00"/>
    <m/>
    <m/>
    <s v="wci_wa"/>
    <n v="0"/>
    <n v="0"/>
    <n v="0"/>
    <n v="0"/>
    <n v="5"/>
    <n v="1"/>
    <n v="60225"/>
    <n v="2010"/>
    <n v="0"/>
    <n v="0"/>
    <m/>
    <m/>
    <m/>
    <m/>
    <s v=""/>
  </r>
  <r>
    <s v="60225-2010-100-00"/>
    <d v="2017-02-28T00:00:00"/>
    <n v="-249"/>
    <n v="0"/>
    <s v="USD"/>
    <s v="JRNLWA00349567"/>
    <s v="P"/>
    <s v="EXP1: Expense Report Accrual"/>
    <s v="HeatherWe"/>
    <s v="0/JE IC"/>
    <m/>
    <m/>
    <x v="23"/>
    <m/>
    <m/>
    <m/>
    <m/>
    <m/>
    <m/>
    <s v="JRNL00831500"/>
    <s v="JRNL00831621"/>
    <m/>
    <d v="2017-02-07T00:00:00"/>
    <d v="2017-02-07T00:00:00"/>
    <m/>
    <m/>
    <s v="wci_wa"/>
    <n v="0"/>
    <n v="0"/>
    <n v="0"/>
    <n v="0"/>
    <n v="5"/>
    <n v="1"/>
    <n v="60225"/>
    <n v="2010"/>
    <n v="100"/>
    <n v="0"/>
    <m/>
    <m/>
    <m/>
    <m/>
    <s v=""/>
  </r>
  <r>
    <s v="60225-2010-100-00"/>
    <d v="2017-02-28T00:00:00"/>
    <n v="-250"/>
    <n v="0"/>
    <s v="USD"/>
    <s v="JRNLWA00349567"/>
    <s v="P"/>
    <s v="EXP1: Expense Report Accrual"/>
    <s v="HeatherWe"/>
    <s v="0/JE IC"/>
    <m/>
    <m/>
    <x v="24"/>
    <m/>
    <m/>
    <m/>
    <m/>
    <m/>
    <m/>
    <s v="JRNL00831500"/>
    <s v="JRNL00831621"/>
    <m/>
    <d v="2017-02-07T00:00:00"/>
    <d v="2017-02-07T00:00:00"/>
    <m/>
    <m/>
    <s v="wci_wa"/>
    <n v="0"/>
    <n v="0"/>
    <n v="0"/>
    <n v="0"/>
    <n v="5"/>
    <n v="1"/>
    <n v="60225"/>
    <n v="2010"/>
    <n v="100"/>
    <n v="0"/>
    <m/>
    <m/>
    <m/>
    <m/>
    <s v=""/>
  </r>
  <r>
    <s v="60225-2010-000-00"/>
    <d v="2017-02-28T00:00:00"/>
    <n v="-173.43"/>
    <n v="0"/>
    <s v="USD"/>
    <s v="JRNLWA00349602"/>
    <s v="P"/>
    <s v="EXP3: P-Card Accrual"/>
    <s v="AmandaH"/>
    <s v="0/REVERSE"/>
    <m/>
    <m/>
    <x v="20"/>
    <m/>
    <m/>
    <m/>
    <m/>
    <m/>
    <m/>
    <s v="JRNLWA00349423"/>
    <s v="PO-2010-17-00456"/>
    <m/>
    <d v="2017-02-07T00:00:00"/>
    <d v="2017-02-07T00:00:00"/>
    <m/>
    <m/>
    <s v="wci_wa"/>
    <n v="0"/>
    <n v="0"/>
    <n v="0"/>
    <n v="0"/>
    <n v="5"/>
    <n v="1"/>
    <n v="60225"/>
    <n v="2010"/>
    <n v="0"/>
    <n v="0"/>
    <m/>
    <m/>
    <m/>
    <m/>
    <s v=""/>
  </r>
  <r>
    <s v="60225-2010-000-00"/>
    <d v="2017-02-28T00:00:00"/>
    <n v="-173.43"/>
    <n v="0"/>
    <s v="USD"/>
    <s v="JRNLWA00349602"/>
    <s v="P"/>
    <s v="EXP3: P-Card Accrual"/>
    <s v="AmandaH"/>
    <s v="0/REVERSE"/>
    <m/>
    <m/>
    <x v="20"/>
    <m/>
    <m/>
    <m/>
    <m/>
    <m/>
    <m/>
    <s v="JRNLWA00349423"/>
    <s v="PO-2010-17-00456"/>
    <m/>
    <d v="2017-02-07T00:00:00"/>
    <d v="2017-02-07T00:00:00"/>
    <m/>
    <m/>
    <s v="wci_wa"/>
    <n v="0"/>
    <n v="0"/>
    <n v="0"/>
    <n v="0"/>
    <n v="5"/>
    <n v="1"/>
    <n v="60225"/>
    <n v="2010"/>
    <n v="0"/>
    <n v="0"/>
    <m/>
    <m/>
    <m/>
    <m/>
    <s v=""/>
  </r>
  <r>
    <s v="60225-2010-000-00"/>
    <d v="2017-02-28T00:00:00"/>
    <n v="1650.46"/>
    <n v="0"/>
    <s v="USD"/>
    <s v="JRNLWA00350488"/>
    <s v="P"/>
    <s v="PCard Activity February - West"/>
    <s v="AdamJo"/>
    <s v="0/JE IC"/>
    <m/>
    <m/>
    <x v="26"/>
    <m/>
    <m/>
    <m/>
    <m/>
    <m/>
    <m/>
    <s v="JRNL00833894"/>
    <s v="JRNL00833894"/>
    <m/>
    <d v="2017-03-02T00:00:00"/>
    <d v="2017-03-03T00:00:00"/>
    <m/>
    <m/>
    <s v="wci_wa"/>
    <n v="0"/>
    <n v="0"/>
    <n v="0"/>
    <n v="0"/>
    <n v="0"/>
    <n v="1"/>
    <n v="60225"/>
    <n v="2010"/>
    <n v="0"/>
    <n v="0"/>
    <m/>
    <m/>
    <m/>
    <m/>
    <s v=""/>
  </r>
  <r>
    <s v="60225-2010-000-00"/>
    <d v="2017-02-28T00:00:00"/>
    <n v="300"/>
    <n v="0"/>
    <s v="USD"/>
    <s v="JRNLWA00350488"/>
    <s v="P"/>
    <s v="PCard Activity February - West"/>
    <s v="AdamJo"/>
    <s v="0/JE IC"/>
    <m/>
    <m/>
    <x v="5"/>
    <m/>
    <m/>
    <m/>
    <m/>
    <m/>
    <m/>
    <s v="JRNL00833894"/>
    <s v="JRNL00833894"/>
    <m/>
    <d v="2017-03-02T00:00:00"/>
    <d v="2017-03-03T00:00:00"/>
    <m/>
    <m/>
    <s v="wci_wa"/>
    <n v="0"/>
    <n v="0"/>
    <n v="0"/>
    <n v="0"/>
    <n v="0"/>
    <n v="1"/>
    <n v="60225"/>
    <n v="2010"/>
    <n v="0"/>
    <n v="0"/>
    <m/>
    <m/>
    <m/>
    <m/>
    <s v=""/>
  </r>
  <r>
    <s v="60225-2010-000-00"/>
    <d v="2017-02-28T00:00:00"/>
    <n v="173.43"/>
    <n v="0"/>
    <s v="USD"/>
    <s v="JRNLWA00350488"/>
    <s v="P"/>
    <s v="PCard Activity February - West"/>
    <s v="AdamJo"/>
    <s v="0/JE IC"/>
    <m/>
    <m/>
    <x v="20"/>
    <m/>
    <m/>
    <m/>
    <m/>
    <m/>
    <m/>
    <s v="JRNL00833894"/>
    <s v="JRNL00833894"/>
    <m/>
    <d v="2017-03-02T00:00:00"/>
    <d v="2017-03-03T00:00:00"/>
    <m/>
    <m/>
    <s v="wci_wa"/>
    <n v="0"/>
    <n v="0"/>
    <n v="0"/>
    <n v="0"/>
    <n v="0"/>
    <n v="1"/>
    <n v="60225"/>
    <n v="2010"/>
    <n v="0"/>
    <n v="0"/>
    <m/>
    <m/>
    <m/>
    <m/>
    <s v=""/>
  </r>
  <r>
    <s v="60225-2010-000-00"/>
    <d v="2017-02-28T00:00:00"/>
    <n v="173.43"/>
    <n v="0"/>
    <s v="USD"/>
    <s v="JRNLWA00350488"/>
    <s v="P"/>
    <s v="PCard Activity February - West"/>
    <s v="AdamJo"/>
    <s v="0/JE IC"/>
    <m/>
    <m/>
    <x v="20"/>
    <m/>
    <m/>
    <m/>
    <m/>
    <m/>
    <m/>
    <s v="JRNL00833894"/>
    <s v="JRNL00833894"/>
    <m/>
    <d v="2017-03-02T00:00:00"/>
    <d v="2017-03-03T00:00:00"/>
    <m/>
    <m/>
    <s v="wci_wa"/>
    <n v="0"/>
    <n v="0"/>
    <n v="0"/>
    <n v="0"/>
    <n v="0"/>
    <n v="1"/>
    <n v="60225"/>
    <n v="2010"/>
    <n v="0"/>
    <n v="0"/>
    <m/>
    <m/>
    <m/>
    <m/>
    <s v=""/>
  </r>
  <r>
    <s v="60225-2010-000-00"/>
    <d v="2017-02-28T00:00:00"/>
    <n v="154.38999999999999"/>
    <n v="0"/>
    <s v="USD"/>
    <s v="JRNLWA00350488"/>
    <s v="P"/>
    <s v="PCard Activity February - West"/>
    <s v="AdamJo"/>
    <s v="0/JE IC"/>
    <m/>
    <m/>
    <x v="27"/>
    <m/>
    <m/>
    <m/>
    <m/>
    <m/>
    <m/>
    <s v="JRNL00833894"/>
    <s v="JRNL00833894"/>
    <m/>
    <d v="2017-03-02T00:00:00"/>
    <d v="2017-03-03T00:00:00"/>
    <m/>
    <m/>
    <s v="wci_wa"/>
    <n v="0"/>
    <n v="0"/>
    <n v="0"/>
    <n v="0"/>
    <n v="0"/>
    <n v="1"/>
    <n v="60225"/>
    <n v="2010"/>
    <n v="0"/>
    <n v="0"/>
    <m/>
    <m/>
    <m/>
    <m/>
    <s v=""/>
  </r>
  <r>
    <s v="60225-2010-000-00"/>
    <d v="2017-02-28T00:00:00"/>
    <n v="2482.36"/>
    <n v="0"/>
    <s v="USD"/>
    <s v="JRNLWA00350488"/>
    <s v="P"/>
    <s v="PCard Activity February - West"/>
    <s v="AdamJo"/>
    <s v="0/JE IC"/>
    <m/>
    <m/>
    <x v="28"/>
    <m/>
    <m/>
    <m/>
    <m/>
    <m/>
    <m/>
    <s v="JRNL00833894"/>
    <s v="JRNL00833894"/>
    <m/>
    <d v="2017-03-02T00:00:00"/>
    <d v="2017-03-03T00:00:00"/>
    <m/>
    <m/>
    <s v="wci_wa"/>
    <n v="0"/>
    <n v="0"/>
    <n v="0"/>
    <n v="0"/>
    <n v="0"/>
    <n v="1"/>
    <n v="60225"/>
    <n v="2010"/>
    <n v="0"/>
    <n v="0"/>
    <m/>
    <m/>
    <m/>
    <m/>
    <s v=""/>
  </r>
  <r>
    <s v="60225-2010-000-00"/>
    <d v="2017-02-28T00:00:00"/>
    <n v="827.24"/>
    <n v="0"/>
    <s v="USD"/>
    <s v="JRNLWA00350488"/>
    <s v="P"/>
    <s v="PCard Activity February - West"/>
    <s v="AdamJo"/>
    <s v="0/JE IC"/>
    <m/>
    <m/>
    <x v="29"/>
    <m/>
    <m/>
    <m/>
    <m/>
    <m/>
    <m/>
    <s v="JRNL00833894"/>
    <s v="JRNL00833894"/>
    <m/>
    <d v="2017-03-02T00:00:00"/>
    <d v="2017-03-03T00:00:00"/>
    <m/>
    <m/>
    <s v="wci_wa"/>
    <n v="0"/>
    <n v="0"/>
    <n v="0"/>
    <n v="0"/>
    <n v="0"/>
    <n v="1"/>
    <n v="60225"/>
    <n v="2010"/>
    <n v="0"/>
    <n v="0"/>
    <m/>
    <m/>
    <m/>
    <m/>
    <s v=""/>
  </r>
  <r>
    <s v="60225-2010-000-00"/>
    <d v="2017-02-28T00:00:00"/>
    <n v="204.66"/>
    <n v="0"/>
    <s v="USD"/>
    <s v="JRNLWA00350488"/>
    <s v="P"/>
    <s v="PCard Activity February - West"/>
    <s v="AdamJo"/>
    <s v="0/JE IC"/>
    <m/>
    <m/>
    <x v="30"/>
    <m/>
    <m/>
    <m/>
    <m/>
    <m/>
    <m/>
    <s v="JRNL00833894"/>
    <s v="JRNL00833894"/>
    <m/>
    <d v="2017-03-02T00:00:00"/>
    <d v="2017-03-03T00:00:00"/>
    <m/>
    <m/>
    <s v="wci_wa"/>
    <n v="0"/>
    <n v="0"/>
    <n v="0"/>
    <n v="0"/>
    <n v="0"/>
    <n v="1"/>
    <n v="60225"/>
    <n v="2010"/>
    <n v="0"/>
    <n v="0"/>
    <m/>
    <m/>
    <m/>
    <m/>
    <s v=""/>
  </r>
  <r>
    <s v="60225-2010-000-00"/>
    <d v="2017-02-28T00:00:00"/>
    <n v="1001.6"/>
    <n v="0"/>
    <s v="USD"/>
    <s v="JRNLWA00350814"/>
    <s v="P"/>
    <s v="OPEX14-Rrcd Prepaids Amort"/>
    <s v="DarcieB"/>
    <s v="0/JE STD"/>
    <m/>
    <m/>
    <x v="31"/>
    <m/>
    <m/>
    <m/>
    <m/>
    <m/>
    <m/>
    <s v="JRNLWA00350814"/>
    <m/>
    <m/>
    <d v="2017-03-05T00:00:00"/>
    <d v="2017-03-06T00:00:00"/>
    <m/>
    <m/>
    <s v="wci_wa"/>
    <n v="0"/>
    <n v="0"/>
    <n v="0"/>
    <n v="0"/>
    <n v="0"/>
    <n v="1"/>
    <n v="60225"/>
    <n v="2010"/>
    <n v="0"/>
    <n v="0"/>
    <m/>
    <m/>
    <m/>
    <m/>
    <s v=""/>
  </r>
  <r>
    <s v="60225-2010-000-00"/>
    <d v="2017-02-28T00:00:00"/>
    <n v="418.75"/>
    <n v="0"/>
    <s v="USD"/>
    <s v="JRNLWA00350955"/>
    <s v="P"/>
    <s v="Exp2: PO Log Accrual"/>
    <s v="AdamJo"/>
    <s v="0/JE IC"/>
    <m/>
    <m/>
    <x v="22"/>
    <m/>
    <m/>
    <m/>
    <m/>
    <m/>
    <m/>
    <s v="JRNL00835347"/>
    <s v="JRNL00835347"/>
    <m/>
    <d v="2017-03-06T00:00:00"/>
    <d v="2017-03-06T00:00:00"/>
    <m/>
    <m/>
    <s v="wci_wa"/>
    <n v="0"/>
    <n v="0"/>
    <n v="0"/>
    <n v="0"/>
    <n v="0"/>
    <n v="1"/>
    <n v="60225"/>
    <n v="2010"/>
    <n v="0"/>
    <n v="0"/>
    <m/>
    <m/>
    <m/>
    <m/>
    <s v=""/>
  </r>
  <r>
    <s v="60225-2010-000-00"/>
    <d v="2017-02-28T00:00:00"/>
    <n v="2185"/>
    <n v="0"/>
    <s v="USD"/>
    <s v="JRNLWA00350955"/>
    <s v="P"/>
    <s v="Exp2: PO Log Accrual"/>
    <s v="AdamJo"/>
    <s v="0/JE IC"/>
    <m/>
    <m/>
    <x v="32"/>
    <m/>
    <m/>
    <m/>
    <m/>
    <m/>
    <m/>
    <s v="JRNL00835347"/>
    <s v="JRNL00835347"/>
    <m/>
    <d v="2017-03-06T00:00:00"/>
    <d v="2017-03-06T00:00:00"/>
    <m/>
    <m/>
    <s v="wci_wa"/>
    <n v="0"/>
    <n v="0"/>
    <n v="0"/>
    <n v="0"/>
    <n v="0"/>
    <n v="1"/>
    <n v="60225"/>
    <n v="2010"/>
    <n v="0"/>
    <n v="0"/>
    <m/>
    <m/>
    <m/>
    <m/>
    <s v=""/>
  </r>
  <r>
    <s v="60225-2010-100-00"/>
    <d v="2017-02-28T00:00:00"/>
    <n v="10"/>
    <n v="0"/>
    <s v="USD"/>
    <s v="JRNLWA00350956"/>
    <s v="P"/>
    <s v="EXP1: Expense Report Accrual"/>
    <s v="AdamJo"/>
    <s v="0/JE IC"/>
    <m/>
    <m/>
    <x v="33"/>
    <m/>
    <m/>
    <m/>
    <m/>
    <m/>
    <m/>
    <s v="JRNL00835348"/>
    <s v="JRNL00835348"/>
    <m/>
    <d v="2017-03-06T00:00:00"/>
    <d v="2017-03-06T00:00:00"/>
    <m/>
    <m/>
    <s v="wci_wa"/>
    <n v="0"/>
    <n v="0"/>
    <n v="0"/>
    <n v="0"/>
    <n v="0"/>
    <n v="1"/>
    <n v="60225"/>
    <n v="2010"/>
    <n v="100"/>
    <n v="0"/>
    <m/>
    <m/>
    <m/>
    <m/>
    <s v=""/>
  </r>
  <r>
    <s v="60225-2010-000-00"/>
    <d v="2017-03-30T00:00:00"/>
    <n v="302.44"/>
    <n v="0"/>
    <s v="USD"/>
    <s v="JRNLWA00351717"/>
    <s v="P"/>
    <s v="From Voucher Posting."/>
    <s v="RosemaryS"/>
    <s v="0/JE IC"/>
    <s v="VUS000011426"/>
    <m/>
    <x v="34"/>
    <d v="2017-03-22T00:00:00"/>
    <s v="GIS map ordered by Erik Hegg Approved by"/>
    <n v="180024238"/>
    <s v="PO-2010-17-01030"/>
    <m/>
    <m/>
    <s v="VO04245431"/>
    <s v="JRNL00837122"/>
    <n v="2010"/>
    <d v="2017-03-30T00:00:00"/>
    <d v="2017-03-30T00:00:00"/>
    <n v="302.44"/>
    <d v="2017-04-01T00:00:00"/>
    <s v="wci_wa"/>
    <n v="0"/>
    <n v="0"/>
    <n v="0"/>
    <n v="0"/>
    <n v="0"/>
    <n v="1"/>
    <n v="60225"/>
    <n v="2010"/>
    <n v="0"/>
    <n v="0"/>
    <m/>
    <m/>
    <m/>
    <m/>
    <s v="VO04245431"/>
  </r>
  <r>
    <s v="60225-2010-000-00"/>
    <d v="2017-03-31T00:00:00"/>
    <n v="-418.75"/>
    <n v="0"/>
    <s v="USD"/>
    <s v="JRNLWA00351135"/>
    <s v="P"/>
    <s v="Exp2: PO Log Accrual"/>
    <s v="HeatherWe"/>
    <s v="0/JE IC"/>
    <m/>
    <m/>
    <x v="22"/>
    <m/>
    <m/>
    <m/>
    <m/>
    <m/>
    <m/>
    <s v="JRNL00835347"/>
    <s v="JRNL00835370"/>
    <m/>
    <d v="2017-03-06T00:00:00"/>
    <d v="2017-03-07T00:00:00"/>
    <m/>
    <m/>
    <s v="wci_wa"/>
    <n v="0"/>
    <n v="0"/>
    <n v="0"/>
    <n v="0"/>
    <n v="5"/>
    <n v="1"/>
    <n v="60225"/>
    <n v="2010"/>
    <n v="0"/>
    <n v="0"/>
    <m/>
    <m/>
    <m/>
    <m/>
    <s v=""/>
  </r>
  <r>
    <s v="60225-2010-000-00"/>
    <d v="2017-03-31T00:00:00"/>
    <n v="-2185"/>
    <n v="0"/>
    <s v="USD"/>
    <s v="JRNLWA00351135"/>
    <s v="P"/>
    <s v="Exp2: PO Log Accrual"/>
    <s v="HeatherWe"/>
    <s v="0/JE IC"/>
    <m/>
    <m/>
    <x v="32"/>
    <m/>
    <m/>
    <m/>
    <m/>
    <m/>
    <m/>
    <s v="JRNL00835347"/>
    <s v="JRNL00835370"/>
    <m/>
    <d v="2017-03-06T00:00:00"/>
    <d v="2017-03-07T00:00:00"/>
    <m/>
    <m/>
    <s v="wci_wa"/>
    <n v="0"/>
    <n v="0"/>
    <n v="0"/>
    <n v="0"/>
    <n v="5"/>
    <n v="1"/>
    <n v="60225"/>
    <n v="2010"/>
    <n v="0"/>
    <n v="0"/>
    <m/>
    <m/>
    <m/>
    <m/>
    <s v=""/>
  </r>
  <r>
    <s v="60225-2010-100-00"/>
    <d v="2017-03-31T00:00:00"/>
    <n v="-10"/>
    <n v="0"/>
    <s v="USD"/>
    <s v="JRNLWA00351136"/>
    <s v="P"/>
    <s v="EXP1: Expense Report Accrual"/>
    <s v="HeatherWe"/>
    <s v="0/JE IC"/>
    <m/>
    <m/>
    <x v="33"/>
    <m/>
    <m/>
    <m/>
    <m/>
    <m/>
    <m/>
    <s v="JRNL00835348"/>
    <s v="JRNL00835371"/>
    <m/>
    <d v="2017-03-06T00:00:00"/>
    <d v="2017-03-07T00:00:00"/>
    <m/>
    <m/>
    <s v="wci_wa"/>
    <n v="0"/>
    <n v="0"/>
    <n v="0"/>
    <n v="0"/>
    <n v="5"/>
    <n v="1"/>
    <n v="60225"/>
    <n v="2010"/>
    <n v="100"/>
    <n v="0"/>
    <m/>
    <m/>
    <m/>
    <m/>
    <s v=""/>
  </r>
  <r>
    <s v="60225-2010-000-00"/>
    <d v="2017-03-31T00:00:00"/>
    <n v="418.75"/>
    <n v="0"/>
    <s v="USD"/>
    <s v="JRNLWA00351880"/>
    <s v="P"/>
    <s v="PCard Activity March - Western"/>
    <s v="HeatherWe"/>
    <s v="0/JE IC"/>
    <m/>
    <m/>
    <x v="5"/>
    <m/>
    <m/>
    <m/>
    <m/>
    <m/>
    <m/>
    <s v="JRNL00837651"/>
    <s v="JRNL00837651"/>
    <m/>
    <d v="2017-04-03T00:00:00"/>
    <d v="2017-04-04T00:00:00"/>
    <m/>
    <m/>
    <s v="wci_wa"/>
    <n v="0"/>
    <n v="0"/>
    <n v="0"/>
    <n v="0"/>
    <n v="0"/>
    <n v="1"/>
    <n v="60225"/>
    <n v="2010"/>
    <n v="0"/>
    <n v="0"/>
    <m/>
    <m/>
    <m/>
    <m/>
    <s v=""/>
  </r>
  <r>
    <s v="60225-2010-000-00"/>
    <d v="2017-03-31T00:00:00"/>
    <n v="561.51"/>
    <n v="0"/>
    <s v="USD"/>
    <s v="JRNLWA00351880"/>
    <s v="P"/>
    <s v="PCard Activity March - Western"/>
    <s v="HeatherWe"/>
    <s v="0/JE IC"/>
    <m/>
    <m/>
    <x v="30"/>
    <m/>
    <m/>
    <m/>
    <m/>
    <m/>
    <m/>
    <s v="JRNL00837651"/>
    <s v="JRNL00837651"/>
    <m/>
    <d v="2017-04-03T00:00:00"/>
    <d v="2017-04-04T00:00:00"/>
    <m/>
    <m/>
    <s v="wci_wa"/>
    <n v="0"/>
    <n v="0"/>
    <n v="0"/>
    <n v="0"/>
    <n v="0"/>
    <n v="1"/>
    <n v="60225"/>
    <n v="2010"/>
    <n v="0"/>
    <n v="0"/>
    <m/>
    <m/>
    <m/>
    <m/>
    <s v=""/>
  </r>
  <r>
    <s v="60225-2010-000-00"/>
    <d v="2017-03-31T00:00:00"/>
    <n v="558.26"/>
    <n v="0"/>
    <s v="USD"/>
    <s v="JRNLWA00351880"/>
    <s v="P"/>
    <s v="PCard Activity March - Western"/>
    <s v="HeatherWe"/>
    <s v="0/JE IC"/>
    <m/>
    <m/>
    <x v="35"/>
    <m/>
    <m/>
    <m/>
    <m/>
    <m/>
    <m/>
    <s v="JRNL00837651"/>
    <s v="JRNL00837651"/>
    <m/>
    <d v="2017-04-03T00:00:00"/>
    <d v="2017-04-04T00:00:00"/>
    <m/>
    <m/>
    <s v="wci_wa"/>
    <n v="0"/>
    <n v="0"/>
    <n v="0"/>
    <n v="0"/>
    <n v="0"/>
    <n v="1"/>
    <n v="60225"/>
    <n v="2010"/>
    <n v="0"/>
    <n v="0"/>
    <m/>
    <m/>
    <m/>
    <m/>
    <s v=""/>
  </r>
  <r>
    <s v="60225-2010-000-00"/>
    <d v="2017-03-31T00:00:00"/>
    <n v="362.57"/>
    <n v="0"/>
    <s v="USD"/>
    <s v="JRNLWA00352724"/>
    <s v="P"/>
    <s v="EXP3: P-Card Accrual"/>
    <s v="AdamJo"/>
    <s v="0/JE IC"/>
    <m/>
    <m/>
    <x v="7"/>
    <m/>
    <m/>
    <m/>
    <m/>
    <m/>
    <m/>
    <s v="JRNL00839464"/>
    <s v="JRNL00839464"/>
    <m/>
    <d v="2017-04-06T00:00:00"/>
    <d v="2017-04-07T00:00:00"/>
    <m/>
    <m/>
    <s v="wci_wa"/>
    <n v="0"/>
    <n v="0"/>
    <n v="0"/>
    <n v="0"/>
    <n v="0"/>
    <n v="1"/>
    <n v="60225"/>
    <n v="2010"/>
    <n v="0"/>
    <n v="0"/>
    <m/>
    <m/>
    <m/>
    <m/>
    <s v=""/>
  </r>
  <r>
    <s v="60225-2010-000-00"/>
    <d v="2017-03-31T00:00:00"/>
    <n v="1725.73"/>
    <n v="0"/>
    <s v="USD"/>
    <s v="JRNLWA00352724"/>
    <s v="P"/>
    <s v="EXP3: P-Card Accrual"/>
    <s v="AdamJo"/>
    <s v="0/JE IC"/>
    <m/>
    <m/>
    <x v="12"/>
    <m/>
    <m/>
    <m/>
    <m/>
    <m/>
    <m/>
    <s v="JRNL00839464"/>
    <s v="JRNL00839464"/>
    <m/>
    <d v="2017-04-06T00:00:00"/>
    <d v="2017-04-07T00:00:00"/>
    <m/>
    <m/>
    <s v="wci_wa"/>
    <n v="0"/>
    <n v="0"/>
    <n v="0"/>
    <n v="0"/>
    <n v="0"/>
    <n v="1"/>
    <n v="60225"/>
    <n v="2010"/>
    <n v="0"/>
    <n v="0"/>
    <m/>
    <m/>
    <m/>
    <m/>
    <s v=""/>
  </r>
  <r>
    <s v="60225-2010-000-00"/>
    <d v="2017-03-31T00:00:00"/>
    <n v="371.16"/>
    <n v="0"/>
    <s v="USD"/>
    <s v="JRNLWA00352724"/>
    <s v="P"/>
    <s v="EXP3: P-Card Accrual"/>
    <s v="AdamJo"/>
    <s v="0/JE IC"/>
    <m/>
    <m/>
    <x v="36"/>
    <m/>
    <m/>
    <m/>
    <m/>
    <m/>
    <m/>
    <s v="JRNL00839464"/>
    <s v="JRNL00839464"/>
    <m/>
    <d v="2017-04-06T00:00:00"/>
    <d v="2017-04-07T00:00:00"/>
    <m/>
    <m/>
    <s v="wci_wa"/>
    <n v="0"/>
    <n v="0"/>
    <n v="0"/>
    <n v="0"/>
    <n v="0"/>
    <n v="1"/>
    <n v="60225"/>
    <n v="2010"/>
    <n v="0"/>
    <n v="0"/>
    <m/>
    <m/>
    <m/>
    <m/>
    <s v=""/>
  </r>
  <r>
    <s v="60225-2010-000-00"/>
    <d v="2017-03-31T00:00:00"/>
    <n v="718.75"/>
    <n v="0"/>
    <s v="USD"/>
    <s v="JRNLWA00352726"/>
    <s v="P"/>
    <s v="Exp2: PO Log Accrual"/>
    <s v="AdamJo"/>
    <s v="0/JE IC"/>
    <m/>
    <m/>
    <x v="22"/>
    <m/>
    <m/>
    <m/>
    <m/>
    <m/>
    <m/>
    <s v="JRNL00839466"/>
    <s v="JRNL00839466"/>
    <m/>
    <d v="2017-04-06T00:00:00"/>
    <d v="2017-04-07T00:00:00"/>
    <m/>
    <m/>
    <s v="wci_wa"/>
    <n v="0"/>
    <n v="0"/>
    <n v="0"/>
    <n v="0"/>
    <n v="0"/>
    <n v="1"/>
    <n v="60225"/>
    <n v="2010"/>
    <n v="0"/>
    <n v="0"/>
    <m/>
    <m/>
    <m/>
    <m/>
    <s v=""/>
  </r>
  <r>
    <s v="60225-2010-000-00"/>
    <d v="2017-03-31T00:00:00"/>
    <n v="244.71"/>
    <n v="0"/>
    <s v="USD"/>
    <s v="JRNLWA00352726"/>
    <s v="P"/>
    <s v="Exp2: PO Log Accrual"/>
    <s v="AdamJo"/>
    <s v="0/JE IC"/>
    <m/>
    <m/>
    <x v="37"/>
    <m/>
    <m/>
    <m/>
    <m/>
    <m/>
    <m/>
    <s v="JRNL00839466"/>
    <s v="JRNL00839466"/>
    <m/>
    <d v="2017-04-06T00:00:00"/>
    <d v="2017-04-07T00:00:00"/>
    <m/>
    <m/>
    <s v="wci_wa"/>
    <n v="0"/>
    <n v="0"/>
    <n v="0"/>
    <n v="0"/>
    <n v="0"/>
    <n v="1"/>
    <n v="60225"/>
    <n v="2010"/>
    <n v="0"/>
    <n v="0"/>
    <m/>
    <m/>
    <m/>
    <m/>
    <s v=""/>
  </r>
  <r>
    <s v="60225-2010-000-00"/>
    <d v="2017-03-31T00:00:00"/>
    <n v="2368.54"/>
    <n v="0"/>
    <s v="USD"/>
    <s v="JRNLWA00352726"/>
    <s v="P"/>
    <s v="Exp2: PO Log Accrual"/>
    <s v="AdamJo"/>
    <s v="0/JE IC"/>
    <m/>
    <m/>
    <x v="32"/>
    <m/>
    <m/>
    <m/>
    <m/>
    <m/>
    <m/>
    <s v="JRNL00839466"/>
    <s v="JRNL00839466"/>
    <m/>
    <d v="2017-04-06T00:00:00"/>
    <d v="2017-04-07T00:00:00"/>
    <m/>
    <m/>
    <s v="wci_wa"/>
    <n v="0"/>
    <n v="0"/>
    <n v="0"/>
    <n v="0"/>
    <n v="0"/>
    <n v="1"/>
    <n v="60225"/>
    <n v="2010"/>
    <n v="0"/>
    <n v="0"/>
    <m/>
    <m/>
    <m/>
    <m/>
    <s v=""/>
  </r>
  <r>
    <s v="60225-2010-000-00"/>
    <d v="2017-03-31T00:00:00"/>
    <n v="-371.16"/>
    <n v="0"/>
    <s v="USD"/>
    <s v="JRNLWA00352726"/>
    <s v="P"/>
    <s v="Exp2: PO Log Accrual"/>
    <s v="AdamJo"/>
    <s v="0/JE IC"/>
    <m/>
    <m/>
    <x v="38"/>
    <m/>
    <m/>
    <m/>
    <m/>
    <m/>
    <m/>
    <s v="JRNL00839466"/>
    <s v="JRNL00839466"/>
    <m/>
    <d v="2017-04-06T00:00:00"/>
    <d v="2017-04-07T00:00:00"/>
    <m/>
    <m/>
    <s v="wci_wa"/>
    <n v="0"/>
    <n v="0"/>
    <n v="0"/>
    <n v="0"/>
    <n v="0"/>
    <n v="1"/>
    <n v="60225"/>
    <n v="2010"/>
    <n v="0"/>
    <n v="0"/>
    <m/>
    <m/>
    <m/>
    <m/>
    <s v=""/>
  </r>
  <r>
    <s v="60225-2010-000-00"/>
    <d v="2017-04-07T00:00:00"/>
    <n v="1300"/>
    <n v="0"/>
    <s v="USD"/>
    <s v="JRNLWA00352619"/>
    <s v="P"/>
    <s v="From Voucher Posting."/>
    <s v="RosemaryS"/>
    <s v="0/JE IC"/>
    <s v="VUS000011273"/>
    <m/>
    <x v="11"/>
    <d v="2017-04-01T00:00:00"/>
    <s v="HGIF Booth April 28, 29, 30 2017 per Jos"/>
    <s v="2017 HGIF BOOTH"/>
    <s v="PO-2010-17-01132"/>
    <m/>
    <m/>
    <s v="VO04252687"/>
    <s v="JRNL00839507"/>
    <n v="2010"/>
    <d v="2017-04-07T00:00:00"/>
    <d v="2017-04-07T00:00:00"/>
    <n v="1300"/>
    <d v="2017-04-11T00:00:00"/>
    <s v="wci_wa"/>
    <n v="0"/>
    <n v="0"/>
    <n v="0"/>
    <n v="0"/>
    <n v="0"/>
    <n v="1"/>
    <n v="60225"/>
    <n v="2010"/>
    <n v="0"/>
    <n v="0"/>
    <m/>
    <m/>
    <m/>
    <m/>
    <s v="VO04252687"/>
  </r>
  <r>
    <s v="60225-2010-000-00"/>
    <d v="2017-04-30T00:00:00"/>
    <n v="-362.57"/>
    <n v="0"/>
    <s v="USD"/>
    <s v="JRNLWA00352857"/>
    <s v="P"/>
    <s v="EXP3: P-Card Accrual"/>
    <s v="MaribelV"/>
    <s v="0/JE IC"/>
    <m/>
    <m/>
    <x v="7"/>
    <m/>
    <m/>
    <m/>
    <m/>
    <m/>
    <m/>
    <s v="JRNL00839464"/>
    <s v="JRNL00839618"/>
    <m/>
    <d v="2017-04-07T00:00:00"/>
    <d v="2017-04-07T00:00:00"/>
    <m/>
    <m/>
    <s v="wci_wa"/>
    <n v="0"/>
    <n v="0"/>
    <n v="0"/>
    <n v="0"/>
    <n v="5"/>
    <n v="1"/>
    <n v="60225"/>
    <n v="2010"/>
    <n v="0"/>
    <n v="0"/>
    <m/>
    <m/>
    <m/>
    <m/>
    <s v=""/>
  </r>
  <r>
    <s v="60225-2010-000-00"/>
    <d v="2017-04-30T00:00:00"/>
    <n v="-1725.73"/>
    <n v="0"/>
    <s v="USD"/>
    <s v="JRNLWA00352857"/>
    <s v="P"/>
    <s v="EXP3: P-Card Accrual"/>
    <s v="MaribelV"/>
    <s v="0/JE IC"/>
    <m/>
    <m/>
    <x v="12"/>
    <m/>
    <m/>
    <m/>
    <m/>
    <m/>
    <m/>
    <s v="JRNL00839464"/>
    <s v="JRNL00839618"/>
    <m/>
    <d v="2017-04-07T00:00:00"/>
    <d v="2017-04-07T00:00:00"/>
    <m/>
    <m/>
    <s v="wci_wa"/>
    <n v="0"/>
    <n v="0"/>
    <n v="0"/>
    <n v="0"/>
    <n v="5"/>
    <n v="1"/>
    <n v="60225"/>
    <n v="2010"/>
    <n v="0"/>
    <n v="0"/>
    <m/>
    <m/>
    <m/>
    <m/>
    <s v=""/>
  </r>
  <r>
    <s v="60225-2010-000-00"/>
    <d v="2017-04-30T00:00:00"/>
    <n v="-371.16"/>
    <n v="0"/>
    <s v="USD"/>
    <s v="JRNLWA00352857"/>
    <s v="P"/>
    <s v="EXP3: P-Card Accrual"/>
    <s v="MaribelV"/>
    <s v="0/JE IC"/>
    <m/>
    <m/>
    <x v="36"/>
    <m/>
    <m/>
    <m/>
    <m/>
    <m/>
    <m/>
    <s v="JRNL00839464"/>
    <s v="JRNL00839618"/>
    <m/>
    <d v="2017-04-07T00:00:00"/>
    <d v="2017-04-07T00:00:00"/>
    <m/>
    <m/>
    <s v="wci_wa"/>
    <n v="0"/>
    <n v="0"/>
    <n v="0"/>
    <n v="0"/>
    <n v="5"/>
    <n v="1"/>
    <n v="60225"/>
    <n v="2010"/>
    <n v="0"/>
    <n v="0"/>
    <m/>
    <m/>
    <m/>
    <m/>
    <s v=""/>
  </r>
  <r>
    <s v="60225-2010-000-00"/>
    <d v="2017-04-30T00:00:00"/>
    <n v="-718.75"/>
    <n v="0"/>
    <s v="USD"/>
    <s v="JRNLWA00352859"/>
    <s v="P"/>
    <s v="Exp2: PO Log Accrual"/>
    <s v="MaribelV"/>
    <s v="0/JE IC"/>
    <m/>
    <m/>
    <x v="22"/>
    <m/>
    <m/>
    <m/>
    <m/>
    <m/>
    <m/>
    <s v="JRNL00839466"/>
    <s v="JRNL00839620"/>
    <m/>
    <d v="2017-04-07T00:00:00"/>
    <d v="2017-04-07T00:00:00"/>
    <m/>
    <m/>
    <s v="wci_wa"/>
    <n v="0"/>
    <n v="0"/>
    <n v="0"/>
    <n v="0"/>
    <n v="5"/>
    <n v="1"/>
    <n v="60225"/>
    <n v="2010"/>
    <n v="0"/>
    <n v="0"/>
    <m/>
    <m/>
    <m/>
    <m/>
    <s v=""/>
  </r>
  <r>
    <s v="60225-2010-000-00"/>
    <d v="2017-04-30T00:00:00"/>
    <n v="-244.71"/>
    <n v="0"/>
    <s v="USD"/>
    <s v="JRNLWA00352859"/>
    <s v="P"/>
    <s v="Exp2: PO Log Accrual"/>
    <s v="MaribelV"/>
    <s v="0/JE IC"/>
    <m/>
    <m/>
    <x v="37"/>
    <m/>
    <m/>
    <m/>
    <m/>
    <m/>
    <m/>
    <s v="JRNL00839466"/>
    <s v="JRNL00839620"/>
    <m/>
    <d v="2017-04-07T00:00:00"/>
    <d v="2017-04-07T00:00:00"/>
    <m/>
    <m/>
    <s v="wci_wa"/>
    <n v="0"/>
    <n v="0"/>
    <n v="0"/>
    <n v="0"/>
    <n v="5"/>
    <n v="1"/>
    <n v="60225"/>
    <n v="2010"/>
    <n v="0"/>
    <n v="0"/>
    <m/>
    <m/>
    <m/>
    <m/>
    <s v=""/>
  </r>
  <r>
    <s v="60225-2010-000-00"/>
    <d v="2017-04-30T00:00:00"/>
    <n v="-2368.54"/>
    <n v="0"/>
    <s v="USD"/>
    <s v="JRNLWA00352859"/>
    <s v="P"/>
    <s v="Exp2: PO Log Accrual"/>
    <s v="MaribelV"/>
    <s v="0/JE IC"/>
    <m/>
    <m/>
    <x v="32"/>
    <m/>
    <m/>
    <m/>
    <m/>
    <m/>
    <m/>
    <s v="JRNL00839466"/>
    <s v="JRNL00839620"/>
    <m/>
    <d v="2017-04-07T00:00:00"/>
    <d v="2017-04-07T00:00:00"/>
    <m/>
    <m/>
    <s v="wci_wa"/>
    <n v="0"/>
    <n v="0"/>
    <n v="0"/>
    <n v="0"/>
    <n v="5"/>
    <n v="1"/>
    <n v="60225"/>
    <n v="2010"/>
    <n v="0"/>
    <n v="0"/>
    <m/>
    <m/>
    <m/>
    <m/>
    <s v=""/>
  </r>
  <r>
    <s v="60225-2010-000-00"/>
    <d v="2017-04-30T00:00:00"/>
    <n v="371.16"/>
    <n v="0"/>
    <s v="USD"/>
    <s v="JRNLWA00352859"/>
    <s v="P"/>
    <s v="Exp2: PO Log Accrual"/>
    <s v="MaribelV"/>
    <s v="0/JE IC"/>
    <m/>
    <m/>
    <x v="38"/>
    <m/>
    <m/>
    <m/>
    <m/>
    <m/>
    <m/>
    <s v="JRNL00839466"/>
    <s v="JRNL00839620"/>
    <m/>
    <d v="2017-04-07T00:00:00"/>
    <d v="2017-04-07T00:00:00"/>
    <m/>
    <m/>
    <s v="wci_wa"/>
    <n v="0"/>
    <n v="0"/>
    <n v="0"/>
    <n v="0"/>
    <n v="5"/>
    <n v="1"/>
    <n v="60225"/>
    <n v="2010"/>
    <n v="0"/>
    <n v="0"/>
    <m/>
    <m/>
    <m/>
    <m/>
    <s v=""/>
  </r>
  <r>
    <s v="60225-2010-000-00"/>
    <d v="2017-04-30T00:00:00"/>
    <n v="718.75"/>
    <n v="0"/>
    <s v="USD"/>
    <s v="JRNLWA00353598"/>
    <s v="P"/>
    <s v="PCard Activity April - Western"/>
    <s v="HeatherWe"/>
    <s v="0/JE IC"/>
    <m/>
    <m/>
    <x v="5"/>
    <m/>
    <m/>
    <m/>
    <m/>
    <m/>
    <m/>
    <s v="JRNL00841892"/>
    <s v="JRNL00841892"/>
    <m/>
    <d v="2017-05-02T00:00:00"/>
    <d v="2017-05-03T00:00:00"/>
    <m/>
    <m/>
    <s v="wci_wa"/>
    <n v="0"/>
    <n v="0"/>
    <n v="0"/>
    <n v="0"/>
    <n v="0"/>
    <n v="1"/>
    <n v="60225"/>
    <n v="2010"/>
    <n v="0"/>
    <n v="0"/>
    <m/>
    <m/>
    <m/>
    <m/>
    <s v=""/>
  </r>
  <r>
    <s v="60225-2010-000-00"/>
    <d v="2017-04-30T00:00:00"/>
    <n v="244.71"/>
    <n v="0"/>
    <s v="USD"/>
    <s v="JRNLWA00353598"/>
    <s v="P"/>
    <s v="PCard Activity April - Western"/>
    <s v="HeatherWe"/>
    <s v="0/JE IC"/>
    <m/>
    <m/>
    <x v="39"/>
    <m/>
    <m/>
    <m/>
    <m/>
    <m/>
    <m/>
    <s v="JRNL00841892"/>
    <s v="JRNL00841892"/>
    <m/>
    <d v="2017-05-02T00:00:00"/>
    <d v="2017-05-03T00:00:00"/>
    <m/>
    <m/>
    <s v="wci_wa"/>
    <n v="0"/>
    <n v="0"/>
    <n v="0"/>
    <n v="0"/>
    <n v="0"/>
    <n v="1"/>
    <n v="60225"/>
    <n v="2010"/>
    <n v="0"/>
    <n v="0"/>
    <m/>
    <m/>
    <m/>
    <m/>
    <s v=""/>
  </r>
  <r>
    <s v="60225-2010-000-00"/>
    <d v="2017-04-30T00:00:00"/>
    <n v="362.57"/>
    <n v="0"/>
    <s v="USD"/>
    <s v="JRNLWA00353598"/>
    <s v="P"/>
    <s v="PCard Activity April - Western"/>
    <s v="HeatherWe"/>
    <s v="0/JE IC"/>
    <m/>
    <m/>
    <x v="7"/>
    <m/>
    <m/>
    <m/>
    <m/>
    <m/>
    <m/>
    <s v="JRNL00841892"/>
    <s v="JRNL00841892"/>
    <m/>
    <d v="2017-05-02T00:00:00"/>
    <d v="2017-05-03T00:00:00"/>
    <m/>
    <m/>
    <s v="wci_wa"/>
    <n v="0"/>
    <n v="0"/>
    <n v="0"/>
    <n v="0"/>
    <n v="0"/>
    <n v="1"/>
    <n v="60225"/>
    <n v="2010"/>
    <n v="0"/>
    <n v="0"/>
    <m/>
    <m/>
    <m/>
    <m/>
    <s v=""/>
  </r>
  <r>
    <s v="60225-2010-000-00"/>
    <d v="2017-04-30T00:00:00"/>
    <n v="1725.73"/>
    <n v="0"/>
    <s v="USD"/>
    <s v="JRNLWA00353598"/>
    <s v="P"/>
    <s v="PCard Activity April - Western"/>
    <s v="HeatherWe"/>
    <s v="0/JE IC"/>
    <m/>
    <m/>
    <x v="12"/>
    <m/>
    <m/>
    <m/>
    <m/>
    <m/>
    <m/>
    <s v="JRNL00841892"/>
    <s v="JRNL00841892"/>
    <m/>
    <d v="2017-05-02T00:00:00"/>
    <d v="2017-05-03T00:00:00"/>
    <m/>
    <m/>
    <s v="wci_wa"/>
    <n v="0"/>
    <n v="0"/>
    <n v="0"/>
    <n v="0"/>
    <n v="0"/>
    <n v="1"/>
    <n v="60225"/>
    <n v="2010"/>
    <n v="0"/>
    <n v="0"/>
    <m/>
    <m/>
    <m/>
    <m/>
    <s v=""/>
  </r>
  <r>
    <s v="60225-2010-000-00"/>
    <d v="2017-04-30T00:00:00"/>
    <n v="371.16"/>
    <n v="0"/>
    <s v="USD"/>
    <s v="JRNLWA00353598"/>
    <s v="P"/>
    <s v="PCard Activity April - Western"/>
    <s v="HeatherWe"/>
    <s v="0/JE IC"/>
    <m/>
    <m/>
    <x v="36"/>
    <m/>
    <m/>
    <m/>
    <m/>
    <m/>
    <m/>
    <s v="JRNL00841892"/>
    <s v="JRNL00841892"/>
    <m/>
    <d v="2017-05-02T00:00:00"/>
    <d v="2017-05-03T00:00:00"/>
    <m/>
    <m/>
    <s v="wci_wa"/>
    <n v="0"/>
    <n v="0"/>
    <n v="0"/>
    <n v="0"/>
    <n v="0"/>
    <n v="1"/>
    <n v="60225"/>
    <n v="2010"/>
    <n v="0"/>
    <n v="0"/>
    <m/>
    <m/>
    <m/>
    <m/>
    <s v=""/>
  </r>
  <r>
    <s v="60225-2010-000-00"/>
    <d v="2017-04-30T00:00:00"/>
    <n v="100"/>
    <n v="0"/>
    <s v="USD"/>
    <s v="JRNLWA00353598"/>
    <s v="P"/>
    <s v="PCard Activity April - Western"/>
    <s v="HeatherWe"/>
    <s v="0/JE IC"/>
    <m/>
    <m/>
    <x v="40"/>
    <m/>
    <m/>
    <m/>
    <m/>
    <m/>
    <m/>
    <s v="JRNL00841892"/>
    <s v="JRNL00841892"/>
    <m/>
    <d v="2017-05-02T00:00:00"/>
    <d v="2017-05-03T00:00:00"/>
    <m/>
    <m/>
    <s v="wci_wa"/>
    <n v="0"/>
    <n v="0"/>
    <n v="0"/>
    <n v="0"/>
    <n v="0"/>
    <n v="1"/>
    <n v="60225"/>
    <n v="2010"/>
    <n v="0"/>
    <n v="0"/>
    <m/>
    <m/>
    <m/>
    <m/>
    <s v=""/>
  </r>
  <r>
    <s v="60225-2010-000-00"/>
    <d v="2017-04-30T00:00:00"/>
    <n v="1018.75"/>
    <n v="0"/>
    <s v="USD"/>
    <s v="JRNLWA00354196"/>
    <s v="P"/>
    <s v="Exp2: PO Log Accrual"/>
    <s v="HeatherWe"/>
    <s v="0/JE IC"/>
    <m/>
    <m/>
    <x v="22"/>
    <m/>
    <m/>
    <m/>
    <m/>
    <m/>
    <m/>
    <s v="JRNL00843206"/>
    <s v="JRNL00843206"/>
    <m/>
    <d v="2017-05-04T00:00:00"/>
    <d v="2017-05-05T00:00:00"/>
    <m/>
    <m/>
    <s v="wci_wa"/>
    <n v="0"/>
    <n v="0"/>
    <n v="0"/>
    <n v="0"/>
    <n v="0"/>
    <n v="1"/>
    <n v="60225"/>
    <n v="2010"/>
    <n v="0"/>
    <n v="0"/>
    <m/>
    <m/>
    <m/>
    <m/>
    <s v=""/>
  </r>
  <r>
    <s v="60225-2010-000-00"/>
    <d v="2017-04-30T00:00:00"/>
    <n v="5200"/>
    <n v="0"/>
    <s v="USD"/>
    <s v="JRNLWA00354196"/>
    <s v="P"/>
    <s v="Exp2: PO Log Accrual"/>
    <s v="HeatherWe"/>
    <s v="0/JE IC"/>
    <m/>
    <m/>
    <x v="41"/>
    <m/>
    <m/>
    <m/>
    <m/>
    <m/>
    <m/>
    <s v="JRNL00843206"/>
    <s v="JRNL00843206"/>
    <m/>
    <d v="2017-05-04T00:00:00"/>
    <d v="2017-05-05T00:00:00"/>
    <m/>
    <m/>
    <s v="wci_wa"/>
    <n v="0"/>
    <n v="0"/>
    <n v="0"/>
    <n v="0"/>
    <n v="0"/>
    <n v="1"/>
    <n v="60225"/>
    <n v="2010"/>
    <n v="0"/>
    <n v="0"/>
    <m/>
    <m/>
    <m/>
    <m/>
    <s v=""/>
  </r>
  <r>
    <s v="60225-2010-000-00"/>
    <d v="2017-04-30T00:00:00"/>
    <n v="2368.54"/>
    <n v="0"/>
    <s v="USD"/>
    <s v="JRNLWA00354196"/>
    <s v="P"/>
    <s v="Exp2: PO Log Accrual"/>
    <s v="HeatherWe"/>
    <s v="0/JE IC"/>
    <m/>
    <m/>
    <x v="32"/>
    <m/>
    <m/>
    <m/>
    <m/>
    <m/>
    <m/>
    <s v="JRNL00843206"/>
    <s v="JRNL00843206"/>
    <m/>
    <d v="2017-05-04T00:00:00"/>
    <d v="2017-05-05T00:00:00"/>
    <m/>
    <m/>
    <s v="wci_wa"/>
    <n v="0"/>
    <n v="0"/>
    <n v="0"/>
    <n v="0"/>
    <n v="0"/>
    <n v="1"/>
    <n v="60225"/>
    <n v="2010"/>
    <n v="0"/>
    <n v="0"/>
    <m/>
    <m/>
    <m/>
    <m/>
    <s v=""/>
  </r>
  <r>
    <s v="60225-2010-000-00"/>
    <d v="2017-05-05T00:00:00"/>
    <n v="445"/>
    <n v="0"/>
    <s v="USD"/>
    <s v="JRNLWA00354166"/>
    <s v="P"/>
    <s v="From Voucher Posting."/>
    <s v="RosemaryS"/>
    <s v="0/JE IC"/>
    <s v="VUS000012158"/>
    <s v="CITY OF VANCOUVER"/>
    <x v="18"/>
    <d v="2017-05-01T00:00:00"/>
    <s v="Senior Messenger Advertisement OK per Jo"/>
    <n v="441832"/>
    <s v="PO-2010-17-01526"/>
    <m/>
    <m/>
    <s v="VO04280307"/>
    <s v="JRNL00843284"/>
    <n v="2010"/>
    <d v="2017-05-05T00:00:00"/>
    <d v="2017-05-05T00:00:00"/>
    <n v="445"/>
    <d v="2017-05-02T00:00:00"/>
    <s v="wci_wa"/>
    <n v="0"/>
    <n v="0"/>
    <n v="0"/>
    <n v="0"/>
    <n v="0"/>
    <n v="1"/>
    <n v="60225"/>
    <n v="2010"/>
    <n v="0"/>
    <n v="0"/>
    <m/>
    <m/>
    <m/>
    <m/>
    <s v="VO04280307"/>
  </r>
  <r>
    <s v="60225-2010-000-00"/>
    <d v="2017-05-31T00:00:00"/>
    <n v="-1018.75"/>
    <n v="0"/>
    <s v="USD"/>
    <s v="JRNLWA00354301"/>
    <s v="P"/>
    <s v="Exp2: PO Log Accrual"/>
    <s v="MaribelV"/>
    <s v="0/JE IC"/>
    <m/>
    <m/>
    <x v="22"/>
    <m/>
    <m/>
    <m/>
    <m/>
    <m/>
    <m/>
    <s v="JRNL00843206"/>
    <s v="JRNL00843325"/>
    <m/>
    <d v="2017-05-05T00:00:00"/>
    <d v="2017-05-05T00:00:00"/>
    <m/>
    <m/>
    <s v="wci_wa"/>
    <n v="0"/>
    <n v="0"/>
    <n v="0"/>
    <n v="0"/>
    <n v="5"/>
    <n v="1"/>
    <n v="60225"/>
    <n v="2010"/>
    <n v="0"/>
    <n v="0"/>
    <m/>
    <m/>
    <m/>
    <m/>
    <s v=""/>
  </r>
  <r>
    <s v="60225-2010-000-00"/>
    <d v="2017-05-31T00:00:00"/>
    <n v="-5200"/>
    <n v="0"/>
    <s v="USD"/>
    <s v="JRNLWA00354301"/>
    <s v="P"/>
    <s v="Exp2: PO Log Accrual"/>
    <s v="MaribelV"/>
    <s v="0/JE IC"/>
    <m/>
    <m/>
    <x v="41"/>
    <m/>
    <m/>
    <m/>
    <m/>
    <m/>
    <m/>
    <s v="JRNL00843206"/>
    <s v="JRNL00843325"/>
    <m/>
    <d v="2017-05-05T00:00:00"/>
    <d v="2017-05-05T00:00:00"/>
    <m/>
    <m/>
    <s v="wci_wa"/>
    <n v="0"/>
    <n v="0"/>
    <n v="0"/>
    <n v="0"/>
    <n v="5"/>
    <n v="1"/>
    <n v="60225"/>
    <n v="2010"/>
    <n v="0"/>
    <n v="0"/>
    <m/>
    <m/>
    <m/>
    <m/>
    <s v=""/>
  </r>
  <r>
    <s v="60225-2010-000-00"/>
    <d v="2017-05-31T00:00:00"/>
    <n v="-2368.54"/>
    <n v="0"/>
    <s v="USD"/>
    <s v="JRNLWA00354301"/>
    <s v="P"/>
    <s v="Exp2: PO Log Accrual"/>
    <s v="MaribelV"/>
    <s v="0/JE IC"/>
    <m/>
    <m/>
    <x v="32"/>
    <m/>
    <m/>
    <m/>
    <m/>
    <m/>
    <m/>
    <s v="JRNL00843206"/>
    <s v="JRNL00843325"/>
    <m/>
    <d v="2017-05-05T00:00:00"/>
    <d v="2017-05-05T00:00:00"/>
    <m/>
    <m/>
    <s v="wci_wa"/>
    <n v="0"/>
    <n v="0"/>
    <n v="0"/>
    <n v="0"/>
    <n v="5"/>
    <n v="1"/>
    <n v="60225"/>
    <n v="2010"/>
    <n v="0"/>
    <n v="0"/>
    <m/>
    <m/>
    <m/>
    <m/>
    <s v=""/>
  </r>
  <r>
    <s v="60225-2010-000-00"/>
    <d v="2017-05-31T00:00:00"/>
    <n v="1018.75"/>
    <n v="0"/>
    <s v="USD"/>
    <s v="JRNLWA00355229"/>
    <s v="P"/>
    <s v="Pcard Activity May - Western"/>
    <s v="MaribelV"/>
    <s v="0/JE IC"/>
    <m/>
    <m/>
    <x v="5"/>
    <m/>
    <m/>
    <m/>
    <m/>
    <m/>
    <m/>
    <s v="JRNL00845802"/>
    <s v="JRNL00845802"/>
    <m/>
    <d v="2017-06-05T00:00:00"/>
    <d v="2017-06-05T00:00:00"/>
    <m/>
    <m/>
    <s v="wci_wa"/>
    <n v="0"/>
    <n v="0"/>
    <n v="0"/>
    <n v="0"/>
    <n v="0"/>
    <n v="1"/>
    <n v="60225"/>
    <n v="2010"/>
    <n v="0"/>
    <n v="0"/>
    <m/>
    <m/>
    <m/>
    <m/>
    <s v=""/>
  </r>
  <r>
    <s v="60225-2010-000-00"/>
    <d v="2017-05-31T00:00:00"/>
    <n v="2368.54"/>
    <n v="0"/>
    <s v="USD"/>
    <s v="JRNLWA00355229"/>
    <s v="P"/>
    <s v="Pcard Activity May - Western"/>
    <s v="MaribelV"/>
    <s v="0/JE IC"/>
    <m/>
    <m/>
    <x v="28"/>
    <m/>
    <m/>
    <m/>
    <m/>
    <m/>
    <m/>
    <s v="JRNL00845802"/>
    <s v="JRNL00845802"/>
    <m/>
    <d v="2017-06-05T00:00:00"/>
    <d v="2017-06-05T00:00:00"/>
    <m/>
    <m/>
    <s v="wci_wa"/>
    <n v="0"/>
    <n v="0"/>
    <n v="0"/>
    <n v="0"/>
    <n v="0"/>
    <n v="1"/>
    <n v="60225"/>
    <n v="2010"/>
    <n v="0"/>
    <n v="0"/>
    <m/>
    <m/>
    <m/>
    <m/>
    <s v=""/>
  </r>
  <r>
    <s v="60225-2010-000-00"/>
    <d v="2017-05-31T00:00:00"/>
    <n v="751.87"/>
    <n v="0"/>
    <s v="USD"/>
    <s v="JRNLWA00355229"/>
    <s v="P"/>
    <s v="Pcard Activity May - Western"/>
    <s v="MaribelV"/>
    <s v="0/JE IC"/>
    <m/>
    <m/>
    <x v="42"/>
    <m/>
    <m/>
    <m/>
    <m/>
    <m/>
    <m/>
    <s v="JRNL00845802"/>
    <s v="JRNL00845802"/>
    <m/>
    <d v="2017-06-05T00:00:00"/>
    <d v="2017-06-05T00:00:00"/>
    <m/>
    <m/>
    <s v="wci_wa"/>
    <n v="0"/>
    <n v="0"/>
    <n v="0"/>
    <n v="0"/>
    <n v="0"/>
    <n v="1"/>
    <n v="60225"/>
    <n v="2010"/>
    <n v="0"/>
    <n v="0"/>
    <m/>
    <m/>
    <m/>
    <m/>
    <s v=""/>
  </r>
  <r>
    <s v="60225-2010-000-00"/>
    <d v="2017-05-31T00:00:00"/>
    <n v="702.5"/>
    <n v="0"/>
    <s v="USD"/>
    <s v="JRNLWA00355229"/>
    <s v="P"/>
    <s v="Pcard Activity May - Western"/>
    <s v="MaribelV"/>
    <s v="0/JE IC"/>
    <m/>
    <m/>
    <x v="43"/>
    <m/>
    <m/>
    <m/>
    <m/>
    <m/>
    <m/>
    <s v="JRNL00845802"/>
    <s v="JRNL00845802"/>
    <m/>
    <d v="2017-06-05T00:00:00"/>
    <d v="2017-06-05T00:00:00"/>
    <m/>
    <m/>
    <s v="wci_wa"/>
    <n v="0"/>
    <n v="0"/>
    <n v="0"/>
    <n v="0"/>
    <n v="0"/>
    <n v="1"/>
    <n v="60225"/>
    <n v="2010"/>
    <n v="0"/>
    <n v="0"/>
    <m/>
    <m/>
    <m/>
    <m/>
    <s v=""/>
  </r>
  <r>
    <s v="60225-2010-000-00"/>
    <d v="2017-05-31T00:00:00"/>
    <n v="99"/>
    <n v="0"/>
    <s v="USD"/>
    <s v="JRNLWA00355229"/>
    <s v="P"/>
    <s v="Pcard Activity May - Western"/>
    <s v="MaribelV"/>
    <s v="0/JE IC"/>
    <m/>
    <m/>
    <x v="43"/>
    <m/>
    <m/>
    <m/>
    <m/>
    <m/>
    <m/>
    <s v="JRNL00845802"/>
    <s v="JRNL00845802"/>
    <m/>
    <d v="2017-06-05T00:00:00"/>
    <d v="2017-06-05T00:00:00"/>
    <m/>
    <m/>
    <s v="wci_wa"/>
    <n v="0"/>
    <n v="0"/>
    <n v="0"/>
    <n v="0"/>
    <n v="0"/>
    <n v="1"/>
    <n v="60225"/>
    <n v="2010"/>
    <n v="0"/>
    <n v="0"/>
    <m/>
    <m/>
    <m/>
    <m/>
    <s v=""/>
  </r>
  <r>
    <s v="60225-2010-000-00"/>
    <d v="2017-05-31T00:00:00"/>
    <n v="600"/>
    <n v="0"/>
    <s v="USD"/>
    <s v="JRNLWA00355650"/>
    <s v="P"/>
    <s v="Exp2: PO Log Accrual"/>
    <s v="HeatherWe"/>
    <s v="0/JE IC"/>
    <m/>
    <m/>
    <x v="22"/>
    <m/>
    <m/>
    <m/>
    <m/>
    <m/>
    <m/>
    <s v="JRNL00846908"/>
    <s v="JRNL00846908"/>
    <m/>
    <d v="2017-06-06T00:00:00"/>
    <d v="2017-06-06T00:00:00"/>
    <m/>
    <m/>
    <s v="wci_wa"/>
    <n v="0"/>
    <n v="0"/>
    <n v="0"/>
    <n v="0"/>
    <n v="0"/>
    <n v="1"/>
    <n v="60225"/>
    <n v="2010"/>
    <n v="0"/>
    <n v="0"/>
    <m/>
    <m/>
    <m/>
    <m/>
    <s v=""/>
  </r>
  <r>
    <s v="60225-2010-000-00"/>
    <d v="2017-05-31T00:00:00"/>
    <n v="5200"/>
    <n v="0"/>
    <s v="USD"/>
    <s v="JRNLWA00355650"/>
    <s v="P"/>
    <s v="Exp2: PO Log Accrual"/>
    <s v="HeatherWe"/>
    <s v="0/JE IC"/>
    <m/>
    <m/>
    <x v="41"/>
    <m/>
    <m/>
    <m/>
    <m/>
    <m/>
    <m/>
    <s v="JRNL00846908"/>
    <s v="JRNL00846908"/>
    <m/>
    <d v="2017-06-06T00:00:00"/>
    <d v="2017-06-06T00:00:00"/>
    <m/>
    <m/>
    <s v="wci_wa"/>
    <n v="0"/>
    <n v="0"/>
    <n v="0"/>
    <n v="0"/>
    <n v="0"/>
    <n v="1"/>
    <n v="60225"/>
    <n v="2010"/>
    <n v="0"/>
    <n v="0"/>
    <m/>
    <m/>
    <m/>
    <m/>
    <s v=""/>
  </r>
  <r>
    <s v="60225-2010-000-00"/>
    <d v="2017-05-31T00:00:00"/>
    <n v="420.96"/>
    <n v="0"/>
    <s v="USD"/>
    <s v="JRNLWA00355650"/>
    <s v="P"/>
    <s v="Exp2: PO Log Accrual"/>
    <s v="HeatherWe"/>
    <s v="0/JE IC"/>
    <m/>
    <m/>
    <x v="44"/>
    <m/>
    <m/>
    <m/>
    <m/>
    <m/>
    <m/>
    <s v="JRNL00846908"/>
    <s v="JRNL00846908"/>
    <m/>
    <d v="2017-06-06T00:00:00"/>
    <d v="2017-06-06T00:00:00"/>
    <m/>
    <m/>
    <s v="wci_wa"/>
    <n v="0"/>
    <n v="0"/>
    <n v="0"/>
    <n v="0"/>
    <n v="0"/>
    <n v="1"/>
    <n v="60225"/>
    <n v="2010"/>
    <n v="0"/>
    <n v="0"/>
    <m/>
    <m/>
    <m/>
    <m/>
    <s v=""/>
  </r>
  <r>
    <s v="60225-2010-000-00"/>
    <d v="2017-05-31T00:00:00"/>
    <n v="1425"/>
    <n v="0"/>
    <s v="USD"/>
    <s v="JRNLWA00355650"/>
    <s v="P"/>
    <s v="Exp2: PO Log Accrual"/>
    <s v="HeatherWe"/>
    <s v="0/JE IC"/>
    <m/>
    <m/>
    <x v="45"/>
    <m/>
    <m/>
    <m/>
    <m/>
    <m/>
    <m/>
    <s v="JRNL00846908"/>
    <s v="JRNL00846908"/>
    <m/>
    <d v="2017-06-06T00:00:00"/>
    <d v="2017-06-06T00:00:00"/>
    <m/>
    <m/>
    <s v="wci_wa"/>
    <n v="0"/>
    <n v="0"/>
    <n v="0"/>
    <n v="0"/>
    <n v="0"/>
    <n v="1"/>
    <n v="60225"/>
    <n v="2010"/>
    <n v="0"/>
    <n v="0"/>
    <m/>
    <m/>
    <m/>
    <m/>
    <s v=""/>
  </r>
  <r>
    <s v="60225-2010-000-00"/>
    <d v="2017-05-31T00:00:00"/>
    <n v="1807.21"/>
    <n v="0"/>
    <s v="USD"/>
    <s v="JRNLWA00355650"/>
    <s v="P"/>
    <s v="Exp2: PO Log Accrual"/>
    <s v="HeatherWe"/>
    <s v="0/JE IC"/>
    <m/>
    <m/>
    <x v="46"/>
    <m/>
    <m/>
    <m/>
    <m/>
    <m/>
    <m/>
    <s v="JRNL00846908"/>
    <s v="JRNL00846908"/>
    <m/>
    <d v="2017-06-06T00:00:00"/>
    <d v="2017-06-06T00:00:00"/>
    <m/>
    <m/>
    <s v="wci_wa"/>
    <n v="0"/>
    <n v="0"/>
    <n v="0"/>
    <n v="0"/>
    <n v="0"/>
    <n v="1"/>
    <n v="60225"/>
    <n v="2010"/>
    <n v="0"/>
    <n v="0"/>
    <m/>
    <m/>
    <m/>
    <m/>
    <s v=""/>
  </r>
  <r>
    <s v="60225-2010-000-00"/>
    <d v="2017-05-31T00:00:00"/>
    <n v="115"/>
    <n v="0"/>
    <s v="USD"/>
    <s v="JRNLWA00355650"/>
    <s v="P"/>
    <s v="Exp2: PO Log Accrual"/>
    <s v="HeatherWe"/>
    <s v="0/JE IC"/>
    <m/>
    <m/>
    <x v="47"/>
    <m/>
    <m/>
    <m/>
    <m/>
    <m/>
    <m/>
    <s v="JRNL00846908"/>
    <s v="JRNL00846908"/>
    <m/>
    <d v="2017-06-06T00:00:00"/>
    <d v="2017-06-06T00:00:00"/>
    <m/>
    <m/>
    <s v="wci_wa"/>
    <n v="0"/>
    <n v="0"/>
    <n v="0"/>
    <n v="0"/>
    <n v="0"/>
    <n v="1"/>
    <n v="60225"/>
    <n v="2010"/>
    <n v="0"/>
    <n v="0"/>
    <m/>
    <m/>
    <m/>
    <m/>
    <s v=""/>
  </r>
  <r>
    <s v="60225-2010-000-00"/>
    <d v="2017-05-31T00:00:00"/>
    <n v="847"/>
    <n v="0"/>
    <s v="USD"/>
    <s v="JRNLWA00355650"/>
    <s v="P"/>
    <s v="Exp2: PO Log Accrual"/>
    <s v="HeatherWe"/>
    <s v="0/JE IC"/>
    <m/>
    <m/>
    <x v="48"/>
    <m/>
    <m/>
    <m/>
    <m/>
    <m/>
    <m/>
    <s v="JRNL00846908"/>
    <s v="JRNL00846908"/>
    <m/>
    <d v="2017-06-06T00:00:00"/>
    <d v="2017-06-06T00:00:00"/>
    <m/>
    <m/>
    <s v="wci_wa"/>
    <n v="0"/>
    <n v="0"/>
    <n v="0"/>
    <n v="0"/>
    <n v="0"/>
    <n v="1"/>
    <n v="60225"/>
    <n v="2010"/>
    <n v="0"/>
    <n v="0"/>
    <m/>
    <m/>
    <m/>
    <m/>
    <s v=""/>
  </r>
  <r>
    <s v="60225-2010-000-00"/>
    <d v="2017-06-21T00:00:00"/>
    <n v="5175.5600000000004"/>
    <n v="0"/>
    <s v="USD"/>
    <s v="JRNLWA00356276"/>
    <s v="P"/>
    <s v="From Voucher Posting."/>
    <s v="RosemaryS"/>
    <s v="0/JE IC"/>
    <s v="VUS000012158"/>
    <s v="CITY OF VANCOUVER"/>
    <x v="18"/>
    <d v="2017-06-07T00:00:00"/>
    <s v="1/2 annual cost of the Recollect garb/re"/>
    <n v="442531"/>
    <s v="PO-2010-17-00555"/>
    <m/>
    <m/>
    <s v="VO04325288"/>
    <s v="JRNL00848316"/>
    <n v="2010"/>
    <d v="2017-06-21T00:00:00"/>
    <d v="2017-06-21T00:00:00"/>
    <n v="10351.1"/>
    <d v="2017-06-08T00:00:00"/>
    <s v="wci_wa"/>
    <n v="0"/>
    <n v="0"/>
    <n v="0"/>
    <n v="0"/>
    <n v="0"/>
    <n v="1"/>
    <n v="60225"/>
    <n v="2010"/>
    <n v="0"/>
    <n v="0"/>
    <m/>
    <m/>
    <m/>
    <m/>
    <s v="VO04325288"/>
  </r>
  <r>
    <s v="60225-2010-000-00"/>
    <d v="2017-06-30T00:00:00"/>
    <n v="-600"/>
    <n v="0"/>
    <s v="USD"/>
    <s v="JRNLWA00355845"/>
    <s v="P"/>
    <s v="Exp2: PO Log Accrual"/>
    <s v="HeatherWe"/>
    <s v="0/JE IC"/>
    <m/>
    <m/>
    <x v="22"/>
    <m/>
    <m/>
    <m/>
    <m/>
    <m/>
    <m/>
    <s v="JRNL00846908"/>
    <s v="JRNL00846938"/>
    <m/>
    <d v="2017-06-06T00:00:00"/>
    <d v="2017-06-07T00:00:00"/>
    <m/>
    <m/>
    <s v="wci_wa"/>
    <n v="0"/>
    <n v="0"/>
    <n v="0"/>
    <n v="0"/>
    <n v="5"/>
    <n v="1"/>
    <n v="60225"/>
    <n v="2010"/>
    <n v="0"/>
    <n v="0"/>
    <m/>
    <m/>
    <m/>
    <m/>
    <s v=""/>
  </r>
  <r>
    <s v="60225-2010-000-00"/>
    <d v="2017-06-30T00:00:00"/>
    <n v="-5200"/>
    <n v="0"/>
    <s v="USD"/>
    <s v="JRNLWA00355845"/>
    <s v="P"/>
    <s v="Exp2: PO Log Accrual"/>
    <s v="HeatherWe"/>
    <s v="0/JE IC"/>
    <m/>
    <m/>
    <x v="41"/>
    <m/>
    <m/>
    <m/>
    <m/>
    <m/>
    <m/>
    <s v="JRNL00846908"/>
    <s v="JRNL00846938"/>
    <m/>
    <d v="2017-06-06T00:00:00"/>
    <d v="2017-06-07T00:00:00"/>
    <m/>
    <m/>
    <s v="wci_wa"/>
    <n v="0"/>
    <n v="0"/>
    <n v="0"/>
    <n v="0"/>
    <n v="5"/>
    <n v="1"/>
    <n v="60225"/>
    <n v="2010"/>
    <n v="0"/>
    <n v="0"/>
    <m/>
    <m/>
    <m/>
    <m/>
    <s v=""/>
  </r>
  <r>
    <s v="60225-2010-000-00"/>
    <d v="2017-06-30T00:00:00"/>
    <n v="-420.96"/>
    <n v="0"/>
    <s v="USD"/>
    <s v="JRNLWA00355845"/>
    <s v="P"/>
    <s v="Exp2: PO Log Accrual"/>
    <s v="HeatherWe"/>
    <s v="0/JE IC"/>
    <m/>
    <m/>
    <x v="44"/>
    <m/>
    <m/>
    <m/>
    <m/>
    <m/>
    <m/>
    <s v="JRNL00846908"/>
    <s v="JRNL00846938"/>
    <m/>
    <d v="2017-06-06T00:00:00"/>
    <d v="2017-06-07T00:00:00"/>
    <m/>
    <m/>
    <s v="wci_wa"/>
    <n v="0"/>
    <n v="0"/>
    <n v="0"/>
    <n v="0"/>
    <n v="5"/>
    <n v="1"/>
    <n v="60225"/>
    <n v="2010"/>
    <n v="0"/>
    <n v="0"/>
    <m/>
    <m/>
    <m/>
    <m/>
    <s v=""/>
  </r>
  <r>
    <s v="60225-2010-000-00"/>
    <d v="2017-06-30T00:00:00"/>
    <n v="-1425"/>
    <n v="0"/>
    <s v="USD"/>
    <s v="JRNLWA00355845"/>
    <s v="P"/>
    <s v="Exp2: PO Log Accrual"/>
    <s v="HeatherWe"/>
    <s v="0/JE IC"/>
    <m/>
    <m/>
    <x v="45"/>
    <m/>
    <m/>
    <m/>
    <m/>
    <m/>
    <m/>
    <s v="JRNL00846908"/>
    <s v="JRNL00846938"/>
    <m/>
    <d v="2017-06-06T00:00:00"/>
    <d v="2017-06-07T00:00:00"/>
    <m/>
    <m/>
    <s v="wci_wa"/>
    <n v="0"/>
    <n v="0"/>
    <n v="0"/>
    <n v="0"/>
    <n v="5"/>
    <n v="1"/>
    <n v="60225"/>
    <n v="2010"/>
    <n v="0"/>
    <n v="0"/>
    <m/>
    <m/>
    <m/>
    <m/>
    <s v=""/>
  </r>
  <r>
    <s v="60225-2010-000-00"/>
    <d v="2017-06-30T00:00:00"/>
    <n v="-1807.21"/>
    <n v="0"/>
    <s v="USD"/>
    <s v="JRNLWA00355845"/>
    <s v="P"/>
    <s v="Exp2: PO Log Accrual"/>
    <s v="HeatherWe"/>
    <s v="0/JE IC"/>
    <m/>
    <m/>
    <x v="46"/>
    <m/>
    <m/>
    <m/>
    <m/>
    <m/>
    <m/>
    <s v="JRNL00846908"/>
    <s v="JRNL00846938"/>
    <m/>
    <d v="2017-06-06T00:00:00"/>
    <d v="2017-06-07T00:00:00"/>
    <m/>
    <m/>
    <s v="wci_wa"/>
    <n v="0"/>
    <n v="0"/>
    <n v="0"/>
    <n v="0"/>
    <n v="5"/>
    <n v="1"/>
    <n v="60225"/>
    <n v="2010"/>
    <n v="0"/>
    <n v="0"/>
    <m/>
    <m/>
    <m/>
    <m/>
    <s v=""/>
  </r>
  <r>
    <s v="60225-2010-000-00"/>
    <d v="2017-06-30T00:00:00"/>
    <n v="-115"/>
    <n v="0"/>
    <s v="USD"/>
    <s v="JRNLWA00355845"/>
    <s v="P"/>
    <s v="Exp2: PO Log Accrual"/>
    <s v="HeatherWe"/>
    <s v="0/JE IC"/>
    <m/>
    <m/>
    <x v="47"/>
    <m/>
    <m/>
    <m/>
    <m/>
    <m/>
    <m/>
    <s v="JRNL00846908"/>
    <s v="JRNL00846938"/>
    <m/>
    <d v="2017-06-06T00:00:00"/>
    <d v="2017-06-07T00:00:00"/>
    <m/>
    <m/>
    <s v="wci_wa"/>
    <n v="0"/>
    <n v="0"/>
    <n v="0"/>
    <n v="0"/>
    <n v="5"/>
    <n v="1"/>
    <n v="60225"/>
    <n v="2010"/>
    <n v="0"/>
    <n v="0"/>
    <m/>
    <m/>
    <m/>
    <m/>
    <s v=""/>
  </r>
  <r>
    <s v="60225-2010-000-00"/>
    <d v="2017-06-30T00:00:00"/>
    <n v="-847"/>
    <n v="0"/>
    <s v="USD"/>
    <s v="JRNLWA00355845"/>
    <s v="P"/>
    <s v="Exp2: PO Log Accrual"/>
    <s v="HeatherWe"/>
    <s v="0/JE IC"/>
    <m/>
    <m/>
    <x v="48"/>
    <m/>
    <m/>
    <m/>
    <m/>
    <m/>
    <m/>
    <s v="JRNL00846908"/>
    <s v="JRNL00846938"/>
    <m/>
    <d v="2017-06-06T00:00:00"/>
    <d v="2017-06-07T00:00:00"/>
    <m/>
    <m/>
    <s v="wci_wa"/>
    <n v="0"/>
    <n v="0"/>
    <n v="0"/>
    <n v="0"/>
    <n v="5"/>
    <n v="1"/>
    <n v="60225"/>
    <n v="2010"/>
    <n v="0"/>
    <n v="0"/>
    <m/>
    <m/>
    <m/>
    <m/>
    <s v=""/>
  </r>
  <r>
    <s v="60225-2010-000-00"/>
    <d v="2017-06-30T00:00:00"/>
    <n v="600"/>
    <n v="0"/>
    <s v="USD"/>
    <s v="JRNLWA00356562"/>
    <s v="P"/>
    <s v="PCard Activity June - Western"/>
    <s v="HeatherWe"/>
    <s v="0/JE IC"/>
    <m/>
    <m/>
    <x v="5"/>
    <m/>
    <m/>
    <m/>
    <m/>
    <m/>
    <m/>
    <s v="JRNL00849664"/>
    <s v="JRNL00849664"/>
    <m/>
    <d v="2017-07-05T00:00:00"/>
    <d v="2017-07-06T00:00:00"/>
    <m/>
    <m/>
    <s v="wci_wa"/>
    <n v="0"/>
    <n v="0"/>
    <n v="0"/>
    <n v="0"/>
    <n v="0"/>
    <n v="1"/>
    <n v="60225"/>
    <n v="2010"/>
    <n v="0"/>
    <n v="0"/>
    <m/>
    <m/>
    <m/>
    <m/>
    <s v=""/>
  </r>
  <r>
    <s v="60225-2010-000-00"/>
    <d v="2017-06-30T00:00:00"/>
    <n v="570.1"/>
    <n v="0"/>
    <s v="USD"/>
    <s v="JRNLWA00356562"/>
    <s v="P"/>
    <s v="PCard Activity June - Western"/>
    <s v="HeatherWe"/>
    <s v="0/JE IC"/>
    <m/>
    <m/>
    <x v="28"/>
    <m/>
    <m/>
    <m/>
    <m/>
    <m/>
    <m/>
    <s v="JRNL00849664"/>
    <s v="JRNL00849664"/>
    <m/>
    <d v="2017-07-05T00:00:00"/>
    <d v="2017-07-06T00:00:00"/>
    <m/>
    <m/>
    <s v="wci_wa"/>
    <n v="0"/>
    <n v="0"/>
    <n v="0"/>
    <n v="0"/>
    <n v="0"/>
    <n v="1"/>
    <n v="60225"/>
    <n v="2010"/>
    <n v="0"/>
    <n v="0"/>
    <m/>
    <m/>
    <m/>
    <m/>
    <s v=""/>
  </r>
  <r>
    <s v="60225-2010-000-00"/>
    <d v="2017-06-30T00:00:00"/>
    <n v="115.32"/>
    <n v="0"/>
    <s v="USD"/>
    <s v="JRNLWA00356562"/>
    <s v="P"/>
    <s v="PCard Activity June - Western"/>
    <s v="HeatherWe"/>
    <s v="0/JE IC"/>
    <m/>
    <m/>
    <x v="49"/>
    <m/>
    <m/>
    <m/>
    <m/>
    <m/>
    <m/>
    <s v="JRNL00849664"/>
    <s v="JRNL00849664"/>
    <m/>
    <d v="2017-07-05T00:00:00"/>
    <d v="2017-07-06T00:00:00"/>
    <m/>
    <m/>
    <s v="wci_wa"/>
    <n v="0"/>
    <n v="0"/>
    <n v="0"/>
    <n v="0"/>
    <n v="0"/>
    <n v="1"/>
    <n v="60225"/>
    <n v="2010"/>
    <n v="0"/>
    <n v="0"/>
    <m/>
    <m/>
    <m/>
    <m/>
    <s v=""/>
  </r>
  <r>
    <s v="60225-2010-000-00"/>
    <d v="2017-06-30T00:00:00"/>
    <n v="1506.63"/>
    <n v="0"/>
    <s v="USD"/>
    <s v="JRNLWA00357339"/>
    <s v="P"/>
    <s v="MISC5: Reclass Annex Letters"/>
    <s v="DarcieB"/>
    <s v="0/JE STD"/>
    <m/>
    <m/>
    <x v="50"/>
    <m/>
    <m/>
    <m/>
    <m/>
    <m/>
    <m/>
    <s v="JRNLWA00357339"/>
    <m/>
    <m/>
    <d v="2017-07-10T00:00:00"/>
    <d v="2017-07-10T00:00:00"/>
    <m/>
    <m/>
    <s v="wci_wa"/>
    <n v="0"/>
    <n v="0"/>
    <n v="0"/>
    <n v="0"/>
    <n v="0"/>
    <n v="1"/>
    <n v="60225"/>
    <n v="2010"/>
    <n v="0"/>
    <n v="0"/>
    <m/>
    <m/>
    <m/>
    <m/>
    <s v=""/>
  </r>
  <r>
    <s v="60225-2010-000-00"/>
    <d v="2017-06-30T00:00:00"/>
    <n v="1425"/>
    <n v="0"/>
    <s v="USD"/>
    <s v="JRNLWA00357358"/>
    <s v="P"/>
    <s v="EXP3: P-Card Accrual"/>
    <s v="HeatherWe"/>
    <s v="0/JE IC"/>
    <m/>
    <m/>
    <x v="51"/>
    <m/>
    <m/>
    <m/>
    <m/>
    <m/>
    <m/>
    <s v="JRNL00851427"/>
    <s v="JRNL00851427"/>
    <m/>
    <d v="2017-07-10T00:00:00"/>
    <d v="2017-07-10T00:00:00"/>
    <m/>
    <m/>
    <s v="wci_wa"/>
    <n v="0"/>
    <n v="0"/>
    <n v="0"/>
    <n v="0"/>
    <n v="0"/>
    <n v="1"/>
    <n v="60225"/>
    <n v="2010"/>
    <n v="0"/>
    <n v="0"/>
    <m/>
    <m/>
    <m/>
    <m/>
    <s v=""/>
  </r>
  <r>
    <s v="60225-2010-000-00"/>
    <d v="2017-06-30T00:00:00"/>
    <n v="300"/>
    <n v="0"/>
    <s v="USD"/>
    <s v="JRNLWA00357359"/>
    <s v="P"/>
    <s v="Exp2: PO Log Accrual"/>
    <s v="HeatherWe"/>
    <s v="0/JE IC"/>
    <m/>
    <m/>
    <x v="22"/>
    <m/>
    <m/>
    <m/>
    <m/>
    <m/>
    <m/>
    <s v="JRNL00851428"/>
    <s v="JRNL00851428"/>
    <m/>
    <d v="2017-07-10T00:00:00"/>
    <d v="2017-07-10T00:00:00"/>
    <m/>
    <m/>
    <s v="wci_wa"/>
    <n v="0"/>
    <n v="0"/>
    <n v="0"/>
    <n v="0"/>
    <n v="0"/>
    <n v="1"/>
    <n v="60225"/>
    <n v="2010"/>
    <n v="0"/>
    <n v="0"/>
    <m/>
    <m/>
    <m/>
    <m/>
    <s v=""/>
  </r>
  <r>
    <s v="60225-2010-000-00"/>
    <d v="2017-06-30T00:00:00"/>
    <n v="420.96"/>
    <n v="0"/>
    <s v="USD"/>
    <s v="JRNLWA00357359"/>
    <s v="P"/>
    <s v="Exp2: PO Log Accrual"/>
    <s v="HeatherWe"/>
    <s v="0/JE IC"/>
    <m/>
    <m/>
    <x v="44"/>
    <m/>
    <m/>
    <m/>
    <m/>
    <m/>
    <m/>
    <s v="JRNL00851428"/>
    <s v="JRNL00851428"/>
    <m/>
    <d v="2017-07-10T00:00:00"/>
    <d v="2017-07-10T00:00:00"/>
    <m/>
    <m/>
    <s v="wci_wa"/>
    <n v="0"/>
    <n v="0"/>
    <n v="0"/>
    <n v="0"/>
    <n v="0"/>
    <n v="1"/>
    <n v="60225"/>
    <n v="2010"/>
    <n v="0"/>
    <n v="0"/>
    <m/>
    <m/>
    <m/>
    <m/>
    <s v=""/>
  </r>
  <r>
    <s v="60225-2010-000-00"/>
    <d v="2017-06-30T00:00:00"/>
    <n v="1807.21"/>
    <n v="0"/>
    <s v="USD"/>
    <s v="JRNLWA00357359"/>
    <s v="P"/>
    <s v="Exp2: PO Log Accrual"/>
    <s v="HeatherWe"/>
    <s v="0/JE IC"/>
    <m/>
    <m/>
    <x v="46"/>
    <m/>
    <m/>
    <m/>
    <m/>
    <m/>
    <m/>
    <s v="JRNL00851428"/>
    <s v="JRNL00851428"/>
    <m/>
    <d v="2017-07-10T00:00:00"/>
    <d v="2017-07-10T00:00:00"/>
    <m/>
    <m/>
    <s v="wci_wa"/>
    <n v="0"/>
    <n v="0"/>
    <n v="0"/>
    <n v="0"/>
    <n v="0"/>
    <n v="1"/>
    <n v="60225"/>
    <n v="2010"/>
    <n v="0"/>
    <n v="0"/>
    <m/>
    <m/>
    <m/>
    <m/>
    <s v=""/>
  </r>
  <r>
    <s v="60225-2010-000-00"/>
    <d v="2017-06-30T00:00:00"/>
    <n v="114.63"/>
    <n v="0"/>
    <s v="USD"/>
    <s v="JRNLWA00357359"/>
    <s v="P"/>
    <s v="Exp2: PO Log Accrual"/>
    <s v="HeatherWe"/>
    <s v="0/JE IC"/>
    <m/>
    <m/>
    <x v="47"/>
    <m/>
    <m/>
    <m/>
    <m/>
    <m/>
    <m/>
    <s v="JRNL00851428"/>
    <s v="JRNL00851428"/>
    <m/>
    <d v="2017-07-10T00:00:00"/>
    <d v="2017-07-10T00:00:00"/>
    <m/>
    <m/>
    <s v="wci_wa"/>
    <n v="0"/>
    <n v="0"/>
    <n v="0"/>
    <n v="0"/>
    <n v="0"/>
    <n v="1"/>
    <n v="60225"/>
    <n v="2010"/>
    <n v="0"/>
    <n v="0"/>
    <m/>
    <m/>
    <m/>
    <m/>
    <s v=""/>
  </r>
  <r>
    <s v="60225-2010-000-00"/>
    <d v="2017-06-30T00:00:00"/>
    <n v="917.88"/>
    <n v="0"/>
    <s v="USD"/>
    <s v="JRNLWA00357359"/>
    <s v="P"/>
    <s v="Exp2: PO Log Accrual"/>
    <s v="HeatherWe"/>
    <s v="0/JE IC"/>
    <m/>
    <m/>
    <x v="48"/>
    <m/>
    <m/>
    <m/>
    <m/>
    <m/>
    <m/>
    <s v="JRNL00851428"/>
    <s v="JRNL00851428"/>
    <m/>
    <d v="2017-07-10T00:00:00"/>
    <d v="2017-07-10T00:00:00"/>
    <m/>
    <m/>
    <s v="wci_wa"/>
    <n v="0"/>
    <n v="0"/>
    <n v="0"/>
    <n v="0"/>
    <n v="0"/>
    <n v="1"/>
    <n v="60225"/>
    <n v="2010"/>
    <n v="0"/>
    <n v="0"/>
    <m/>
    <m/>
    <m/>
    <m/>
    <s v=""/>
  </r>
  <r>
    <s v="60225-2010-000-00"/>
    <d v="2017-06-30T00:00:00"/>
    <n v="362.58"/>
    <n v="0"/>
    <s v="USD"/>
    <s v="JRNLWA00357359"/>
    <s v="P"/>
    <s v="Exp2: PO Log Accrual"/>
    <s v="HeatherWe"/>
    <s v="0/JE IC"/>
    <m/>
    <m/>
    <x v="52"/>
    <m/>
    <m/>
    <m/>
    <m/>
    <m/>
    <m/>
    <s v="JRNL00851428"/>
    <s v="JRNL00851428"/>
    <m/>
    <d v="2017-07-10T00:00:00"/>
    <d v="2017-07-10T00:00:00"/>
    <m/>
    <m/>
    <s v="wci_wa"/>
    <n v="0"/>
    <n v="0"/>
    <n v="0"/>
    <n v="0"/>
    <n v="0"/>
    <n v="1"/>
    <n v="60225"/>
    <n v="2010"/>
    <n v="0"/>
    <n v="0"/>
    <m/>
    <m/>
    <m/>
    <m/>
    <s v=""/>
  </r>
  <r>
    <s v="60225-2010-000-00"/>
    <d v="2017-06-30T00:00:00"/>
    <n v="380"/>
    <n v="0"/>
    <s v="USD"/>
    <s v="JRNLWA00357359"/>
    <s v="P"/>
    <s v="Exp2: PO Log Accrual"/>
    <s v="HeatherWe"/>
    <s v="0/JE IC"/>
    <m/>
    <m/>
    <x v="53"/>
    <m/>
    <m/>
    <m/>
    <m/>
    <m/>
    <m/>
    <s v="JRNL00851428"/>
    <s v="JRNL00851428"/>
    <m/>
    <d v="2017-07-10T00:00:00"/>
    <d v="2017-07-10T00:00:00"/>
    <m/>
    <m/>
    <s v="wci_wa"/>
    <n v="0"/>
    <n v="0"/>
    <n v="0"/>
    <n v="0"/>
    <n v="0"/>
    <n v="1"/>
    <n v="60225"/>
    <n v="2010"/>
    <n v="0"/>
    <n v="0"/>
    <m/>
    <m/>
    <m/>
    <m/>
    <s v=""/>
  </r>
  <r>
    <s v="60225-2010-000-00"/>
    <d v="2017-06-30T00:00:00"/>
    <n v="75"/>
    <n v="0"/>
    <s v="USD"/>
    <s v="JRNLWA00357359"/>
    <s v="P"/>
    <s v="Exp2: PO Log Accrual"/>
    <s v="HeatherWe"/>
    <s v="0/JE IC"/>
    <m/>
    <m/>
    <x v="54"/>
    <m/>
    <m/>
    <m/>
    <m/>
    <m/>
    <m/>
    <s v="JRNL00851428"/>
    <s v="JRNL00851428"/>
    <m/>
    <d v="2017-07-10T00:00:00"/>
    <d v="2017-07-10T00:00:00"/>
    <m/>
    <m/>
    <s v="wci_wa"/>
    <n v="0"/>
    <n v="0"/>
    <n v="0"/>
    <n v="0"/>
    <n v="0"/>
    <n v="1"/>
    <n v="60225"/>
    <n v="2010"/>
    <n v="0"/>
    <n v="0"/>
    <m/>
    <m/>
    <m/>
    <m/>
    <s v=""/>
  </r>
  <r>
    <s v="60225-2010-000-00"/>
    <d v="2017-07-31T00:00:00"/>
    <n v="-1425"/>
    <n v="0"/>
    <s v="USD"/>
    <s v="JRNLWA00357492"/>
    <s v="P"/>
    <s v="EXP3: P-Card Accrual"/>
    <s v="MaribelV"/>
    <s v="0/JE IC"/>
    <m/>
    <m/>
    <x v="51"/>
    <m/>
    <m/>
    <m/>
    <m/>
    <m/>
    <m/>
    <s v="JRNL00851427"/>
    <s v="JRNL00851461"/>
    <m/>
    <d v="2017-07-10T00:00:00"/>
    <d v="2017-07-11T00:00:00"/>
    <m/>
    <m/>
    <s v="wci_wa"/>
    <n v="0"/>
    <n v="0"/>
    <n v="0"/>
    <n v="0"/>
    <n v="5"/>
    <n v="1"/>
    <n v="60225"/>
    <n v="2010"/>
    <n v="0"/>
    <n v="0"/>
    <m/>
    <m/>
    <m/>
    <m/>
    <s v=""/>
  </r>
  <r>
    <s v="60225-2010-000-00"/>
    <d v="2017-07-31T00:00:00"/>
    <n v="-300"/>
    <n v="0"/>
    <s v="USD"/>
    <s v="JRNLWA00357493"/>
    <s v="P"/>
    <s v="Exp2: PO Log Accrual"/>
    <s v="MaribelV"/>
    <s v="0/JE IC"/>
    <m/>
    <m/>
    <x v="22"/>
    <m/>
    <m/>
    <m/>
    <m/>
    <m/>
    <m/>
    <s v="JRNL00851428"/>
    <s v="JRNL00851462"/>
    <m/>
    <d v="2017-07-10T00:00:00"/>
    <d v="2017-07-11T00:00:00"/>
    <m/>
    <m/>
    <s v="wci_wa"/>
    <n v="0"/>
    <n v="0"/>
    <n v="0"/>
    <n v="0"/>
    <n v="5"/>
    <n v="1"/>
    <n v="60225"/>
    <n v="2010"/>
    <n v="0"/>
    <n v="0"/>
    <m/>
    <m/>
    <m/>
    <m/>
    <s v=""/>
  </r>
  <r>
    <s v="60225-2010-000-00"/>
    <d v="2017-07-31T00:00:00"/>
    <n v="-420.96"/>
    <n v="0"/>
    <s v="USD"/>
    <s v="JRNLWA00357493"/>
    <s v="P"/>
    <s v="Exp2: PO Log Accrual"/>
    <s v="MaribelV"/>
    <s v="0/JE IC"/>
    <m/>
    <m/>
    <x v="44"/>
    <m/>
    <m/>
    <m/>
    <m/>
    <m/>
    <m/>
    <s v="JRNL00851428"/>
    <s v="JRNL00851462"/>
    <m/>
    <d v="2017-07-10T00:00:00"/>
    <d v="2017-07-11T00:00:00"/>
    <m/>
    <m/>
    <s v="wci_wa"/>
    <n v="0"/>
    <n v="0"/>
    <n v="0"/>
    <n v="0"/>
    <n v="5"/>
    <n v="1"/>
    <n v="60225"/>
    <n v="2010"/>
    <n v="0"/>
    <n v="0"/>
    <m/>
    <m/>
    <m/>
    <m/>
    <s v=""/>
  </r>
  <r>
    <s v="60225-2010-000-00"/>
    <d v="2017-07-31T00:00:00"/>
    <n v="-1807.21"/>
    <n v="0"/>
    <s v="USD"/>
    <s v="JRNLWA00357493"/>
    <s v="P"/>
    <s v="Exp2: PO Log Accrual"/>
    <s v="MaribelV"/>
    <s v="0/JE IC"/>
    <m/>
    <m/>
    <x v="46"/>
    <m/>
    <m/>
    <m/>
    <m/>
    <m/>
    <m/>
    <s v="JRNL00851428"/>
    <s v="JRNL00851462"/>
    <m/>
    <d v="2017-07-10T00:00:00"/>
    <d v="2017-07-11T00:00:00"/>
    <m/>
    <m/>
    <s v="wci_wa"/>
    <n v="0"/>
    <n v="0"/>
    <n v="0"/>
    <n v="0"/>
    <n v="5"/>
    <n v="1"/>
    <n v="60225"/>
    <n v="2010"/>
    <n v="0"/>
    <n v="0"/>
    <m/>
    <m/>
    <m/>
    <m/>
    <s v=""/>
  </r>
  <r>
    <s v="60225-2010-000-00"/>
    <d v="2017-07-31T00:00:00"/>
    <n v="-114.63"/>
    <n v="0"/>
    <s v="USD"/>
    <s v="JRNLWA00357493"/>
    <s v="P"/>
    <s v="Exp2: PO Log Accrual"/>
    <s v="MaribelV"/>
    <s v="0/JE IC"/>
    <m/>
    <m/>
    <x v="47"/>
    <m/>
    <m/>
    <m/>
    <m/>
    <m/>
    <m/>
    <s v="JRNL00851428"/>
    <s v="JRNL00851462"/>
    <m/>
    <d v="2017-07-10T00:00:00"/>
    <d v="2017-07-11T00:00:00"/>
    <m/>
    <m/>
    <s v="wci_wa"/>
    <n v="0"/>
    <n v="0"/>
    <n v="0"/>
    <n v="0"/>
    <n v="5"/>
    <n v="1"/>
    <n v="60225"/>
    <n v="2010"/>
    <n v="0"/>
    <n v="0"/>
    <m/>
    <m/>
    <m/>
    <m/>
    <s v=""/>
  </r>
  <r>
    <s v="60225-2010-000-00"/>
    <d v="2017-07-31T00:00:00"/>
    <n v="-917.88"/>
    <n v="0"/>
    <s v="USD"/>
    <s v="JRNLWA00357493"/>
    <s v="P"/>
    <s v="Exp2: PO Log Accrual"/>
    <s v="MaribelV"/>
    <s v="0/JE IC"/>
    <m/>
    <m/>
    <x v="48"/>
    <m/>
    <m/>
    <m/>
    <m/>
    <m/>
    <m/>
    <s v="JRNL00851428"/>
    <s v="JRNL00851462"/>
    <m/>
    <d v="2017-07-10T00:00:00"/>
    <d v="2017-07-11T00:00:00"/>
    <m/>
    <m/>
    <s v="wci_wa"/>
    <n v="0"/>
    <n v="0"/>
    <n v="0"/>
    <n v="0"/>
    <n v="5"/>
    <n v="1"/>
    <n v="60225"/>
    <n v="2010"/>
    <n v="0"/>
    <n v="0"/>
    <m/>
    <m/>
    <m/>
    <m/>
    <s v=""/>
  </r>
  <r>
    <s v="60225-2010-000-00"/>
    <d v="2017-07-31T00:00:00"/>
    <n v="-362.58"/>
    <n v="0"/>
    <s v="USD"/>
    <s v="JRNLWA00357493"/>
    <s v="P"/>
    <s v="Exp2: PO Log Accrual"/>
    <s v="MaribelV"/>
    <s v="0/JE IC"/>
    <m/>
    <m/>
    <x v="52"/>
    <m/>
    <m/>
    <m/>
    <m/>
    <m/>
    <m/>
    <s v="JRNL00851428"/>
    <s v="JRNL00851462"/>
    <m/>
    <d v="2017-07-10T00:00:00"/>
    <d v="2017-07-11T00:00:00"/>
    <m/>
    <m/>
    <s v="wci_wa"/>
    <n v="0"/>
    <n v="0"/>
    <n v="0"/>
    <n v="0"/>
    <n v="5"/>
    <n v="1"/>
    <n v="60225"/>
    <n v="2010"/>
    <n v="0"/>
    <n v="0"/>
    <m/>
    <m/>
    <m/>
    <m/>
    <s v=""/>
  </r>
  <r>
    <s v="60225-2010-000-00"/>
    <d v="2017-07-31T00:00:00"/>
    <n v="-380"/>
    <n v="0"/>
    <s v="USD"/>
    <s v="JRNLWA00357493"/>
    <s v="P"/>
    <s v="Exp2: PO Log Accrual"/>
    <s v="MaribelV"/>
    <s v="0/JE IC"/>
    <m/>
    <m/>
    <x v="53"/>
    <m/>
    <m/>
    <m/>
    <m/>
    <m/>
    <m/>
    <s v="JRNL00851428"/>
    <s v="JRNL00851462"/>
    <m/>
    <d v="2017-07-10T00:00:00"/>
    <d v="2017-07-11T00:00:00"/>
    <m/>
    <m/>
    <s v="wci_wa"/>
    <n v="0"/>
    <n v="0"/>
    <n v="0"/>
    <n v="0"/>
    <n v="5"/>
    <n v="1"/>
    <n v="60225"/>
    <n v="2010"/>
    <n v="0"/>
    <n v="0"/>
    <m/>
    <m/>
    <m/>
    <m/>
    <s v=""/>
  </r>
  <r>
    <s v="60225-2010-000-00"/>
    <d v="2017-07-31T00:00:00"/>
    <n v="-75"/>
    <n v="0"/>
    <s v="USD"/>
    <s v="JRNLWA00357493"/>
    <s v="P"/>
    <s v="Exp2: PO Log Accrual"/>
    <s v="MaribelV"/>
    <s v="0/JE IC"/>
    <m/>
    <m/>
    <x v="54"/>
    <m/>
    <m/>
    <m/>
    <m/>
    <m/>
    <m/>
    <s v="JRNL00851428"/>
    <s v="JRNL00851462"/>
    <m/>
    <d v="2017-07-10T00:00:00"/>
    <d v="2017-07-11T00:00:00"/>
    <m/>
    <m/>
    <s v="wci_wa"/>
    <n v="0"/>
    <n v="0"/>
    <n v="0"/>
    <n v="0"/>
    <n v="5"/>
    <n v="1"/>
    <n v="60225"/>
    <n v="2010"/>
    <n v="0"/>
    <n v="0"/>
    <m/>
    <m/>
    <m/>
    <m/>
    <s v=""/>
  </r>
  <r>
    <s v="60225-2010-000-00"/>
    <d v="2017-07-31T00:00:00"/>
    <n v="300"/>
    <n v="0"/>
    <s v="USD"/>
    <s v="JRNLWA00358110"/>
    <s v="P"/>
    <s v="PCard Activity July - Western"/>
    <s v="HeatherWe"/>
    <s v="0/JE IC"/>
    <m/>
    <m/>
    <x v="5"/>
    <m/>
    <m/>
    <m/>
    <m/>
    <m/>
    <m/>
    <s v="JRNL00853023"/>
    <s v="JRNL00853023"/>
    <m/>
    <d v="2017-08-01T00:00:00"/>
    <d v="2017-08-02T00:00:00"/>
    <m/>
    <m/>
    <s v="wci_wa"/>
    <n v="0"/>
    <n v="0"/>
    <n v="0"/>
    <n v="0"/>
    <n v="0"/>
    <n v="1"/>
    <n v="60225"/>
    <n v="2010"/>
    <n v="0"/>
    <n v="0"/>
    <m/>
    <m/>
    <m/>
    <m/>
    <s v=""/>
  </r>
  <r>
    <s v="60225-2010-000-00"/>
    <d v="2017-07-31T00:00:00"/>
    <n v="420.96"/>
    <n v="0"/>
    <s v="USD"/>
    <s v="JRNLWA00358110"/>
    <s v="P"/>
    <s v="PCard Activity July - Western"/>
    <s v="HeatherWe"/>
    <s v="0/JE IC"/>
    <m/>
    <m/>
    <x v="55"/>
    <m/>
    <m/>
    <m/>
    <m/>
    <m/>
    <m/>
    <s v="JRNL00853023"/>
    <s v="JRNL00853023"/>
    <m/>
    <d v="2017-08-01T00:00:00"/>
    <d v="2017-08-02T00:00:00"/>
    <m/>
    <m/>
    <s v="wci_wa"/>
    <n v="0"/>
    <n v="0"/>
    <n v="0"/>
    <n v="0"/>
    <n v="0"/>
    <n v="1"/>
    <n v="60225"/>
    <n v="2010"/>
    <n v="0"/>
    <n v="0"/>
    <m/>
    <m/>
    <m/>
    <m/>
    <s v=""/>
  </r>
  <r>
    <s v="60225-2010-000-00"/>
    <d v="2017-07-31T00:00:00"/>
    <n v="1425"/>
    <n v="0"/>
    <s v="USD"/>
    <s v="JRNLWA00358110"/>
    <s v="P"/>
    <s v="PCard Activity July - Western"/>
    <s v="HeatherWe"/>
    <s v="0/JE IC"/>
    <m/>
    <m/>
    <x v="51"/>
    <m/>
    <m/>
    <m/>
    <m/>
    <m/>
    <m/>
    <s v="JRNL00853023"/>
    <s v="JRNL00853023"/>
    <m/>
    <d v="2017-08-01T00:00:00"/>
    <d v="2017-08-02T00:00:00"/>
    <m/>
    <m/>
    <s v="wci_wa"/>
    <n v="0"/>
    <n v="0"/>
    <n v="0"/>
    <n v="0"/>
    <n v="0"/>
    <n v="1"/>
    <n v="60225"/>
    <n v="2010"/>
    <n v="0"/>
    <n v="0"/>
    <m/>
    <m/>
    <m/>
    <m/>
    <s v=""/>
  </r>
  <r>
    <s v="60225-2010-000-00"/>
    <d v="2017-07-31T00:00:00"/>
    <n v="1807.21"/>
    <n v="0"/>
    <s v="USD"/>
    <s v="JRNLWA00358110"/>
    <s v="P"/>
    <s v="PCard Activity July - Western"/>
    <s v="HeatherWe"/>
    <s v="0/JE IC"/>
    <m/>
    <m/>
    <x v="42"/>
    <m/>
    <m/>
    <m/>
    <m/>
    <m/>
    <m/>
    <s v="JRNL00853023"/>
    <s v="JRNL00853023"/>
    <m/>
    <d v="2017-08-01T00:00:00"/>
    <d v="2017-08-02T00:00:00"/>
    <m/>
    <m/>
    <s v="wci_wa"/>
    <n v="0"/>
    <n v="0"/>
    <n v="0"/>
    <n v="0"/>
    <n v="0"/>
    <n v="1"/>
    <n v="60225"/>
    <n v="2010"/>
    <n v="0"/>
    <n v="0"/>
    <m/>
    <m/>
    <m/>
    <m/>
    <s v=""/>
  </r>
  <r>
    <s v="60225-2010-000-00"/>
    <d v="2017-07-31T00:00:00"/>
    <n v="362.58"/>
    <n v="0"/>
    <s v="USD"/>
    <s v="JRNLWA00358110"/>
    <s v="P"/>
    <s v="PCard Activity July - Western"/>
    <s v="HeatherWe"/>
    <s v="0/JE IC"/>
    <m/>
    <m/>
    <x v="7"/>
    <m/>
    <m/>
    <m/>
    <m/>
    <m/>
    <m/>
    <s v="JRNL00853023"/>
    <s v="JRNL00853023"/>
    <m/>
    <d v="2017-08-01T00:00:00"/>
    <d v="2017-08-02T00:00:00"/>
    <m/>
    <m/>
    <s v="wci_wa"/>
    <n v="0"/>
    <n v="0"/>
    <n v="0"/>
    <n v="0"/>
    <n v="0"/>
    <n v="1"/>
    <n v="60225"/>
    <n v="2010"/>
    <n v="0"/>
    <n v="0"/>
    <m/>
    <m/>
    <m/>
    <m/>
    <s v=""/>
  </r>
  <r>
    <s v="60225-2010-000-00"/>
    <d v="2017-07-31T00:00:00"/>
    <n v="835.76"/>
    <n v="0"/>
    <s v="USD"/>
    <s v="JRNLWA00358110"/>
    <s v="P"/>
    <s v="PCard Activity July - Western"/>
    <s v="HeatherWe"/>
    <s v="0/JE IC"/>
    <m/>
    <m/>
    <x v="30"/>
    <m/>
    <m/>
    <m/>
    <m/>
    <m/>
    <m/>
    <s v="JRNL00853023"/>
    <s v="JRNL00853023"/>
    <m/>
    <d v="2017-08-01T00:00:00"/>
    <d v="2017-08-02T00:00:00"/>
    <m/>
    <m/>
    <s v="wci_wa"/>
    <n v="0"/>
    <n v="0"/>
    <n v="0"/>
    <n v="0"/>
    <n v="0"/>
    <n v="1"/>
    <n v="60225"/>
    <n v="2010"/>
    <n v="0"/>
    <n v="0"/>
    <m/>
    <m/>
    <m/>
    <m/>
    <s v=""/>
  </r>
  <r>
    <s v="60225-2010-000-00"/>
    <d v="2017-07-31T00:00:00"/>
    <n v="380"/>
    <n v="0"/>
    <s v="USD"/>
    <s v="JRNLWA00358110"/>
    <s v="P"/>
    <s v="PCard Activity July - Western"/>
    <s v="HeatherWe"/>
    <s v="0/JE IC"/>
    <m/>
    <m/>
    <x v="51"/>
    <m/>
    <m/>
    <m/>
    <m/>
    <m/>
    <m/>
    <s v="JRNL00853023"/>
    <s v="JRNL00853023"/>
    <m/>
    <d v="2017-08-01T00:00:00"/>
    <d v="2017-08-02T00:00:00"/>
    <m/>
    <m/>
    <s v="wci_wa"/>
    <n v="0"/>
    <n v="0"/>
    <n v="0"/>
    <n v="0"/>
    <n v="0"/>
    <n v="1"/>
    <n v="60225"/>
    <n v="2010"/>
    <n v="0"/>
    <n v="0"/>
    <m/>
    <m/>
    <m/>
    <m/>
    <s v=""/>
  </r>
  <r>
    <s v="60225-2010-000-00"/>
    <d v="2017-07-31T00:00:00"/>
    <n v="75"/>
    <n v="0"/>
    <s v="USD"/>
    <s v="JRNLWA00358110"/>
    <s v="P"/>
    <s v="PCard Activity July - Western"/>
    <s v="HeatherWe"/>
    <s v="0/JE IC"/>
    <m/>
    <m/>
    <x v="51"/>
    <m/>
    <m/>
    <m/>
    <m/>
    <m/>
    <m/>
    <s v="JRNL00853023"/>
    <s v="JRNL00853023"/>
    <m/>
    <d v="2017-08-01T00:00:00"/>
    <d v="2017-08-02T00:00:00"/>
    <m/>
    <m/>
    <s v="wci_wa"/>
    <n v="0"/>
    <n v="0"/>
    <n v="0"/>
    <n v="0"/>
    <n v="0"/>
    <n v="1"/>
    <n v="60225"/>
    <n v="2010"/>
    <n v="0"/>
    <n v="0"/>
    <m/>
    <m/>
    <m/>
    <m/>
    <s v=""/>
  </r>
  <r>
    <s v="60225-2010-000-00"/>
    <d v="2017-07-31T00:00:00"/>
    <n v="379.4"/>
    <n v="0"/>
    <s v="USD"/>
    <s v="JRNLWA00358110"/>
    <s v="P"/>
    <s v="PCard Activity July - Western"/>
    <s v="HeatherWe"/>
    <s v="0/JE IC"/>
    <m/>
    <m/>
    <x v="30"/>
    <m/>
    <m/>
    <m/>
    <m/>
    <m/>
    <m/>
    <s v="JRNL00853023"/>
    <s v="JRNL00853023"/>
    <m/>
    <d v="2017-08-01T00:00:00"/>
    <d v="2017-08-02T00:00:00"/>
    <m/>
    <m/>
    <s v="wci_wa"/>
    <n v="0"/>
    <n v="0"/>
    <n v="0"/>
    <n v="0"/>
    <n v="0"/>
    <n v="1"/>
    <n v="60225"/>
    <n v="2010"/>
    <n v="0"/>
    <n v="0"/>
    <m/>
    <m/>
    <m/>
    <m/>
    <s v=""/>
  </r>
  <r>
    <s v="60225-2010-000-00"/>
    <d v="2017-07-31T00:00:00"/>
    <n v="8134.34"/>
    <n v="0"/>
    <s v="USD"/>
    <s v="JRNLWA00358777"/>
    <s v="P"/>
    <s v="EXP3: P-Card Accrual"/>
    <s v="HeatherWe"/>
    <s v="0/JE IC"/>
    <m/>
    <m/>
    <x v="56"/>
    <m/>
    <m/>
    <m/>
    <m/>
    <m/>
    <m/>
    <s v="JRNL00854580"/>
    <s v="JRNL00854580"/>
    <m/>
    <d v="2017-08-04T00:00:00"/>
    <d v="2017-08-07T00:00:00"/>
    <m/>
    <m/>
    <s v="wci_wa"/>
    <n v="0"/>
    <n v="0"/>
    <n v="0"/>
    <n v="0"/>
    <n v="0"/>
    <n v="1"/>
    <n v="60225"/>
    <n v="2010"/>
    <n v="0"/>
    <n v="0"/>
    <m/>
    <m/>
    <m/>
    <m/>
    <s v=""/>
  </r>
  <r>
    <s v="60225-2010-000-00"/>
    <d v="2017-07-31T00:00:00"/>
    <n v="2480.25"/>
    <n v="0"/>
    <s v="USD"/>
    <s v="JRNLWA00358777"/>
    <s v="P"/>
    <s v="EXP3: P-Card Accrual"/>
    <s v="HeatherWe"/>
    <s v="0/JE IC"/>
    <m/>
    <m/>
    <x v="57"/>
    <m/>
    <m/>
    <m/>
    <m/>
    <m/>
    <m/>
    <s v="JRNL00854580"/>
    <s v="JRNL00854580"/>
    <m/>
    <d v="2017-08-04T00:00:00"/>
    <d v="2017-08-07T00:00:00"/>
    <m/>
    <m/>
    <s v="wci_wa"/>
    <n v="0"/>
    <n v="0"/>
    <n v="0"/>
    <n v="0"/>
    <n v="0"/>
    <n v="1"/>
    <n v="60225"/>
    <n v="2010"/>
    <n v="0"/>
    <n v="0"/>
    <m/>
    <m/>
    <m/>
    <m/>
    <s v=""/>
  </r>
  <r>
    <s v="60225-2010-000-00"/>
    <d v="2017-07-31T00:00:00"/>
    <n v="128.12"/>
    <n v="0"/>
    <s v="USD"/>
    <s v="JRNLWA00358777"/>
    <s v="P"/>
    <s v="EXP3: P-Card Accrual"/>
    <s v="HeatherWe"/>
    <s v="0/JE IC"/>
    <m/>
    <m/>
    <x v="58"/>
    <m/>
    <m/>
    <m/>
    <m/>
    <m/>
    <m/>
    <s v="JRNL00854580"/>
    <s v="JRNL00854580"/>
    <m/>
    <d v="2017-08-04T00:00:00"/>
    <d v="2017-08-07T00:00:00"/>
    <m/>
    <m/>
    <s v="wci_wa"/>
    <n v="0"/>
    <n v="0"/>
    <n v="0"/>
    <n v="0"/>
    <n v="0"/>
    <n v="1"/>
    <n v="60225"/>
    <n v="2010"/>
    <n v="0"/>
    <n v="0"/>
    <m/>
    <m/>
    <m/>
    <m/>
    <s v=""/>
  </r>
  <r>
    <s v="60225-2010-000-00"/>
    <d v="2017-07-31T00:00:00"/>
    <n v="300"/>
    <n v="0"/>
    <s v="USD"/>
    <s v="JRNLWA00358779"/>
    <s v="P"/>
    <s v="Exp2: PO Log Accrual"/>
    <s v="HeatherWe"/>
    <s v="0/JE IC"/>
    <m/>
    <m/>
    <x v="22"/>
    <m/>
    <m/>
    <m/>
    <m/>
    <m/>
    <m/>
    <s v="JRNL00854582"/>
    <s v="JRNL00854582"/>
    <m/>
    <d v="2017-08-04T00:00:00"/>
    <d v="2017-08-07T00:00:00"/>
    <m/>
    <m/>
    <s v="wci_wa"/>
    <n v="0"/>
    <n v="0"/>
    <n v="0"/>
    <n v="0"/>
    <n v="0"/>
    <n v="1"/>
    <n v="60225"/>
    <n v="2010"/>
    <n v="0"/>
    <n v="0"/>
    <m/>
    <m/>
    <m/>
    <m/>
    <s v=""/>
  </r>
  <r>
    <s v="60225-2010-000-00"/>
    <d v="2017-07-31T00:00:00"/>
    <n v="114.63"/>
    <n v="0"/>
    <s v="USD"/>
    <s v="JRNLWA00358779"/>
    <s v="P"/>
    <s v="Exp2: PO Log Accrual"/>
    <s v="HeatherWe"/>
    <s v="0/JE IC"/>
    <m/>
    <m/>
    <x v="47"/>
    <m/>
    <m/>
    <m/>
    <m/>
    <m/>
    <m/>
    <s v="JRNL00854582"/>
    <s v="JRNL00854582"/>
    <m/>
    <d v="2017-08-04T00:00:00"/>
    <d v="2017-08-07T00:00:00"/>
    <m/>
    <m/>
    <s v="wci_wa"/>
    <n v="0"/>
    <n v="0"/>
    <n v="0"/>
    <n v="0"/>
    <n v="0"/>
    <n v="1"/>
    <n v="60225"/>
    <n v="2010"/>
    <n v="0"/>
    <n v="0"/>
    <m/>
    <m/>
    <m/>
    <m/>
    <s v=""/>
  </r>
  <r>
    <s v="60225-2010-000-00"/>
    <d v="2017-07-31T00:00:00"/>
    <n v="917.88"/>
    <n v="0"/>
    <s v="USD"/>
    <s v="JRNLWA00358779"/>
    <s v="P"/>
    <s v="Exp2: PO Log Accrual"/>
    <s v="HeatherWe"/>
    <s v="0/JE IC"/>
    <m/>
    <m/>
    <x v="48"/>
    <m/>
    <m/>
    <m/>
    <m/>
    <m/>
    <m/>
    <s v="JRNL00854582"/>
    <s v="JRNL00854582"/>
    <m/>
    <d v="2017-08-04T00:00:00"/>
    <d v="2017-08-07T00:00:00"/>
    <m/>
    <m/>
    <s v="wci_wa"/>
    <n v="0"/>
    <n v="0"/>
    <n v="0"/>
    <n v="0"/>
    <n v="0"/>
    <n v="1"/>
    <n v="60225"/>
    <n v="2010"/>
    <n v="0"/>
    <n v="0"/>
    <m/>
    <m/>
    <m/>
    <m/>
    <s v=""/>
  </r>
  <r>
    <s v="60225-2010-000-00"/>
    <d v="2017-07-31T00:00:00"/>
    <n v="165.29"/>
    <n v="0"/>
    <s v="USD"/>
    <s v="JRNLWA00358779"/>
    <s v="P"/>
    <s v="Exp2: PO Log Accrual"/>
    <s v="HeatherWe"/>
    <s v="0/JE IC"/>
    <m/>
    <m/>
    <x v="59"/>
    <m/>
    <m/>
    <m/>
    <m/>
    <m/>
    <m/>
    <s v="JRNL00854582"/>
    <s v="JRNL00854582"/>
    <m/>
    <d v="2017-08-04T00:00:00"/>
    <d v="2017-08-07T00:00:00"/>
    <m/>
    <m/>
    <s v="wci_wa"/>
    <n v="0"/>
    <n v="0"/>
    <n v="0"/>
    <n v="0"/>
    <n v="0"/>
    <n v="1"/>
    <n v="60225"/>
    <n v="2010"/>
    <n v="0"/>
    <n v="0"/>
    <m/>
    <m/>
    <m/>
    <m/>
    <s v=""/>
  </r>
  <r>
    <s v="60225-2010-000-00"/>
    <d v="2017-08-10T00:00:00"/>
    <n v="445"/>
    <n v="0"/>
    <s v="USD"/>
    <s v="JRNLWA00359294"/>
    <s v="P"/>
    <s v="From Voucher Posting."/>
    <s v="RosemaryS"/>
    <s v="0/JE IC"/>
    <s v="VUS000012158"/>
    <s v="CITY OF VANCOUVER"/>
    <x v="18"/>
    <d v="2017-08-01T00:00:00"/>
    <s v="Senior Messenger Advertisement OK per JW"/>
    <n v="44159"/>
    <s v="PO-2010-17-02771"/>
    <m/>
    <m/>
    <s v="VO04376039"/>
    <s v="JRNL00855402"/>
    <n v="2010"/>
    <d v="2017-08-10T00:00:00"/>
    <d v="2017-08-16T00:00:00"/>
    <n v="445"/>
    <d v="2017-08-02T00:00:00"/>
    <s v="wci_wa"/>
    <n v="0"/>
    <n v="0"/>
    <n v="0"/>
    <n v="0"/>
    <n v="0"/>
    <n v="1"/>
    <n v="60225"/>
    <n v="2010"/>
    <n v="0"/>
    <n v="0"/>
    <m/>
    <m/>
    <m/>
    <m/>
    <s v="VO04376039"/>
  </r>
  <r>
    <s v="60225-2010-000-00"/>
    <d v="2017-08-31T00:00:00"/>
    <n v="-8134.34"/>
    <n v="0"/>
    <s v="USD"/>
    <s v="JRNLWA00358840"/>
    <s v="P"/>
    <s v="EXP3: P-Card Accrual"/>
    <s v="HeatherWe"/>
    <s v="0/JE IC"/>
    <m/>
    <m/>
    <x v="56"/>
    <m/>
    <m/>
    <m/>
    <m/>
    <m/>
    <m/>
    <s v="JRNL00854580"/>
    <s v="JRNL00854694"/>
    <m/>
    <d v="2017-08-07T00:00:00"/>
    <d v="2017-08-07T00:00:00"/>
    <m/>
    <m/>
    <s v="wci_wa"/>
    <n v="0"/>
    <n v="0"/>
    <n v="0"/>
    <n v="0"/>
    <n v="5"/>
    <n v="1"/>
    <n v="60225"/>
    <n v="2010"/>
    <n v="0"/>
    <n v="0"/>
    <m/>
    <m/>
    <m/>
    <m/>
    <s v=""/>
  </r>
  <r>
    <s v="60225-2010-000-00"/>
    <d v="2017-08-31T00:00:00"/>
    <n v="-2480.25"/>
    <n v="0"/>
    <s v="USD"/>
    <s v="JRNLWA00358840"/>
    <s v="P"/>
    <s v="EXP3: P-Card Accrual"/>
    <s v="HeatherWe"/>
    <s v="0/JE IC"/>
    <m/>
    <m/>
    <x v="57"/>
    <m/>
    <m/>
    <m/>
    <m/>
    <m/>
    <m/>
    <s v="JRNL00854580"/>
    <s v="JRNL00854694"/>
    <m/>
    <d v="2017-08-07T00:00:00"/>
    <d v="2017-08-07T00:00:00"/>
    <m/>
    <m/>
    <s v="wci_wa"/>
    <n v="0"/>
    <n v="0"/>
    <n v="0"/>
    <n v="0"/>
    <n v="5"/>
    <n v="1"/>
    <n v="60225"/>
    <n v="2010"/>
    <n v="0"/>
    <n v="0"/>
    <m/>
    <m/>
    <m/>
    <m/>
    <s v=""/>
  </r>
  <r>
    <s v="60225-2010-000-00"/>
    <d v="2017-08-31T00:00:00"/>
    <n v="-128.12"/>
    <n v="0"/>
    <s v="USD"/>
    <s v="JRNLWA00358840"/>
    <s v="P"/>
    <s v="EXP3: P-Card Accrual"/>
    <s v="HeatherWe"/>
    <s v="0/JE IC"/>
    <m/>
    <m/>
    <x v="58"/>
    <m/>
    <m/>
    <m/>
    <m/>
    <m/>
    <m/>
    <s v="JRNL00854580"/>
    <s v="JRNL00854694"/>
    <m/>
    <d v="2017-08-07T00:00:00"/>
    <d v="2017-08-07T00:00:00"/>
    <m/>
    <m/>
    <s v="wci_wa"/>
    <n v="0"/>
    <n v="0"/>
    <n v="0"/>
    <n v="0"/>
    <n v="5"/>
    <n v="1"/>
    <n v="60225"/>
    <n v="2010"/>
    <n v="0"/>
    <n v="0"/>
    <m/>
    <m/>
    <m/>
    <m/>
    <s v=""/>
  </r>
  <r>
    <s v="60225-2010-000-00"/>
    <d v="2017-08-31T00:00:00"/>
    <n v="-300"/>
    <n v="0"/>
    <s v="USD"/>
    <s v="JRNLWA00358842"/>
    <s v="P"/>
    <s v="Exp2: PO Log Accrual"/>
    <s v="HeatherWe"/>
    <s v="0/JE IC"/>
    <m/>
    <m/>
    <x v="22"/>
    <m/>
    <m/>
    <m/>
    <m/>
    <m/>
    <m/>
    <s v="JRNL00854582"/>
    <s v="JRNL00854696"/>
    <m/>
    <d v="2017-08-07T00:00:00"/>
    <d v="2017-08-07T00:00:00"/>
    <m/>
    <m/>
    <s v="wci_wa"/>
    <n v="0"/>
    <n v="0"/>
    <n v="0"/>
    <n v="0"/>
    <n v="5"/>
    <n v="1"/>
    <n v="60225"/>
    <n v="2010"/>
    <n v="0"/>
    <n v="0"/>
    <m/>
    <m/>
    <m/>
    <m/>
    <s v=""/>
  </r>
  <r>
    <s v="60225-2010-000-00"/>
    <d v="2017-08-31T00:00:00"/>
    <n v="-114.63"/>
    <n v="0"/>
    <s v="USD"/>
    <s v="JRNLWA00358842"/>
    <s v="P"/>
    <s v="Exp2: PO Log Accrual"/>
    <s v="HeatherWe"/>
    <s v="0/JE IC"/>
    <m/>
    <m/>
    <x v="47"/>
    <m/>
    <m/>
    <m/>
    <m/>
    <m/>
    <m/>
    <s v="JRNL00854582"/>
    <s v="JRNL00854696"/>
    <m/>
    <d v="2017-08-07T00:00:00"/>
    <d v="2017-08-07T00:00:00"/>
    <m/>
    <m/>
    <s v="wci_wa"/>
    <n v="0"/>
    <n v="0"/>
    <n v="0"/>
    <n v="0"/>
    <n v="5"/>
    <n v="1"/>
    <n v="60225"/>
    <n v="2010"/>
    <n v="0"/>
    <n v="0"/>
    <m/>
    <m/>
    <m/>
    <m/>
    <s v=""/>
  </r>
  <r>
    <s v="60225-2010-000-00"/>
    <d v="2017-08-31T00:00:00"/>
    <n v="-917.88"/>
    <n v="0"/>
    <s v="USD"/>
    <s v="JRNLWA00358842"/>
    <s v="P"/>
    <s v="Exp2: PO Log Accrual"/>
    <s v="HeatherWe"/>
    <s v="0/JE IC"/>
    <m/>
    <m/>
    <x v="48"/>
    <m/>
    <m/>
    <m/>
    <m/>
    <m/>
    <m/>
    <s v="JRNL00854582"/>
    <s v="JRNL00854696"/>
    <m/>
    <d v="2017-08-07T00:00:00"/>
    <d v="2017-08-07T00:00:00"/>
    <m/>
    <m/>
    <s v="wci_wa"/>
    <n v="0"/>
    <n v="0"/>
    <n v="0"/>
    <n v="0"/>
    <n v="5"/>
    <n v="1"/>
    <n v="60225"/>
    <n v="2010"/>
    <n v="0"/>
    <n v="0"/>
    <m/>
    <m/>
    <m/>
    <m/>
    <s v=""/>
  </r>
  <r>
    <s v="60225-2010-000-00"/>
    <d v="2017-08-31T00:00:00"/>
    <n v="-165.29"/>
    <n v="0"/>
    <s v="USD"/>
    <s v="JRNLWA00358842"/>
    <s v="P"/>
    <s v="Exp2: PO Log Accrual"/>
    <s v="HeatherWe"/>
    <s v="0/JE IC"/>
    <m/>
    <m/>
    <x v="59"/>
    <m/>
    <m/>
    <m/>
    <m/>
    <m/>
    <m/>
    <s v="JRNL00854582"/>
    <s v="JRNL00854696"/>
    <m/>
    <d v="2017-08-07T00:00:00"/>
    <d v="2017-08-07T00:00:00"/>
    <m/>
    <m/>
    <s v="wci_wa"/>
    <n v="0"/>
    <n v="0"/>
    <n v="0"/>
    <n v="0"/>
    <n v="5"/>
    <n v="1"/>
    <n v="60225"/>
    <n v="2010"/>
    <n v="0"/>
    <n v="0"/>
    <m/>
    <m/>
    <m/>
    <m/>
    <s v=""/>
  </r>
  <r>
    <s v="60225-2010-000-00"/>
    <d v="2017-08-31T00:00:00"/>
    <n v="300"/>
    <n v="0"/>
    <s v="USD"/>
    <s v="JRNLWA00359794"/>
    <s v="P"/>
    <s v="PCard Activity - Aug - Western"/>
    <s v="HeatherWe"/>
    <s v="0/JE IC"/>
    <m/>
    <m/>
    <x v="5"/>
    <m/>
    <m/>
    <m/>
    <m/>
    <m/>
    <m/>
    <s v="JRNL00857227"/>
    <s v="JRNL00857227"/>
    <m/>
    <d v="2017-09-05T00:00:00"/>
    <d v="2017-09-06T00:00:00"/>
    <m/>
    <m/>
    <s v="wci_wa"/>
    <n v="0"/>
    <n v="0"/>
    <n v="0"/>
    <n v="0"/>
    <n v="0"/>
    <n v="1"/>
    <n v="60225"/>
    <n v="2010"/>
    <n v="0"/>
    <n v="0"/>
    <m/>
    <m/>
    <m/>
    <m/>
    <s v=""/>
  </r>
  <r>
    <s v="60225-2010-000-00"/>
    <d v="2017-08-31T00:00:00"/>
    <n v="114.63"/>
    <n v="0"/>
    <s v="USD"/>
    <s v="JRNLWA00359794"/>
    <s v="P"/>
    <s v="PCard Activity - Aug - Western"/>
    <s v="HeatherWe"/>
    <s v="0/JE IC"/>
    <m/>
    <m/>
    <x v="39"/>
    <m/>
    <m/>
    <m/>
    <m/>
    <m/>
    <m/>
    <s v="JRNL00857227"/>
    <s v="JRNL00857227"/>
    <m/>
    <d v="2017-09-05T00:00:00"/>
    <d v="2017-09-06T00:00:00"/>
    <m/>
    <m/>
    <s v="wci_wa"/>
    <n v="0"/>
    <n v="0"/>
    <n v="0"/>
    <n v="0"/>
    <n v="0"/>
    <n v="1"/>
    <n v="60225"/>
    <n v="2010"/>
    <n v="0"/>
    <n v="0"/>
    <m/>
    <m/>
    <m/>
    <m/>
    <s v=""/>
  </r>
  <r>
    <s v="60225-2010-000-00"/>
    <d v="2017-08-31T00:00:00"/>
    <n v="917.88"/>
    <n v="0"/>
    <s v="USD"/>
    <s v="JRNLWA00359794"/>
    <s v="P"/>
    <s v="PCard Activity - Aug - Western"/>
    <s v="HeatherWe"/>
    <s v="0/JE IC"/>
    <m/>
    <m/>
    <x v="39"/>
    <m/>
    <m/>
    <m/>
    <m/>
    <m/>
    <m/>
    <s v="JRNL00857227"/>
    <s v="JRNL00857227"/>
    <m/>
    <d v="2017-09-05T00:00:00"/>
    <d v="2017-09-06T00:00:00"/>
    <m/>
    <m/>
    <s v="wci_wa"/>
    <n v="0"/>
    <n v="0"/>
    <n v="0"/>
    <n v="0"/>
    <n v="0"/>
    <n v="1"/>
    <n v="60225"/>
    <n v="2010"/>
    <n v="0"/>
    <n v="0"/>
    <m/>
    <m/>
    <m/>
    <m/>
    <s v=""/>
  </r>
  <r>
    <s v="60225-2010-000-00"/>
    <d v="2017-08-31T00:00:00"/>
    <n v="3034.01"/>
    <n v="0"/>
    <s v="USD"/>
    <s v="JRNLWA00359794"/>
    <s v="P"/>
    <s v="PCard Activity - Aug - Western"/>
    <s v="HeatherWe"/>
    <s v="0/JE IC"/>
    <m/>
    <m/>
    <x v="60"/>
    <m/>
    <m/>
    <m/>
    <m/>
    <m/>
    <m/>
    <s v="JRNL00857227"/>
    <s v="JRNL00857227"/>
    <m/>
    <d v="2017-09-05T00:00:00"/>
    <d v="2017-09-06T00:00:00"/>
    <m/>
    <m/>
    <s v="wci_wa"/>
    <n v="0"/>
    <n v="0"/>
    <n v="0"/>
    <n v="0"/>
    <n v="0"/>
    <n v="1"/>
    <n v="60225"/>
    <n v="2010"/>
    <n v="0"/>
    <n v="0"/>
    <m/>
    <m/>
    <m/>
    <m/>
    <s v=""/>
  </r>
  <r>
    <s v="60225-2010-000-00"/>
    <d v="2017-08-31T00:00:00"/>
    <n v="8134.34"/>
    <n v="0"/>
    <s v="USD"/>
    <s v="JRNLWA00359794"/>
    <s v="P"/>
    <s v="PCard Activity - Aug - Western"/>
    <s v="HeatherWe"/>
    <s v="0/JE IC"/>
    <m/>
    <m/>
    <x v="56"/>
    <m/>
    <m/>
    <m/>
    <m/>
    <m/>
    <m/>
    <s v="JRNL00857227"/>
    <s v="JRNL00857227"/>
    <m/>
    <d v="2017-09-05T00:00:00"/>
    <d v="2017-09-06T00:00:00"/>
    <m/>
    <m/>
    <s v="wci_wa"/>
    <n v="0"/>
    <n v="0"/>
    <n v="0"/>
    <n v="0"/>
    <n v="0"/>
    <n v="1"/>
    <n v="60225"/>
    <n v="2010"/>
    <n v="0"/>
    <n v="0"/>
    <m/>
    <m/>
    <m/>
    <m/>
    <s v=""/>
  </r>
  <r>
    <s v="60225-2010-000-00"/>
    <d v="2017-08-31T00:00:00"/>
    <n v="2480.25"/>
    <n v="0"/>
    <s v="USD"/>
    <s v="JRNLWA00359794"/>
    <s v="P"/>
    <s v="PCard Activity - Aug - Western"/>
    <s v="HeatherWe"/>
    <s v="0/JE IC"/>
    <m/>
    <m/>
    <x v="57"/>
    <m/>
    <m/>
    <m/>
    <m/>
    <m/>
    <m/>
    <s v="JRNL00857227"/>
    <s v="JRNL00857227"/>
    <m/>
    <d v="2017-09-05T00:00:00"/>
    <d v="2017-09-06T00:00:00"/>
    <m/>
    <m/>
    <s v="wci_wa"/>
    <n v="0"/>
    <n v="0"/>
    <n v="0"/>
    <n v="0"/>
    <n v="0"/>
    <n v="1"/>
    <n v="60225"/>
    <n v="2010"/>
    <n v="0"/>
    <n v="0"/>
    <m/>
    <m/>
    <m/>
    <m/>
    <s v=""/>
  </r>
  <r>
    <s v="60225-2010-000-00"/>
    <d v="2017-08-31T00:00:00"/>
    <n v="2427.08"/>
    <n v="0"/>
    <s v="USD"/>
    <s v="JRNLWA00359794"/>
    <s v="P"/>
    <s v="PCard Activity - Aug - Western"/>
    <s v="HeatherWe"/>
    <s v="0/JE IC"/>
    <m/>
    <m/>
    <x v="57"/>
    <m/>
    <m/>
    <m/>
    <m/>
    <m/>
    <m/>
    <s v="JRNL00857227"/>
    <s v="JRNL00857227"/>
    <m/>
    <d v="2017-09-05T00:00:00"/>
    <d v="2017-09-06T00:00:00"/>
    <m/>
    <m/>
    <s v="wci_wa"/>
    <n v="0"/>
    <n v="0"/>
    <n v="0"/>
    <n v="0"/>
    <n v="0"/>
    <n v="1"/>
    <n v="60225"/>
    <n v="2010"/>
    <n v="0"/>
    <n v="0"/>
    <m/>
    <m/>
    <m/>
    <m/>
    <s v=""/>
  </r>
  <r>
    <s v="60225-2010-000-00"/>
    <d v="2017-08-31T00:00:00"/>
    <n v="128.12"/>
    <n v="0"/>
    <s v="USD"/>
    <s v="JRNLWA00359794"/>
    <s v="P"/>
    <s v="PCard Activity - Aug - Western"/>
    <s v="HeatherWe"/>
    <s v="0/JE IC"/>
    <m/>
    <m/>
    <x v="58"/>
    <m/>
    <m/>
    <m/>
    <m/>
    <m/>
    <m/>
    <s v="JRNL00857227"/>
    <s v="JRNL00857227"/>
    <m/>
    <d v="2017-09-05T00:00:00"/>
    <d v="2017-09-06T00:00:00"/>
    <m/>
    <m/>
    <s v="wci_wa"/>
    <n v="0"/>
    <n v="0"/>
    <n v="0"/>
    <n v="0"/>
    <n v="0"/>
    <n v="1"/>
    <n v="60225"/>
    <n v="2010"/>
    <n v="0"/>
    <n v="0"/>
    <m/>
    <m/>
    <m/>
    <m/>
    <s v=""/>
  </r>
  <r>
    <s v="60225-2010-000-00"/>
    <d v="2017-08-31T00:00:00"/>
    <n v="213.28"/>
    <n v="0"/>
    <s v="USD"/>
    <s v="JRNLWA00359794"/>
    <s v="P"/>
    <s v="PCard Activity - Aug - Western"/>
    <s v="HeatherWe"/>
    <s v="0/JE IC"/>
    <m/>
    <m/>
    <x v="39"/>
    <m/>
    <m/>
    <m/>
    <m/>
    <m/>
    <m/>
    <s v="JRNL00857227"/>
    <s v="JRNL00857227"/>
    <m/>
    <d v="2017-09-05T00:00:00"/>
    <d v="2017-09-06T00:00:00"/>
    <m/>
    <m/>
    <s v="wci_wa"/>
    <n v="0"/>
    <n v="0"/>
    <n v="0"/>
    <n v="0"/>
    <n v="0"/>
    <n v="1"/>
    <n v="60225"/>
    <n v="2010"/>
    <n v="0"/>
    <n v="0"/>
    <m/>
    <m/>
    <m/>
    <m/>
    <s v=""/>
  </r>
  <r>
    <s v="60225-2010-000-00"/>
    <d v="2017-08-31T00:00:00"/>
    <n v="727.13"/>
    <n v="0"/>
    <s v="USD"/>
    <s v="JRNLWA00360296"/>
    <s v="P"/>
    <s v="Exp2: PO Log Accrual"/>
    <s v="HeatherWe"/>
    <s v="0/JE IC"/>
    <m/>
    <m/>
    <x v="22"/>
    <m/>
    <m/>
    <m/>
    <m/>
    <m/>
    <m/>
    <s v="JRNL00858320"/>
    <s v="JRNL00858320"/>
    <m/>
    <d v="2017-09-07T00:00:00"/>
    <d v="2017-09-07T00:00:00"/>
    <m/>
    <m/>
    <s v="wci_wa"/>
    <n v="0"/>
    <n v="0"/>
    <n v="0"/>
    <n v="0"/>
    <n v="0"/>
    <n v="1"/>
    <n v="60225"/>
    <n v="2010"/>
    <n v="0"/>
    <n v="0"/>
    <m/>
    <m/>
    <m/>
    <m/>
    <s v=""/>
  </r>
  <r>
    <s v="60225-2010-000-00"/>
    <d v="2017-08-31T00:00:00"/>
    <n v="165.29"/>
    <n v="0"/>
    <s v="USD"/>
    <s v="JRNLWA00360296"/>
    <s v="P"/>
    <s v="Exp2: PO Log Accrual"/>
    <s v="HeatherWe"/>
    <s v="0/JE IC"/>
    <m/>
    <m/>
    <x v="59"/>
    <m/>
    <m/>
    <m/>
    <m/>
    <m/>
    <m/>
    <s v="JRNL00858320"/>
    <s v="JRNL00858320"/>
    <m/>
    <d v="2017-09-07T00:00:00"/>
    <d v="2017-09-07T00:00:00"/>
    <m/>
    <m/>
    <s v="wci_wa"/>
    <n v="0"/>
    <n v="0"/>
    <n v="0"/>
    <n v="0"/>
    <n v="0"/>
    <n v="1"/>
    <n v="60225"/>
    <n v="2010"/>
    <n v="0"/>
    <n v="0"/>
    <m/>
    <m/>
    <m/>
    <m/>
    <s v=""/>
  </r>
  <r>
    <s v="60225-2010-000-00"/>
    <d v="2017-08-31T00:00:00"/>
    <n v="30.36"/>
    <n v="0"/>
    <s v="USD"/>
    <s v="JRNLWA00360296"/>
    <s v="P"/>
    <s v="Exp2: PO Log Accrual"/>
    <s v="HeatherWe"/>
    <s v="0/JE IC"/>
    <m/>
    <m/>
    <x v="61"/>
    <m/>
    <m/>
    <m/>
    <m/>
    <m/>
    <m/>
    <s v="JRNL00858320"/>
    <s v="JRNL00858320"/>
    <m/>
    <d v="2017-09-07T00:00:00"/>
    <d v="2017-09-07T00:00:00"/>
    <m/>
    <m/>
    <s v="wci_wa"/>
    <n v="0"/>
    <n v="0"/>
    <n v="0"/>
    <n v="0"/>
    <n v="0"/>
    <n v="1"/>
    <n v="60225"/>
    <n v="2010"/>
    <n v="0"/>
    <n v="0"/>
    <m/>
    <m/>
    <m/>
    <m/>
    <s v=""/>
  </r>
  <r>
    <s v="60225-2010-000-00"/>
    <d v="2017-08-31T00:00:00"/>
    <n v="459.75"/>
    <n v="0"/>
    <s v="USD"/>
    <s v="JRNLWA00360296"/>
    <s v="P"/>
    <s v="Exp2: PO Log Accrual"/>
    <s v="HeatherWe"/>
    <s v="0/JE IC"/>
    <m/>
    <m/>
    <x v="62"/>
    <m/>
    <m/>
    <m/>
    <m/>
    <m/>
    <m/>
    <s v="JRNL00858320"/>
    <s v="JRNL00858320"/>
    <m/>
    <d v="2017-09-07T00:00:00"/>
    <d v="2017-09-07T00:00:00"/>
    <m/>
    <m/>
    <s v="wci_wa"/>
    <n v="0"/>
    <n v="0"/>
    <n v="0"/>
    <n v="0"/>
    <n v="0"/>
    <n v="1"/>
    <n v="60225"/>
    <n v="2010"/>
    <n v="0"/>
    <n v="0"/>
    <m/>
    <m/>
    <m/>
    <m/>
    <s v=""/>
  </r>
  <r>
    <s v="60225-2010-000-00"/>
    <d v="2017-08-31T00:00:00"/>
    <n v="304.58999999999997"/>
    <n v="0"/>
    <s v="USD"/>
    <s v="JRNLWA00360296"/>
    <s v="P"/>
    <s v="Exp2: PO Log Accrual"/>
    <s v="HeatherWe"/>
    <s v="0/JE IC"/>
    <m/>
    <m/>
    <x v="63"/>
    <m/>
    <m/>
    <m/>
    <m/>
    <m/>
    <m/>
    <s v="JRNL00858320"/>
    <s v="JRNL00858320"/>
    <m/>
    <d v="2017-09-07T00:00:00"/>
    <d v="2017-09-07T00:00:00"/>
    <m/>
    <m/>
    <s v="wci_wa"/>
    <n v="0"/>
    <n v="0"/>
    <n v="0"/>
    <n v="0"/>
    <n v="0"/>
    <n v="1"/>
    <n v="60225"/>
    <n v="2010"/>
    <n v="0"/>
    <n v="0"/>
    <m/>
    <m/>
    <m/>
    <m/>
    <s v=""/>
  </r>
  <r>
    <s v="60225-2010-000-00"/>
    <d v="2017-08-31T00:00:00"/>
    <n v="79.400000000000006"/>
    <n v="0"/>
    <s v="USD"/>
    <s v="JRNLWA00360296"/>
    <s v="P"/>
    <s v="Exp2: PO Log Accrual"/>
    <s v="HeatherWe"/>
    <s v="0/JE IC"/>
    <m/>
    <m/>
    <x v="64"/>
    <m/>
    <m/>
    <m/>
    <m/>
    <m/>
    <m/>
    <s v="JRNL00858320"/>
    <s v="JRNL00858320"/>
    <m/>
    <d v="2017-09-07T00:00:00"/>
    <d v="2017-09-07T00:00:00"/>
    <m/>
    <m/>
    <s v="wci_wa"/>
    <n v="0"/>
    <n v="0"/>
    <n v="0"/>
    <n v="0"/>
    <n v="0"/>
    <n v="1"/>
    <n v="60225"/>
    <n v="2010"/>
    <n v="0"/>
    <n v="0"/>
    <m/>
    <m/>
    <m/>
    <m/>
    <s v=""/>
  </r>
  <r>
    <s v="60225-2010-000-00"/>
    <d v="2017-09-30T00:00:00"/>
    <n v="-727.13"/>
    <n v="0"/>
    <s v="USD"/>
    <s v="JRNLWA00360332"/>
    <s v="P"/>
    <s v="Exp2: PO Log Accrual"/>
    <s v="HeatherWe"/>
    <s v="0/JE IC"/>
    <m/>
    <m/>
    <x v="22"/>
    <m/>
    <m/>
    <m/>
    <m/>
    <m/>
    <m/>
    <s v="JRNL00858320"/>
    <s v="JRNL00858336"/>
    <m/>
    <d v="2017-09-07T00:00:00"/>
    <d v="2017-09-07T00:00:00"/>
    <m/>
    <m/>
    <s v="wci_wa"/>
    <n v="0"/>
    <n v="0"/>
    <n v="0"/>
    <n v="0"/>
    <n v="5"/>
    <n v="1"/>
    <n v="60225"/>
    <n v="2010"/>
    <n v="0"/>
    <n v="0"/>
    <m/>
    <m/>
    <m/>
    <m/>
    <s v=""/>
  </r>
  <r>
    <s v="60225-2010-000-00"/>
    <d v="2017-09-30T00:00:00"/>
    <n v="-165.29"/>
    <n v="0"/>
    <s v="USD"/>
    <s v="JRNLWA00360332"/>
    <s v="P"/>
    <s v="Exp2: PO Log Accrual"/>
    <s v="HeatherWe"/>
    <s v="0/JE IC"/>
    <m/>
    <m/>
    <x v="59"/>
    <m/>
    <m/>
    <m/>
    <m/>
    <m/>
    <m/>
    <s v="JRNL00858320"/>
    <s v="JRNL00858336"/>
    <m/>
    <d v="2017-09-07T00:00:00"/>
    <d v="2017-09-07T00:00:00"/>
    <m/>
    <m/>
    <s v="wci_wa"/>
    <n v="0"/>
    <n v="0"/>
    <n v="0"/>
    <n v="0"/>
    <n v="5"/>
    <n v="1"/>
    <n v="60225"/>
    <n v="2010"/>
    <n v="0"/>
    <n v="0"/>
    <m/>
    <m/>
    <m/>
    <m/>
    <s v=""/>
  </r>
  <r>
    <s v="60225-2010-000-00"/>
    <d v="2017-09-30T00:00:00"/>
    <n v="-30.36"/>
    <n v="0"/>
    <s v="USD"/>
    <s v="JRNLWA00360332"/>
    <s v="P"/>
    <s v="Exp2: PO Log Accrual"/>
    <s v="HeatherWe"/>
    <s v="0/JE IC"/>
    <m/>
    <m/>
    <x v="61"/>
    <m/>
    <m/>
    <m/>
    <m/>
    <m/>
    <m/>
    <s v="JRNL00858320"/>
    <s v="JRNL00858336"/>
    <m/>
    <d v="2017-09-07T00:00:00"/>
    <d v="2017-09-07T00:00:00"/>
    <m/>
    <m/>
    <s v="wci_wa"/>
    <n v="0"/>
    <n v="0"/>
    <n v="0"/>
    <n v="0"/>
    <n v="5"/>
    <n v="1"/>
    <n v="60225"/>
    <n v="2010"/>
    <n v="0"/>
    <n v="0"/>
    <m/>
    <m/>
    <m/>
    <m/>
    <s v=""/>
  </r>
  <r>
    <s v="60225-2010-000-00"/>
    <d v="2017-09-30T00:00:00"/>
    <n v="-459.75"/>
    <n v="0"/>
    <s v="USD"/>
    <s v="JRNLWA00360332"/>
    <s v="P"/>
    <s v="Exp2: PO Log Accrual"/>
    <s v="HeatherWe"/>
    <s v="0/JE IC"/>
    <m/>
    <m/>
    <x v="62"/>
    <m/>
    <m/>
    <m/>
    <m/>
    <m/>
    <m/>
    <s v="JRNL00858320"/>
    <s v="JRNL00858336"/>
    <m/>
    <d v="2017-09-07T00:00:00"/>
    <d v="2017-09-07T00:00:00"/>
    <m/>
    <m/>
    <s v="wci_wa"/>
    <n v="0"/>
    <n v="0"/>
    <n v="0"/>
    <n v="0"/>
    <n v="5"/>
    <n v="1"/>
    <n v="60225"/>
    <n v="2010"/>
    <n v="0"/>
    <n v="0"/>
    <m/>
    <m/>
    <m/>
    <m/>
    <s v=""/>
  </r>
  <r>
    <s v="60225-2010-000-00"/>
    <d v="2017-09-30T00:00:00"/>
    <n v="-304.58999999999997"/>
    <n v="0"/>
    <s v="USD"/>
    <s v="JRNLWA00360332"/>
    <s v="P"/>
    <s v="Exp2: PO Log Accrual"/>
    <s v="HeatherWe"/>
    <s v="0/JE IC"/>
    <m/>
    <m/>
    <x v="63"/>
    <m/>
    <m/>
    <m/>
    <m/>
    <m/>
    <m/>
    <s v="JRNL00858320"/>
    <s v="JRNL00858336"/>
    <m/>
    <d v="2017-09-07T00:00:00"/>
    <d v="2017-09-07T00:00:00"/>
    <m/>
    <m/>
    <s v="wci_wa"/>
    <n v="0"/>
    <n v="0"/>
    <n v="0"/>
    <n v="0"/>
    <n v="5"/>
    <n v="1"/>
    <n v="60225"/>
    <n v="2010"/>
    <n v="0"/>
    <n v="0"/>
    <m/>
    <m/>
    <m/>
    <m/>
    <s v=""/>
  </r>
  <r>
    <s v="60225-2010-000-00"/>
    <d v="2017-09-30T00:00:00"/>
    <n v="-79.400000000000006"/>
    <n v="0"/>
    <s v="USD"/>
    <s v="JRNLWA00360332"/>
    <s v="P"/>
    <s v="Exp2: PO Log Accrual"/>
    <s v="HeatherWe"/>
    <s v="0/JE IC"/>
    <m/>
    <m/>
    <x v="64"/>
    <m/>
    <m/>
    <m/>
    <m/>
    <m/>
    <m/>
    <s v="JRNL00858320"/>
    <s v="JRNL00858336"/>
    <m/>
    <d v="2017-09-07T00:00:00"/>
    <d v="2017-09-07T00:00:00"/>
    <m/>
    <m/>
    <s v="wci_wa"/>
    <n v="0"/>
    <n v="0"/>
    <n v="0"/>
    <n v="0"/>
    <n v="5"/>
    <n v="1"/>
    <n v="60225"/>
    <n v="2010"/>
    <n v="0"/>
    <n v="0"/>
    <m/>
    <m/>
    <m/>
    <m/>
    <s v=""/>
  </r>
  <r>
    <s v="60225-2010-000-00"/>
    <d v="2017-09-30T00:00:00"/>
    <n v="727.13"/>
    <n v="0"/>
    <s v="USD"/>
    <s v="JRNLWA00361268"/>
    <s v="P"/>
    <s v="PCard Activity - Sep - Western"/>
    <s v="HeatherWe"/>
    <s v="0/JE IC"/>
    <m/>
    <m/>
    <x v="5"/>
    <m/>
    <m/>
    <m/>
    <m/>
    <m/>
    <m/>
    <s v="JRNL00860630"/>
    <s v="JRNL00860630"/>
    <m/>
    <d v="2017-10-03T00:00:00"/>
    <d v="2017-10-03T00:00:00"/>
    <m/>
    <m/>
    <s v="wci_wa"/>
    <n v="0"/>
    <n v="0"/>
    <n v="0"/>
    <n v="0"/>
    <n v="0"/>
    <n v="1"/>
    <n v="60225"/>
    <n v="2010"/>
    <n v="0"/>
    <n v="0"/>
    <m/>
    <m/>
    <m/>
    <m/>
    <s v=""/>
  </r>
  <r>
    <s v="60225-2010-000-00"/>
    <d v="2017-09-30T00:00:00"/>
    <n v="165.29"/>
    <n v="0"/>
    <s v="USD"/>
    <s v="JRNLWA00361268"/>
    <s v="P"/>
    <s v="PCard Activity - Sep - Western"/>
    <s v="HeatherWe"/>
    <s v="0/JE IC"/>
    <m/>
    <m/>
    <x v="65"/>
    <m/>
    <m/>
    <m/>
    <m/>
    <m/>
    <m/>
    <s v="JRNL00860630"/>
    <s v="JRNL00860630"/>
    <m/>
    <d v="2017-10-03T00:00:00"/>
    <d v="2017-10-03T00:00:00"/>
    <m/>
    <m/>
    <s v="wci_wa"/>
    <n v="0"/>
    <n v="0"/>
    <n v="0"/>
    <n v="0"/>
    <n v="0"/>
    <n v="1"/>
    <n v="60225"/>
    <n v="2010"/>
    <n v="0"/>
    <n v="0"/>
    <m/>
    <m/>
    <m/>
    <m/>
    <s v=""/>
  </r>
  <r>
    <s v="60225-2010-000-00"/>
    <d v="2017-09-30T00:00:00"/>
    <n v="30.36"/>
    <n v="0"/>
    <s v="USD"/>
    <s v="JRNLWA00361268"/>
    <s v="P"/>
    <s v="PCard Activity - Sep - Western"/>
    <s v="HeatherWe"/>
    <s v="0/JE IC"/>
    <m/>
    <m/>
    <x v="39"/>
    <m/>
    <m/>
    <m/>
    <m/>
    <m/>
    <m/>
    <s v="JRNL00860630"/>
    <s v="JRNL00860630"/>
    <m/>
    <d v="2017-10-03T00:00:00"/>
    <d v="2017-10-03T00:00:00"/>
    <m/>
    <m/>
    <s v="wci_wa"/>
    <n v="0"/>
    <n v="0"/>
    <n v="0"/>
    <n v="0"/>
    <n v="0"/>
    <n v="1"/>
    <n v="60225"/>
    <n v="2010"/>
    <n v="0"/>
    <n v="0"/>
    <m/>
    <m/>
    <m/>
    <m/>
    <s v=""/>
  </r>
  <r>
    <s v="60225-2010-000-00"/>
    <d v="2017-09-30T00:00:00"/>
    <n v="459.75"/>
    <n v="0"/>
    <s v="USD"/>
    <s v="JRNLWA00361268"/>
    <s v="P"/>
    <s v="PCard Activity - Sep - Western"/>
    <s v="HeatherWe"/>
    <s v="0/JE IC"/>
    <m/>
    <m/>
    <x v="60"/>
    <m/>
    <m/>
    <m/>
    <m/>
    <m/>
    <m/>
    <s v="JRNL00860630"/>
    <s v="JRNL00860630"/>
    <m/>
    <d v="2017-10-03T00:00:00"/>
    <d v="2017-10-03T00:00:00"/>
    <m/>
    <m/>
    <s v="wci_wa"/>
    <n v="0"/>
    <n v="0"/>
    <n v="0"/>
    <n v="0"/>
    <n v="0"/>
    <n v="1"/>
    <n v="60225"/>
    <n v="2010"/>
    <n v="0"/>
    <n v="0"/>
    <m/>
    <m/>
    <m/>
    <m/>
    <s v=""/>
  </r>
  <r>
    <s v="60225-2010-000-00"/>
    <d v="2017-09-30T00:00:00"/>
    <n v="304.58999999999997"/>
    <n v="0"/>
    <s v="USD"/>
    <s v="JRNLWA00361268"/>
    <s v="P"/>
    <s v="PCard Activity - Sep - Western"/>
    <s v="HeatherWe"/>
    <s v="0/JE IC"/>
    <m/>
    <m/>
    <x v="65"/>
    <m/>
    <m/>
    <m/>
    <m/>
    <m/>
    <m/>
    <s v="JRNL00860630"/>
    <s v="JRNL00860630"/>
    <m/>
    <d v="2017-10-03T00:00:00"/>
    <d v="2017-10-03T00:00:00"/>
    <m/>
    <m/>
    <s v="wci_wa"/>
    <n v="0"/>
    <n v="0"/>
    <n v="0"/>
    <n v="0"/>
    <n v="0"/>
    <n v="1"/>
    <n v="60225"/>
    <n v="2010"/>
    <n v="0"/>
    <n v="0"/>
    <m/>
    <m/>
    <m/>
    <m/>
    <s v=""/>
  </r>
  <r>
    <s v="60225-2010-000-00"/>
    <d v="2017-09-30T00:00:00"/>
    <n v="79.400000000000006"/>
    <n v="0"/>
    <s v="USD"/>
    <s v="JRNLWA00361268"/>
    <s v="P"/>
    <s v="PCard Activity - Sep - Western"/>
    <s v="HeatherWe"/>
    <s v="0/JE IC"/>
    <m/>
    <m/>
    <x v="39"/>
    <m/>
    <m/>
    <m/>
    <m/>
    <m/>
    <m/>
    <s v="JRNL00860630"/>
    <s v="JRNL00860630"/>
    <m/>
    <d v="2017-10-03T00:00:00"/>
    <d v="2017-10-03T00:00:00"/>
    <m/>
    <m/>
    <s v="wci_wa"/>
    <n v="0"/>
    <n v="0"/>
    <n v="0"/>
    <n v="0"/>
    <n v="0"/>
    <n v="1"/>
    <n v="60225"/>
    <n v="2010"/>
    <n v="0"/>
    <n v="0"/>
    <m/>
    <m/>
    <m/>
    <m/>
    <s v=""/>
  </r>
  <r>
    <s v="60225-2010-000-00"/>
    <d v="2017-09-30T00:00:00"/>
    <n v="9"/>
    <n v="0"/>
    <s v="USD"/>
    <s v="JRNLWA00361268"/>
    <s v="P"/>
    <s v="PCard Activity - Sep - Western"/>
    <s v="HeatherWe"/>
    <s v="0/JE IC"/>
    <m/>
    <m/>
    <x v="66"/>
    <m/>
    <m/>
    <m/>
    <m/>
    <m/>
    <m/>
    <s v="JRNL00860630"/>
    <s v="JRNL00860630"/>
    <m/>
    <d v="2017-10-03T00:00:00"/>
    <d v="2017-10-03T00:00:00"/>
    <m/>
    <m/>
    <s v="wci_wa"/>
    <n v="0"/>
    <n v="0"/>
    <n v="0"/>
    <n v="0"/>
    <n v="0"/>
    <n v="1"/>
    <n v="60225"/>
    <n v="2010"/>
    <n v="0"/>
    <n v="0"/>
    <m/>
    <m/>
    <m/>
    <m/>
    <s v=""/>
  </r>
  <r>
    <s v="60225-2010-000-00"/>
    <d v="2017-09-30T00:00:00"/>
    <n v="606"/>
    <n v="0"/>
    <s v="USD"/>
    <s v="JRNLWA00361771"/>
    <s v="P"/>
    <s v="Exp2: PO Log Accrual"/>
    <s v="HeatherWe"/>
    <s v="0/JE IC"/>
    <m/>
    <m/>
    <x v="22"/>
    <m/>
    <m/>
    <m/>
    <m/>
    <m/>
    <m/>
    <s v="JRNL00861774"/>
    <s v="JRNL00861774"/>
    <m/>
    <d v="2017-10-05T00:00:00"/>
    <d v="2017-10-05T00:00:00"/>
    <m/>
    <m/>
    <s v="wci_wa"/>
    <n v="0"/>
    <n v="0"/>
    <n v="0"/>
    <n v="0"/>
    <n v="0"/>
    <n v="1"/>
    <n v="60225"/>
    <n v="2010"/>
    <n v="0"/>
    <n v="0"/>
    <m/>
    <m/>
    <m/>
    <m/>
    <s v=""/>
  </r>
  <r>
    <s v="60225-2010-000-00"/>
    <d v="2017-09-30T00:00:00"/>
    <n v="279.67"/>
    <n v="0"/>
    <s v="USD"/>
    <s v="JRNLWA00361771"/>
    <s v="P"/>
    <s v="Exp2: PO Log Accrual"/>
    <s v="HeatherWe"/>
    <s v="0/JE IC"/>
    <m/>
    <m/>
    <x v="67"/>
    <m/>
    <m/>
    <m/>
    <m/>
    <m/>
    <m/>
    <s v="JRNL00861774"/>
    <s v="JRNL00861774"/>
    <m/>
    <d v="2017-10-05T00:00:00"/>
    <d v="2017-10-05T00:00:00"/>
    <m/>
    <m/>
    <s v="wci_wa"/>
    <n v="0"/>
    <n v="0"/>
    <n v="0"/>
    <n v="0"/>
    <n v="0"/>
    <n v="1"/>
    <n v="60225"/>
    <n v="2010"/>
    <n v="0"/>
    <n v="0"/>
    <m/>
    <m/>
    <m/>
    <m/>
    <s v=""/>
  </r>
  <r>
    <s v="60225-2010-000-00"/>
    <d v="2017-09-30T00:00:00"/>
    <n v="75"/>
    <n v="0"/>
    <s v="USD"/>
    <s v="JRNLWA00361772"/>
    <s v="P"/>
    <s v="EXP3: P-Card Accrual"/>
    <s v="HeatherWe"/>
    <s v="0/JE IC"/>
    <m/>
    <m/>
    <x v="68"/>
    <m/>
    <m/>
    <m/>
    <m/>
    <m/>
    <m/>
    <s v="JRNL00861775"/>
    <s v="JRNL00861775"/>
    <m/>
    <d v="2017-10-05T00:00:00"/>
    <d v="2017-10-05T00:00:00"/>
    <m/>
    <m/>
    <s v="wci_wa"/>
    <n v="0"/>
    <n v="0"/>
    <n v="0"/>
    <n v="0"/>
    <n v="0"/>
    <n v="1"/>
    <n v="60225"/>
    <n v="2010"/>
    <n v="0"/>
    <n v="0"/>
    <m/>
    <m/>
    <m/>
    <m/>
    <s v=""/>
  </r>
  <r>
    <s v="60225-2010-000-00"/>
    <d v="2017-09-30T00:00:00"/>
    <n v="-606"/>
    <n v="0"/>
    <s v="USD"/>
    <s v="JRNLWA00361776"/>
    <s v="P"/>
    <s v="Exp2: PO Log Accrual"/>
    <s v="HeatherWe"/>
    <s v="0/JE IC"/>
    <m/>
    <m/>
    <x v="22"/>
    <m/>
    <m/>
    <m/>
    <m/>
    <m/>
    <m/>
    <s v="JRNL00861791"/>
    <s v="JRNL00861791"/>
    <m/>
    <d v="2017-10-05T00:00:00"/>
    <d v="2017-10-05T00:00:00"/>
    <m/>
    <m/>
    <s v="wci_wa"/>
    <n v="0"/>
    <n v="0"/>
    <n v="0"/>
    <n v="0"/>
    <n v="0"/>
    <n v="1"/>
    <n v="60225"/>
    <n v="2010"/>
    <n v="0"/>
    <n v="0"/>
    <m/>
    <m/>
    <m/>
    <m/>
    <s v=""/>
  </r>
  <r>
    <s v="60225-2010-000-00"/>
    <d v="2017-09-30T00:00:00"/>
    <n v="-279.67"/>
    <n v="0"/>
    <s v="USD"/>
    <s v="JRNLWA00361776"/>
    <s v="P"/>
    <s v="Exp2: PO Log Accrual"/>
    <s v="HeatherWe"/>
    <s v="0/JE IC"/>
    <m/>
    <m/>
    <x v="67"/>
    <m/>
    <m/>
    <m/>
    <m/>
    <m/>
    <m/>
    <s v="JRNL00861791"/>
    <s v="JRNL00861791"/>
    <m/>
    <d v="2017-10-05T00:00:00"/>
    <d v="2017-10-05T00:00:00"/>
    <m/>
    <m/>
    <s v="wci_wa"/>
    <n v="0"/>
    <n v="0"/>
    <n v="0"/>
    <n v="0"/>
    <n v="0"/>
    <n v="1"/>
    <n v="60225"/>
    <n v="2010"/>
    <n v="0"/>
    <n v="0"/>
    <m/>
    <m/>
    <m/>
    <m/>
    <s v=""/>
  </r>
  <r>
    <s v="60225-2010-000-00"/>
    <d v="2017-09-30T00:00:00"/>
    <n v="606"/>
    <n v="0"/>
    <s v="USD"/>
    <s v="JRNLWA00361777"/>
    <s v="P"/>
    <s v="EXP2Revised: PO Log Accrual"/>
    <s v="HeatherWe"/>
    <s v="0/JE IC"/>
    <m/>
    <m/>
    <x v="22"/>
    <m/>
    <m/>
    <m/>
    <m/>
    <m/>
    <m/>
    <s v="JRNL00861792"/>
    <s v="JRNL00861792"/>
    <m/>
    <d v="2017-10-05T00:00:00"/>
    <d v="2017-10-05T00:00:00"/>
    <m/>
    <m/>
    <s v="wci_wa"/>
    <n v="0"/>
    <n v="0"/>
    <n v="0"/>
    <n v="0"/>
    <n v="0"/>
    <n v="1"/>
    <n v="60225"/>
    <n v="2010"/>
    <n v="0"/>
    <n v="0"/>
    <m/>
    <m/>
    <m/>
    <m/>
    <s v=""/>
  </r>
  <r>
    <s v="60225-2010-000-00"/>
    <d v="2017-09-30T00:00:00"/>
    <n v="279.67"/>
    <n v="0"/>
    <s v="USD"/>
    <s v="JRNLWA00361777"/>
    <s v="P"/>
    <s v="EXP2Revised: PO Log Accrual"/>
    <s v="HeatherWe"/>
    <s v="0/JE IC"/>
    <m/>
    <m/>
    <x v="67"/>
    <m/>
    <m/>
    <m/>
    <m/>
    <m/>
    <m/>
    <s v="JRNL00861792"/>
    <s v="JRNL00861792"/>
    <m/>
    <d v="2017-10-05T00:00:00"/>
    <d v="2017-10-05T00:00:00"/>
    <m/>
    <m/>
    <s v="wci_wa"/>
    <n v="0"/>
    <n v="0"/>
    <n v="0"/>
    <n v="0"/>
    <n v="0"/>
    <n v="1"/>
    <n v="60225"/>
    <n v="2010"/>
    <n v="0"/>
    <n v="0"/>
    <m/>
    <m/>
    <m/>
    <m/>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6"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94:C110" firstHeaderRow="1" firstDataRow="1" firstDataCol="1"/>
  <pivotFields count="42">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6">
    <i>
      <x/>
    </i>
    <i>
      <x v="1"/>
    </i>
    <i>
      <x v="2"/>
    </i>
    <i>
      <x v="3"/>
    </i>
    <i>
      <x v="4"/>
    </i>
    <i>
      <x v="5"/>
    </i>
    <i>
      <x v="6"/>
    </i>
    <i>
      <x v="7"/>
    </i>
    <i>
      <x v="8"/>
    </i>
    <i>
      <x v="9"/>
    </i>
    <i>
      <x v="10"/>
    </i>
    <i>
      <x v="11"/>
    </i>
    <i>
      <x v="12"/>
    </i>
    <i>
      <x v="13"/>
    </i>
    <i>
      <x v="14"/>
    </i>
    <i t="grand">
      <x/>
    </i>
  </rowItems>
  <colItems count="1">
    <i/>
  </colItems>
  <dataFields count="1">
    <dataField name="Sum of Amount USD" fld="2" baseField="0" baseItem="0" numFmtId="43"/>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233:C303" firstHeaderRow="1" firstDataRow="1" firstDataCol="1"/>
  <pivotFields count="42">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70">
        <item x="9"/>
        <item x="65"/>
        <item x="7"/>
        <item x="40"/>
        <item x="20"/>
        <item x="18"/>
        <item x="34"/>
        <item x="11"/>
        <item x="33"/>
        <item x="43"/>
        <item x="58"/>
        <item x="27"/>
        <item x="35"/>
        <item x="60"/>
        <item x="56"/>
        <item x="26"/>
        <item x="23"/>
        <item x="24"/>
        <item x="28"/>
        <item x="25"/>
        <item x="39"/>
        <item x="8"/>
        <item x="16"/>
        <item x="14"/>
        <item x="68"/>
        <item x="2"/>
        <item x="22"/>
        <item x="41"/>
        <item x="37"/>
        <item x="32"/>
        <item x="38"/>
        <item x="44"/>
        <item x="45"/>
        <item x="46"/>
        <item x="47"/>
        <item x="48"/>
        <item x="52"/>
        <item x="53"/>
        <item x="54"/>
        <item x="59"/>
        <item x="3"/>
        <item x="61"/>
        <item x="62"/>
        <item x="63"/>
        <item x="64"/>
        <item x="4"/>
        <item x="67"/>
        <item x="13"/>
        <item x="21"/>
        <item x="17"/>
        <item x="50"/>
        <item x="57"/>
        <item x="19"/>
        <item x="12"/>
        <item x="6"/>
        <item x="10"/>
        <item x="30"/>
        <item x="29"/>
        <item x="1"/>
        <item x="0"/>
        <item x="5"/>
        <item x="49"/>
        <item x="36"/>
        <item x="66"/>
        <item x="15"/>
        <item x="51"/>
        <item x="42"/>
        <item x="55"/>
        <item x="31"/>
        <item t="default"/>
      </items>
    </pivotField>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7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t="grand">
      <x/>
    </i>
  </rowItems>
  <colItems count="1">
    <i/>
  </colItems>
  <dataFields count="1">
    <dataField name="Sum of Amount USD" fld="2" baseField="0" baseItem="0"/>
  </dataFields>
  <formats count="2">
    <format dxfId="3">
      <pivotArea collapsedLevelsAreSubtotals="1" fieldPosition="0">
        <references count="1">
          <reference field="12" count="0"/>
        </references>
      </pivotArea>
    </format>
    <format dxfId="2">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104:C135" firstHeaderRow="1" firstDataRow="1" firstDataCol="1"/>
  <pivotFields count="42">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31">
        <item x="22"/>
        <item x="27"/>
        <item x="25"/>
        <item x="6"/>
        <item x="16"/>
        <item x="12"/>
        <item x="26"/>
        <item x="17"/>
        <item x="18"/>
        <item x="15"/>
        <item x="3"/>
        <item x="9"/>
        <item x="1"/>
        <item x="21"/>
        <item x="4"/>
        <item x="10"/>
        <item x="29"/>
        <item x="20"/>
        <item x="13"/>
        <item x="19"/>
        <item x="28"/>
        <item x="5"/>
        <item x="7"/>
        <item x="8"/>
        <item x="24"/>
        <item x="11"/>
        <item x="23"/>
        <item x="2"/>
        <item x="14"/>
        <item x="0"/>
        <item t="default"/>
      </items>
    </pivotField>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Items count="1">
    <i/>
  </colItems>
  <dataFields count="1">
    <dataField name="Sum of Amount USD" fld="2" baseField="0" baseItem="0" numFmtId="43"/>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81:C94" firstHeaderRow="1" firstDataRow="1" firstDataCol="1"/>
  <pivotFields count="42">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13">
        <item x="1"/>
        <item x="3"/>
        <item x="7"/>
        <item x="9"/>
        <item x="2"/>
        <item x="6"/>
        <item x="5"/>
        <item x="11"/>
        <item x="10"/>
        <item x="0"/>
        <item x="8"/>
        <item x="4"/>
        <item t="default"/>
      </items>
    </pivotField>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3">
    <i>
      <x/>
    </i>
    <i>
      <x v="1"/>
    </i>
    <i>
      <x v="2"/>
    </i>
    <i>
      <x v="3"/>
    </i>
    <i>
      <x v="4"/>
    </i>
    <i>
      <x v="5"/>
    </i>
    <i>
      <x v="6"/>
    </i>
    <i>
      <x v="7"/>
    </i>
    <i>
      <x v="8"/>
    </i>
    <i>
      <x v="9"/>
    </i>
    <i>
      <x v="10"/>
    </i>
    <i>
      <x v="11"/>
    </i>
    <i t="grand">
      <x/>
    </i>
  </rowItems>
  <colItems count="1">
    <i/>
  </colItems>
  <dataFields count="1">
    <dataField name="Sum of Amount USD" fld="2" baseField="0" baseItem="0"/>
  </dataFields>
  <formats count="1">
    <format dxfId="0">
      <pivotArea collapsedLevelsAreSubtotals="1" fieldPosition="0">
        <references count="1">
          <reference field="1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ivotTable" Target="../pivotTables/pivotTable1.xml"/><Relationship Id="rId4"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pivotTable" Target="../pivotTables/pivotTable2.xml"/><Relationship Id="rId4"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9.bin"/><Relationship Id="rId1" Type="http://schemas.openxmlformats.org/officeDocument/2006/relationships/pivotTable" Target="../pivotTables/pivotTable3.xml"/><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20.bin"/><Relationship Id="rId1" Type="http://schemas.openxmlformats.org/officeDocument/2006/relationships/pivotTable" Target="../pivotTables/pivotTable4.xml"/><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70"/>
  <sheetViews>
    <sheetView showGridLines="0" tabSelected="1" view="pageBreakPreview" zoomScale="85" zoomScaleNormal="85" zoomScaleSheetLayoutView="85" workbookViewId="0">
      <selection activeCell="AI26" sqref="AI26"/>
    </sheetView>
  </sheetViews>
  <sheetFormatPr defaultColWidth="13.85546875" defaultRowHeight="12.75" outlineLevelRow="1" outlineLevelCol="1"/>
  <cols>
    <col min="1" max="1" width="7.85546875" style="1" customWidth="1"/>
    <col min="2" max="3" width="2.28515625" style="1" customWidth="1"/>
    <col min="4" max="4" width="31.42578125" style="1" customWidth="1"/>
    <col min="5" max="5" width="2.28515625" style="1" customWidth="1"/>
    <col min="6" max="6" width="2.140625" style="1" customWidth="1"/>
    <col min="7" max="7" width="12.28515625" style="62" customWidth="1" outlineLevel="1"/>
    <col min="8" max="8" width="1.5703125" style="1" customWidth="1" outlineLevel="1"/>
    <col min="9" max="9" width="12.28515625" style="62" customWidth="1" outlineLevel="1"/>
    <col min="10" max="10" width="1.5703125" style="1" customWidth="1" outlineLevel="1"/>
    <col min="11" max="11" width="12.28515625" style="62" customWidth="1" outlineLevel="1"/>
    <col min="12" max="12" width="1.5703125" style="1" customWidth="1" outlineLevel="1"/>
    <col min="13" max="13" width="13.5703125" style="62" customWidth="1" outlineLevel="1"/>
    <col min="14" max="14" width="0.85546875" style="1" customWidth="1" outlineLevel="1"/>
    <col min="15" max="15" width="12.28515625" style="62" customWidth="1" outlineLevel="1"/>
    <col min="16" max="16" width="1.5703125" style="1" customWidth="1" outlineLevel="1"/>
    <col min="17" max="17" width="12.28515625" style="62" customWidth="1" outlineLevel="1"/>
    <col min="18" max="18" width="1.5703125" style="1" customWidth="1" outlineLevel="1"/>
    <col min="19" max="19" width="12.28515625" style="62" customWidth="1" outlineLevel="1"/>
    <col min="20" max="20" width="0.85546875" style="1" customWidth="1" outlineLevel="1"/>
    <col min="21" max="21" width="12.28515625" style="62" customWidth="1" outlineLevel="1"/>
    <col min="22" max="22" width="1.5703125" style="1" customWidth="1" outlineLevel="1"/>
    <col min="23" max="23" width="12.28515625" style="62" customWidth="1" outlineLevel="1"/>
    <col min="24" max="24" width="1.5703125" style="1" customWidth="1" outlineLevel="1"/>
    <col min="25" max="25" width="12.28515625" style="62" customWidth="1" outlineLevel="1"/>
    <col min="26" max="26" width="0.85546875" style="1" customWidth="1" outlineLevel="1"/>
    <col min="27" max="27" width="12.28515625" style="62" customWidth="1" outlineLevel="1"/>
    <col min="28" max="28" width="1.5703125" style="1" customWidth="1" outlineLevel="1"/>
    <col min="29" max="29" width="12.28515625" style="62" customWidth="1" outlineLevel="1"/>
    <col min="30" max="30" width="1.5703125" style="1" customWidth="1"/>
    <col min="31" max="31" width="13.42578125" style="62" bestFit="1" customWidth="1"/>
    <col min="32" max="32" width="1.42578125" style="1" customWidth="1"/>
    <col min="33" max="255" width="13.85546875" style="1"/>
    <col min="256" max="256" width="7.85546875" style="1" customWidth="1"/>
    <col min="257" max="258" width="2.28515625" style="1" customWidth="1"/>
    <col min="259" max="259" width="31.42578125" style="1" customWidth="1"/>
    <col min="260" max="260" width="2.28515625" style="1" customWidth="1"/>
    <col min="261" max="261" width="2.140625" style="1" customWidth="1"/>
    <col min="262" max="262" width="12.28515625" style="1" customWidth="1"/>
    <col min="263" max="263" width="1.5703125" style="1" customWidth="1"/>
    <col min="264" max="264" width="12.28515625" style="1" customWidth="1"/>
    <col min="265" max="265" width="1.5703125" style="1" customWidth="1"/>
    <col min="266" max="266" width="12.28515625" style="1" customWidth="1"/>
    <col min="267" max="267" width="1.5703125" style="1" customWidth="1"/>
    <col min="268" max="268" width="13.5703125" style="1" customWidth="1"/>
    <col min="269" max="269" width="0.85546875" style="1" customWidth="1"/>
    <col min="270" max="270" width="12.28515625" style="1" customWidth="1"/>
    <col min="271" max="271" width="1.5703125" style="1" customWidth="1"/>
    <col min="272" max="272" width="12.28515625" style="1" customWidth="1"/>
    <col min="273" max="273" width="1.5703125" style="1" customWidth="1"/>
    <col min="274" max="274" width="12.28515625" style="1" customWidth="1"/>
    <col min="275" max="275" width="0.85546875" style="1" customWidth="1"/>
    <col min="276" max="276" width="12.28515625" style="1" customWidth="1"/>
    <col min="277" max="277" width="1.5703125" style="1" customWidth="1"/>
    <col min="278" max="278" width="12.28515625" style="1" customWidth="1"/>
    <col min="279" max="279" width="1.5703125" style="1" customWidth="1"/>
    <col min="280" max="280" width="12.28515625" style="1" customWidth="1"/>
    <col min="281" max="281" width="0.85546875" style="1" customWidth="1"/>
    <col min="282" max="282" width="12.28515625" style="1" customWidth="1"/>
    <col min="283" max="283" width="1.5703125" style="1" customWidth="1"/>
    <col min="284" max="284" width="12.28515625" style="1" customWidth="1"/>
    <col min="285" max="285" width="1.5703125" style="1" customWidth="1"/>
    <col min="286" max="286" width="12.28515625" style="1" customWidth="1"/>
    <col min="287" max="287" width="4.5703125" style="1" customWidth="1"/>
    <col min="288" max="288" width="1.42578125" style="1" customWidth="1"/>
    <col min="289" max="511" width="13.85546875" style="1"/>
    <col min="512" max="512" width="7.85546875" style="1" customWidth="1"/>
    <col min="513" max="514" width="2.28515625" style="1" customWidth="1"/>
    <col min="515" max="515" width="31.42578125" style="1" customWidth="1"/>
    <col min="516" max="516" width="2.28515625" style="1" customWidth="1"/>
    <col min="517" max="517" width="2.140625" style="1" customWidth="1"/>
    <col min="518" max="518" width="12.28515625" style="1" customWidth="1"/>
    <col min="519" max="519" width="1.5703125" style="1" customWidth="1"/>
    <col min="520" max="520" width="12.28515625" style="1" customWidth="1"/>
    <col min="521" max="521" width="1.5703125" style="1" customWidth="1"/>
    <col min="522" max="522" width="12.28515625" style="1" customWidth="1"/>
    <col min="523" max="523" width="1.5703125" style="1" customWidth="1"/>
    <col min="524" max="524" width="13.5703125" style="1" customWidth="1"/>
    <col min="525" max="525" width="0.85546875" style="1" customWidth="1"/>
    <col min="526" max="526" width="12.28515625" style="1" customWidth="1"/>
    <col min="527" max="527" width="1.5703125" style="1" customWidth="1"/>
    <col min="528" max="528" width="12.28515625" style="1" customWidth="1"/>
    <col min="529" max="529" width="1.5703125" style="1" customWidth="1"/>
    <col min="530" max="530" width="12.28515625" style="1" customWidth="1"/>
    <col min="531" max="531" width="0.85546875" style="1" customWidth="1"/>
    <col min="532" max="532" width="12.28515625" style="1" customWidth="1"/>
    <col min="533" max="533" width="1.5703125" style="1" customWidth="1"/>
    <col min="534" max="534" width="12.28515625" style="1" customWidth="1"/>
    <col min="535" max="535" width="1.5703125" style="1" customWidth="1"/>
    <col min="536" max="536" width="12.28515625" style="1" customWidth="1"/>
    <col min="537" max="537" width="0.85546875" style="1" customWidth="1"/>
    <col min="538" max="538" width="12.28515625" style="1" customWidth="1"/>
    <col min="539" max="539" width="1.5703125" style="1" customWidth="1"/>
    <col min="540" max="540" width="12.28515625" style="1" customWidth="1"/>
    <col min="541" max="541" width="1.5703125" style="1" customWidth="1"/>
    <col min="542" max="542" width="12.28515625" style="1" customWidth="1"/>
    <col min="543" max="543" width="4.5703125" style="1" customWidth="1"/>
    <col min="544" max="544" width="1.42578125" style="1" customWidth="1"/>
    <col min="545" max="767" width="13.85546875" style="1"/>
    <col min="768" max="768" width="7.85546875" style="1" customWidth="1"/>
    <col min="769" max="770" width="2.28515625" style="1" customWidth="1"/>
    <col min="771" max="771" width="31.42578125" style="1" customWidth="1"/>
    <col min="772" max="772" width="2.28515625" style="1" customWidth="1"/>
    <col min="773" max="773" width="2.140625" style="1" customWidth="1"/>
    <col min="774" max="774" width="12.28515625" style="1" customWidth="1"/>
    <col min="775" max="775" width="1.5703125" style="1" customWidth="1"/>
    <col min="776" max="776" width="12.28515625" style="1" customWidth="1"/>
    <col min="777" max="777" width="1.5703125" style="1" customWidth="1"/>
    <col min="778" max="778" width="12.28515625" style="1" customWidth="1"/>
    <col min="779" max="779" width="1.5703125" style="1" customWidth="1"/>
    <col min="780" max="780" width="13.5703125" style="1" customWidth="1"/>
    <col min="781" max="781" width="0.85546875" style="1" customWidth="1"/>
    <col min="782" max="782" width="12.28515625" style="1" customWidth="1"/>
    <col min="783" max="783" width="1.5703125" style="1" customWidth="1"/>
    <col min="784" max="784" width="12.28515625" style="1" customWidth="1"/>
    <col min="785" max="785" width="1.5703125" style="1" customWidth="1"/>
    <col min="786" max="786" width="12.28515625" style="1" customWidth="1"/>
    <col min="787" max="787" width="0.85546875" style="1" customWidth="1"/>
    <col min="788" max="788" width="12.28515625" style="1" customWidth="1"/>
    <col min="789" max="789" width="1.5703125" style="1" customWidth="1"/>
    <col min="790" max="790" width="12.28515625" style="1" customWidth="1"/>
    <col min="791" max="791" width="1.5703125" style="1" customWidth="1"/>
    <col min="792" max="792" width="12.28515625" style="1" customWidth="1"/>
    <col min="793" max="793" width="0.85546875" style="1" customWidth="1"/>
    <col min="794" max="794" width="12.28515625" style="1" customWidth="1"/>
    <col min="795" max="795" width="1.5703125" style="1" customWidth="1"/>
    <col min="796" max="796" width="12.28515625" style="1" customWidth="1"/>
    <col min="797" max="797" width="1.5703125" style="1" customWidth="1"/>
    <col min="798" max="798" width="12.28515625" style="1" customWidth="1"/>
    <col min="799" max="799" width="4.5703125" style="1" customWidth="1"/>
    <col min="800" max="800" width="1.42578125" style="1" customWidth="1"/>
    <col min="801" max="1023" width="13.85546875" style="1"/>
    <col min="1024" max="1024" width="7.85546875" style="1" customWidth="1"/>
    <col min="1025" max="1026" width="2.28515625" style="1" customWidth="1"/>
    <col min="1027" max="1027" width="31.42578125" style="1" customWidth="1"/>
    <col min="1028" max="1028" width="2.28515625" style="1" customWidth="1"/>
    <col min="1029" max="1029" width="2.140625" style="1" customWidth="1"/>
    <col min="1030" max="1030" width="12.28515625" style="1" customWidth="1"/>
    <col min="1031" max="1031" width="1.5703125" style="1" customWidth="1"/>
    <col min="1032" max="1032" width="12.28515625" style="1" customWidth="1"/>
    <col min="1033" max="1033" width="1.5703125" style="1" customWidth="1"/>
    <col min="1034" max="1034" width="12.28515625" style="1" customWidth="1"/>
    <col min="1035" max="1035" width="1.5703125" style="1" customWidth="1"/>
    <col min="1036" max="1036" width="13.5703125" style="1" customWidth="1"/>
    <col min="1037" max="1037" width="0.85546875" style="1" customWidth="1"/>
    <col min="1038" max="1038" width="12.28515625" style="1" customWidth="1"/>
    <col min="1039" max="1039" width="1.5703125" style="1" customWidth="1"/>
    <col min="1040" max="1040" width="12.28515625" style="1" customWidth="1"/>
    <col min="1041" max="1041" width="1.5703125" style="1" customWidth="1"/>
    <col min="1042" max="1042" width="12.28515625" style="1" customWidth="1"/>
    <col min="1043" max="1043" width="0.85546875" style="1" customWidth="1"/>
    <col min="1044" max="1044" width="12.28515625" style="1" customWidth="1"/>
    <col min="1045" max="1045" width="1.5703125" style="1" customWidth="1"/>
    <col min="1046" max="1046" width="12.28515625" style="1" customWidth="1"/>
    <col min="1047" max="1047" width="1.5703125" style="1" customWidth="1"/>
    <col min="1048" max="1048" width="12.28515625" style="1" customWidth="1"/>
    <col min="1049" max="1049" width="0.85546875" style="1" customWidth="1"/>
    <col min="1050" max="1050" width="12.28515625" style="1" customWidth="1"/>
    <col min="1051" max="1051" width="1.5703125" style="1" customWidth="1"/>
    <col min="1052" max="1052" width="12.28515625" style="1" customWidth="1"/>
    <col min="1053" max="1053" width="1.5703125" style="1" customWidth="1"/>
    <col min="1054" max="1054" width="12.28515625" style="1" customWidth="1"/>
    <col min="1055" max="1055" width="4.5703125" style="1" customWidth="1"/>
    <col min="1056" max="1056" width="1.42578125" style="1" customWidth="1"/>
    <col min="1057" max="1279" width="13.85546875" style="1"/>
    <col min="1280" max="1280" width="7.85546875" style="1" customWidth="1"/>
    <col min="1281" max="1282" width="2.28515625" style="1" customWidth="1"/>
    <col min="1283" max="1283" width="31.42578125" style="1" customWidth="1"/>
    <col min="1284" max="1284" width="2.28515625" style="1" customWidth="1"/>
    <col min="1285" max="1285" width="2.140625" style="1" customWidth="1"/>
    <col min="1286" max="1286" width="12.28515625" style="1" customWidth="1"/>
    <col min="1287" max="1287" width="1.5703125" style="1" customWidth="1"/>
    <col min="1288" max="1288" width="12.28515625" style="1" customWidth="1"/>
    <col min="1289" max="1289" width="1.5703125" style="1" customWidth="1"/>
    <col min="1290" max="1290" width="12.28515625" style="1" customWidth="1"/>
    <col min="1291" max="1291" width="1.5703125" style="1" customWidth="1"/>
    <col min="1292" max="1292" width="13.5703125" style="1" customWidth="1"/>
    <col min="1293" max="1293" width="0.85546875" style="1" customWidth="1"/>
    <col min="1294" max="1294" width="12.28515625" style="1" customWidth="1"/>
    <col min="1295" max="1295" width="1.5703125" style="1" customWidth="1"/>
    <col min="1296" max="1296" width="12.28515625" style="1" customWidth="1"/>
    <col min="1297" max="1297" width="1.5703125" style="1" customWidth="1"/>
    <col min="1298" max="1298" width="12.28515625" style="1" customWidth="1"/>
    <col min="1299" max="1299" width="0.85546875" style="1" customWidth="1"/>
    <col min="1300" max="1300" width="12.28515625" style="1" customWidth="1"/>
    <col min="1301" max="1301" width="1.5703125" style="1" customWidth="1"/>
    <col min="1302" max="1302" width="12.28515625" style="1" customWidth="1"/>
    <col min="1303" max="1303" width="1.5703125" style="1" customWidth="1"/>
    <col min="1304" max="1304" width="12.28515625" style="1" customWidth="1"/>
    <col min="1305" max="1305" width="0.85546875" style="1" customWidth="1"/>
    <col min="1306" max="1306" width="12.28515625" style="1" customWidth="1"/>
    <col min="1307" max="1307" width="1.5703125" style="1" customWidth="1"/>
    <col min="1308" max="1308" width="12.28515625" style="1" customWidth="1"/>
    <col min="1309" max="1309" width="1.5703125" style="1" customWidth="1"/>
    <col min="1310" max="1310" width="12.28515625" style="1" customWidth="1"/>
    <col min="1311" max="1311" width="4.5703125" style="1" customWidth="1"/>
    <col min="1312" max="1312" width="1.42578125" style="1" customWidth="1"/>
    <col min="1313" max="1535" width="13.85546875" style="1"/>
    <col min="1536" max="1536" width="7.85546875" style="1" customWidth="1"/>
    <col min="1537" max="1538" width="2.28515625" style="1" customWidth="1"/>
    <col min="1539" max="1539" width="31.42578125" style="1" customWidth="1"/>
    <col min="1540" max="1540" width="2.28515625" style="1" customWidth="1"/>
    <col min="1541" max="1541" width="2.140625" style="1" customWidth="1"/>
    <col min="1542" max="1542" width="12.28515625" style="1" customWidth="1"/>
    <col min="1543" max="1543" width="1.5703125" style="1" customWidth="1"/>
    <col min="1544" max="1544" width="12.28515625" style="1" customWidth="1"/>
    <col min="1545" max="1545" width="1.5703125" style="1" customWidth="1"/>
    <col min="1546" max="1546" width="12.28515625" style="1" customWidth="1"/>
    <col min="1547" max="1547" width="1.5703125" style="1" customWidth="1"/>
    <col min="1548" max="1548" width="13.5703125" style="1" customWidth="1"/>
    <col min="1549" max="1549" width="0.85546875" style="1" customWidth="1"/>
    <col min="1550" max="1550" width="12.28515625" style="1" customWidth="1"/>
    <col min="1551" max="1551" width="1.5703125" style="1" customWidth="1"/>
    <col min="1552" max="1552" width="12.28515625" style="1" customWidth="1"/>
    <col min="1553" max="1553" width="1.5703125" style="1" customWidth="1"/>
    <col min="1554" max="1554" width="12.28515625" style="1" customWidth="1"/>
    <col min="1555" max="1555" width="0.85546875" style="1" customWidth="1"/>
    <col min="1556" max="1556" width="12.28515625" style="1" customWidth="1"/>
    <col min="1557" max="1557" width="1.5703125" style="1" customWidth="1"/>
    <col min="1558" max="1558" width="12.28515625" style="1" customWidth="1"/>
    <col min="1559" max="1559" width="1.5703125" style="1" customWidth="1"/>
    <col min="1560" max="1560" width="12.28515625" style="1" customWidth="1"/>
    <col min="1561" max="1561" width="0.85546875" style="1" customWidth="1"/>
    <col min="1562" max="1562" width="12.28515625" style="1" customWidth="1"/>
    <col min="1563" max="1563" width="1.5703125" style="1" customWidth="1"/>
    <col min="1564" max="1564" width="12.28515625" style="1" customWidth="1"/>
    <col min="1565" max="1565" width="1.5703125" style="1" customWidth="1"/>
    <col min="1566" max="1566" width="12.28515625" style="1" customWidth="1"/>
    <col min="1567" max="1567" width="4.5703125" style="1" customWidth="1"/>
    <col min="1568" max="1568" width="1.42578125" style="1" customWidth="1"/>
    <col min="1569" max="1791" width="13.85546875" style="1"/>
    <col min="1792" max="1792" width="7.85546875" style="1" customWidth="1"/>
    <col min="1793" max="1794" width="2.28515625" style="1" customWidth="1"/>
    <col min="1795" max="1795" width="31.42578125" style="1" customWidth="1"/>
    <col min="1796" max="1796" width="2.28515625" style="1" customWidth="1"/>
    <col min="1797" max="1797" width="2.140625" style="1" customWidth="1"/>
    <col min="1798" max="1798" width="12.28515625" style="1" customWidth="1"/>
    <col min="1799" max="1799" width="1.5703125" style="1" customWidth="1"/>
    <col min="1800" max="1800" width="12.28515625" style="1" customWidth="1"/>
    <col min="1801" max="1801" width="1.5703125" style="1" customWidth="1"/>
    <col min="1802" max="1802" width="12.28515625" style="1" customWidth="1"/>
    <col min="1803" max="1803" width="1.5703125" style="1" customWidth="1"/>
    <col min="1804" max="1804" width="13.5703125" style="1" customWidth="1"/>
    <col min="1805" max="1805" width="0.85546875" style="1" customWidth="1"/>
    <col min="1806" max="1806" width="12.28515625" style="1" customWidth="1"/>
    <col min="1807" max="1807" width="1.5703125" style="1" customWidth="1"/>
    <col min="1808" max="1808" width="12.28515625" style="1" customWidth="1"/>
    <col min="1809" max="1809" width="1.5703125" style="1" customWidth="1"/>
    <col min="1810" max="1810" width="12.28515625" style="1" customWidth="1"/>
    <col min="1811" max="1811" width="0.85546875" style="1" customWidth="1"/>
    <col min="1812" max="1812" width="12.28515625" style="1" customWidth="1"/>
    <col min="1813" max="1813" width="1.5703125" style="1" customWidth="1"/>
    <col min="1814" max="1814" width="12.28515625" style="1" customWidth="1"/>
    <col min="1815" max="1815" width="1.5703125" style="1" customWidth="1"/>
    <col min="1816" max="1816" width="12.28515625" style="1" customWidth="1"/>
    <col min="1817" max="1817" width="0.85546875" style="1" customWidth="1"/>
    <col min="1818" max="1818" width="12.28515625" style="1" customWidth="1"/>
    <col min="1819" max="1819" width="1.5703125" style="1" customWidth="1"/>
    <col min="1820" max="1820" width="12.28515625" style="1" customWidth="1"/>
    <col min="1821" max="1821" width="1.5703125" style="1" customWidth="1"/>
    <col min="1822" max="1822" width="12.28515625" style="1" customWidth="1"/>
    <col min="1823" max="1823" width="4.5703125" style="1" customWidth="1"/>
    <col min="1824" max="1824" width="1.42578125" style="1" customWidth="1"/>
    <col min="1825" max="2047" width="13.85546875" style="1"/>
    <col min="2048" max="2048" width="7.85546875" style="1" customWidth="1"/>
    <col min="2049" max="2050" width="2.28515625" style="1" customWidth="1"/>
    <col min="2051" max="2051" width="31.42578125" style="1" customWidth="1"/>
    <col min="2052" max="2052" width="2.28515625" style="1" customWidth="1"/>
    <col min="2053" max="2053" width="2.140625" style="1" customWidth="1"/>
    <col min="2054" max="2054" width="12.28515625" style="1" customWidth="1"/>
    <col min="2055" max="2055" width="1.5703125" style="1" customWidth="1"/>
    <col min="2056" max="2056" width="12.28515625" style="1" customWidth="1"/>
    <col min="2057" max="2057" width="1.5703125" style="1" customWidth="1"/>
    <col min="2058" max="2058" width="12.28515625" style="1" customWidth="1"/>
    <col min="2059" max="2059" width="1.5703125" style="1" customWidth="1"/>
    <col min="2060" max="2060" width="13.5703125" style="1" customWidth="1"/>
    <col min="2061" max="2061" width="0.85546875" style="1" customWidth="1"/>
    <col min="2062" max="2062" width="12.28515625" style="1" customWidth="1"/>
    <col min="2063" max="2063" width="1.5703125" style="1" customWidth="1"/>
    <col min="2064" max="2064" width="12.28515625" style="1" customWidth="1"/>
    <col min="2065" max="2065" width="1.5703125" style="1" customWidth="1"/>
    <col min="2066" max="2066" width="12.28515625" style="1" customWidth="1"/>
    <col min="2067" max="2067" width="0.85546875" style="1" customWidth="1"/>
    <col min="2068" max="2068" width="12.28515625" style="1" customWidth="1"/>
    <col min="2069" max="2069" width="1.5703125" style="1" customWidth="1"/>
    <col min="2070" max="2070" width="12.28515625" style="1" customWidth="1"/>
    <col min="2071" max="2071" width="1.5703125" style="1" customWidth="1"/>
    <col min="2072" max="2072" width="12.28515625" style="1" customWidth="1"/>
    <col min="2073" max="2073" width="0.85546875" style="1" customWidth="1"/>
    <col min="2074" max="2074" width="12.28515625" style="1" customWidth="1"/>
    <col min="2075" max="2075" width="1.5703125" style="1" customWidth="1"/>
    <col min="2076" max="2076" width="12.28515625" style="1" customWidth="1"/>
    <col min="2077" max="2077" width="1.5703125" style="1" customWidth="1"/>
    <col min="2078" max="2078" width="12.28515625" style="1" customWidth="1"/>
    <col min="2079" max="2079" width="4.5703125" style="1" customWidth="1"/>
    <col min="2080" max="2080" width="1.42578125" style="1" customWidth="1"/>
    <col min="2081" max="2303" width="13.85546875" style="1"/>
    <col min="2304" max="2304" width="7.85546875" style="1" customWidth="1"/>
    <col min="2305" max="2306" width="2.28515625" style="1" customWidth="1"/>
    <col min="2307" max="2307" width="31.42578125" style="1" customWidth="1"/>
    <col min="2308" max="2308" width="2.28515625" style="1" customWidth="1"/>
    <col min="2309" max="2309" width="2.140625" style="1" customWidth="1"/>
    <col min="2310" max="2310" width="12.28515625" style="1" customWidth="1"/>
    <col min="2311" max="2311" width="1.5703125" style="1" customWidth="1"/>
    <col min="2312" max="2312" width="12.28515625" style="1" customWidth="1"/>
    <col min="2313" max="2313" width="1.5703125" style="1" customWidth="1"/>
    <col min="2314" max="2314" width="12.28515625" style="1" customWidth="1"/>
    <col min="2315" max="2315" width="1.5703125" style="1" customWidth="1"/>
    <col min="2316" max="2316" width="13.5703125" style="1" customWidth="1"/>
    <col min="2317" max="2317" width="0.85546875" style="1" customWidth="1"/>
    <col min="2318" max="2318" width="12.28515625" style="1" customWidth="1"/>
    <col min="2319" max="2319" width="1.5703125" style="1" customWidth="1"/>
    <col min="2320" max="2320" width="12.28515625" style="1" customWidth="1"/>
    <col min="2321" max="2321" width="1.5703125" style="1" customWidth="1"/>
    <col min="2322" max="2322" width="12.28515625" style="1" customWidth="1"/>
    <col min="2323" max="2323" width="0.85546875" style="1" customWidth="1"/>
    <col min="2324" max="2324" width="12.28515625" style="1" customWidth="1"/>
    <col min="2325" max="2325" width="1.5703125" style="1" customWidth="1"/>
    <col min="2326" max="2326" width="12.28515625" style="1" customWidth="1"/>
    <col min="2327" max="2327" width="1.5703125" style="1" customWidth="1"/>
    <col min="2328" max="2328" width="12.28515625" style="1" customWidth="1"/>
    <col min="2329" max="2329" width="0.85546875" style="1" customWidth="1"/>
    <col min="2330" max="2330" width="12.28515625" style="1" customWidth="1"/>
    <col min="2331" max="2331" width="1.5703125" style="1" customWidth="1"/>
    <col min="2332" max="2332" width="12.28515625" style="1" customWidth="1"/>
    <col min="2333" max="2333" width="1.5703125" style="1" customWidth="1"/>
    <col min="2334" max="2334" width="12.28515625" style="1" customWidth="1"/>
    <col min="2335" max="2335" width="4.5703125" style="1" customWidth="1"/>
    <col min="2336" max="2336" width="1.42578125" style="1" customWidth="1"/>
    <col min="2337" max="2559" width="13.85546875" style="1"/>
    <col min="2560" max="2560" width="7.85546875" style="1" customWidth="1"/>
    <col min="2561" max="2562" width="2.28515625" style="1" customWidth="1"/>
    <col min="2563" max="2563" width="31.42578125" style="1" customWidth="1"/>
    <col min="2564" max="2564" width="2.28515625" style="1" customWidth="1"/>
    <col min="2565" max="2565" width="2.140625" style="1" customWidth="1"/>
    <col min="2566" max="2566" width="12.28515625" style="1" customWidth="1"/>
    <col min="2567" max="2567" width="1.5703125" style="1" customWidth="1"/>
    <col min="2568" max="2568" width="12.28515625" style="1" customWidth="1"/>
    <col min="2569" max="2569" width="1.5703125" style="1" customWidth="1"/>
    <col min="2570" max="2570" width="12.28515625" style="1" customWidth="1"/>
    <col min="2571" max="2571" width="1.5703125" style="1" customWidth="1"/>
    <col min="2572" max="2572" width="13.5703125" style="1" customWidth="1"/>
    <col min="2573" max="2573" width="0.85546875" style="1" customWidth="1"/>
    <col min="2574" max="2574" width="12.28515625" style="1" customWidth="1"/>
    <col min="2575" max="2575" width="1.5703125" style="1" customWidth="1"/>
    <col min="2576" max="2576" width="12.28515625" style="1" customWidth="1"/>
    <col min="2577" max="2577" width="1.5703125" style="1" customWidth="1"/>
    <col min="2578" max="2578" width="12.28515625" style="1" customWidth="1"/>
    <col min="2579" max="2579" width="0.85546875" style="1" customWidth="1"/>
    <col min="2580" max="2580" width="12.28515625" style="1" customWidth="1"/>
    <col min="2581" max="2581" width="1.5703125" style="1" customWidth="1"/>
    <col min="2582" max="2582" width="12.28515625" style="1" customWidth="1"/>
    <col min="2583" max="2583" width="1.5703125" style="1" customWidth="1"/>
    <col min="2584" max="2584" width="12.28515625" style="1" customWidth="1"/>
    <col min="2585" max="2585" width="0.85546875" style="1" customWidth="1"/>
    <col min="2586" max="2586" width="12.28515625" style="1" customWidth="1"/>
    <col min="2587" max="2587" width="1.5703125" style="1" customWidth="1"/>
    <col min="2588" max="2588" width="12.28515625" style="1" customWidth="1"/>
    <col min="2589" max="2589" width="1.5703125" style="1" customWidth="1"/>
    <col min="2590" max="2590" width="12.28515625" style="1" customWidth="1"/>
    <col min="2591" max="2591" width="4.5703125" style="1" customWidth="1"/>
    <col min="2592" max="2592" width="1.42578125" style="1" customWidth="1"/>
    <col min="2593" max="2815" width="13.85546875" style="1"/>
    <col min="2816" max="2816" width="7.85546875" style="1" customWidth="1"/>
    <col min="2817" max="2818" width="2.28515625" style="1" customWidth="1"/>
    <col min="2819" max="2819" width="31.42578125" style="1" customWidth="1"/>
    <col min="2820" max="2820" width="2.28515625" style="1" customWidth="1"/>
    <col min="2821" max="2821" width="2.140625" style="1" customWidth="1"/>
    <col min="2822" max="2822" width="12.28515625" style="1" customWidth="1"/>
    <col min="2823" max="2823" width="1.5703125" style="1" customWidth="1"/>
    <col min="2824" max="2824" width="12.28515625" style="1" customWidth="1"/>
    <col min="2825" max="2825" width="1.5703125" style="1" customWidth="1"/>
    <col min="2826" max="2826" width="12.28515625" style="1" customWidth="1"/>
    <col min="2827" max="2827" width="1.5703125" style="1" customWidth="1"/>
    <col min="2828" max="2828" width="13.5703125" style="1" customWidth="1"/>
    <col min="2829" max="2829" width="0.85546875" style="1" customWidth="1"/>
    <col min="2830" max="2830" width="12.28515625" style="1" customWidth="1"/>
    <col min="2831" max="2831" width="1.5703125" style="1" customWidth="1"/>
    <col min="2832" max="2832" width="12.28515625" style="1" customWidth="1"/>
    <col min="2833" max="2833" width="1.5703125" style="1" customWidth="1"/>
    <col min="2834" max="2834" width="12.28515625" style="1" customWidth="1"/>
    <col min="2835" max="2835" width="0.85546875" style="1" customWidth="1"/>
    <col min="2836" max="2836" width="12.28515625" style="1" customWidth="1"/>
    <col min="2837" max="2837" width="1.5703125" style="1" customWidth="1"/>
    <col min="2838" max="2838" width="12.28515625" style="1" customWidth="1"/>
    <col min="2839" max="2839" width="1.5703125" style="1" customWidth="1"/>
    <col min="2840" max="2840" width="12.28515625" style="1" customWidth="1"/>
    <col min="2841" max="2841" width="0.85546875" style="1" customWidth="1"/>
    <col min="2842" max="2842" width="12.28515625" style="1" customWidth="1"/>
    <col min="2843" max="2843" width="1.5703125" style="1" customWidth="1"/>
    <col min="2844" max="2844" width="12.28515625" style="1" customWidth="1"/>
    <col min="2845" max="2845" width="1.5703125" style="1" customWidth="1"/>
    <col min="2846" max="2846" width="12.28515625" style="1" customWidth="1"/>
    <col min="2847" max="2847" width="4.5703125" style="1" customWidth="1"/>
    <col min="2848" max="2848" width="1.42578125" style="1" customWidth="1"/>
    <col min="2849" max="3071" width="13.85546875" style="1"/>
    <col min="3072" max="3072" width="7.85546875" style="1" customWidth="1"/>
    <col min="3073" max="3074" width="2.28515625" style="1" customWidth="1"/>
    <col min="3075" max="3075" width="31.42578125" style="1" customWidth="1"/>
    <col min="3076" max="3076" width="2.28515625" style="1" customWidth="1"/>
    <col min="3077" max="3077" width="2.140625" style="1" customWidth="1"/>
    <col min="3078" max="3078" width="12.28515625" style="1" customWidth="1"/>
    <col min="3079" max="3079" width="1.5703125" style="1" customWidth="1"/>
    <col min="3080" max="3080" width="12.28515625" style="1" customWidth="1"/>
    <col min="3081" max="3081" width="1.5703125" style="1" customWidth="1"/>
    <col min="3082" max="3082" width="12.28515625" style="1" customWidth="1"/>
    <col min="3083" max="3083" width="1.5703125" style="1" customWidth="1"/>
    <col min="3084" max="3084" width="13.5703125" style="1" customWidth="1"/>
    <col min="3085" max="3085" width="0.85546875" style="1" customWidth="1"/>
    <col min="3086" max="3086" width="12.28515625" style="1" customWidth="1"/>
    <col min="3087" max="3087" width="1.5703125" style="1" customWidth="1"/>
    <col min="3088" max="3088" width="12.28515625" style="1" customWidth="1"/>
    <col min="3089" max="3089" width="1.5703125" style="1" customWidth="1"/>
    <col min="3090" max="3090" width="12.28515625" style="1" customWidth="1"/>
    <col min="3091" max="3091" width="0.85546875" style="1" customWidth="1"/>
    <col min="3092" max="3092" width="12.28515625" style="1" customWidth="1"/>
    <col min="3093" max="3093" width="1.5703125" style="1" customWidth="1"/>
    <col min="3094" max="3094" width="12.28515625" style="1" customWidth="1"/>
    <col min="3095" max="3095" width="1.5703125" style="1" customWidth="1"/>
    <col min="3096" max="3096" width="12.28515625" style="1" customWidth="1"/>
    <col min="3097" max="3097" width="0.85546875" style="1" customWidth="1"/>
    <col min="3098" max="3098" width="12.28515625" style="1" customWidth="1"/>
    <col min="3099" max="3099" width="1.5703125" style="1" customWidth="1"/>
    <col min="3100" max="3100" width="12.28515625" style="1" customWidth="1"/>
    <col min="3101" max="3101" width="1.5703125" style="1" customWidth="1"/>
    <col min="3102" max="3102" width="12.28515625" style="1" customWidth="1"/>
    <col min="3103" max="3103" width="4.5703125" style="1" customWidth="1"/>
    <col min="3104" max="3104" width="1.42578125" style="1" customWidth="1"/>
    <col min="3105" max="3327" width="13.85546875" style="1"/>
    <col min="3328" max="3328" width="7.85546875" style="1" customWidth="1"/>
    <col min="3329" max="3330" width="2.28515625" style="1" customWidth="1"/>
    <col min="3331" max="3331" width="31.42578125" style="1" customWidth="1"/>
    <col min="3332" max="3332" width="2.28515625" style="1" customWidth="1"/>
    <col min="3333" max="3333" width="2.140625" style="1" customWidth="1"/>
    <col min="3334" max="3334" width="12.28515625" style="1" customWidth="1"/>
    <col min="3335" max="3335" width="1.5703125" style="1" customWidth="1"/>
    <col min="3336" max="3336" width="12.28515625" style="1" customWidth="1"/>
    <col min="3337" max="3337" width="1.5703125" style="1" customWidth="1"/>
    <col min="3338" max="3338" width="12.28515625" style="1" customWidth="1"/>
    <col min="3339" max="3339" width="1.5703125" style="1" customWidth="1"/>
    <col min="3340" max="3340" width="13.5703125" style="1" customWidth="1"/>
    <col min="3341" max="3341" width="0.85546875" style="1" customWidth="1"/>
    <col min="3342" max="3342" width="12.28515625" style="1" customWidth="1"/>
    <col min="3343" max="3343" width="1.5703125" style="1" customWidth="1"/>
    <col min="3344" max="3344" width="12.28515625" style="1" customWidth="1"/>
    <col min="3345" max="3345" width="1.5703125" style="1" customWidth="1"/>
    <col min="3346" max="3346" width="12.28515625" style="1" customWidth="1"/>
    <col min="3347" max="3347" width="0.85546875" style="1" customWidth="1"/>
    <col min="3348" max="3348" width="12.28515625" style="1" customWidth="1"/>
    <col min="3349" max="3349" width="1.5703125" style="1" customWidth="1"/>
    <col min="3350" max="3350" width="12.28515625" style="1" customWidth="1"/>
    <col min="3351" max="3351" width="1.5703125" style="1" customWidth="1"/>
    <col min="3352" max="3352" width="12.28515625" style="1" customWidth="1"/>
    <col min="3353" max="3353" width="0.85546875" style="1" customWidth="1"/>
    <col min="3354" max="3354" width="12.28515625" style="1" customWidth="1"/>
    <col min="3355" max="3355" width="1.5703125" style="1" customWidth="1"/>
    <col min="3356" max="3356" width="12.28515625" style="1" customWidth="1"/>
    <col min="3357" max="3357" width="1.5703125" style="1" customWidth="1"/>
    <col min="3358" max="3358" width="12.28515625" style="1" customWidth="1"/>
    <col min="3359" max="3359" width="4.5703125" style="1" customWidth="1"/>
    <col min="3360" max="3360" width="1.42578125" style="1" customWidth="1"/>
    <col min="3361" max="3583" width="13.85546875" style="1"/>
    <col min="3584" max="3584" width="7.85546875" style="1" customWidth="1"/>
    <col min="3585" max="3586" width="2.28515625" style="1" customWidth="1"/>
    <col min="3587" max="3587" width="31.42578125" style="1" customWidth="1"/>
    <col min="3588" max="3588" width="2.28515625" style="1" customWidth="1"/>
    <col min="3589" max="3589" width="2.140625" style="1" customWidth="1"/>
    <col min="3590" max="3590" width="12.28515625" style="1" customWidth="1"/>
    <col min="3591" max="3591" width="1.5703125" style="1" customWidth="1"/>
    <col min="3592" max="3592" width="12.28515625" style="1" customWidth="1"/>
    <col min="3593" max="3593" width="1.5703125" style="1" customWidth="1"/>
    <col min="3594" max="3594" width="12.28515625" style="1" customWidth="1"/>
    <col min="3595" max="3595" width="1.5703125" style="1" customWidth="1"/>
    <col min="3596" max="3596" width="13.5703125" style="1" customWidth="1"/>
    <col min="3597" max="3597" width="0.85546875" style="1" customWidth="1"/>
    <col min="3598" max="3598" width="12.28515625" style="1" customWidth="1"/>
    <col min="3599" max="3599" width="1.5703125" style="1" customWidth="1"/>
    <col min="3600" max="3600" width="12.28515625" style="1" customWidth="1"/>
    <col min="3601" max="3601" width="1.5703125" style="1" customWidth="1"/>
    <col min="3602" max="3602" width="12.28515625" style="1" customWidth="1"/>
    <col min="3603" max="3603" width="0.85546875" style="1" customWidth="1"/>
    <col min="3604" max="3604" width="12.28515625" style="1" customWidth="1"/>
    <col min="3605" max="3605" width="1.5703125" style="1" customWidth="1"/>
    <col min="3606" max="3606" width="12.28515625" style="1" customWidth="1"/>
    <col min="3607" max="3607" width="1.5703125" style="1" customWidth="1"/>
    <col min="3608" max="3608" width="12.28515625" style="1" customWidth="1"/>
    <col min="3609" max="3609" width="0.85546875" style="1" customWidth="1"/>
    <col min="3610" max="3610" width="12.28515625" style="1" customWidth="1"/>
    <col min="3611" max="3611" width="1.5703125" style="1" customWidth="1"/>
    <col min="3612" max="3612" width="12.28515625" style="1" customWidth="1"/>
    <col min="3613" max="3613" width="1.5703125" style="1" customWidth="1"/>
    <col min="3614" max="3614" width="12.28515625" style="1" customWidth="1"/>
    <col min="3615" max="3615" width="4.5703125" style="1" customWidth="1"/>
    <col min="3616" max="3616" width="1.42578125" style="1" customWidth="1"/>
    <col min="3617" max="3839" width="13.85546875" style="1"/>
    <col min="3840" max="3840" width="7.85546875" style="1" customWidth="1"/>
    <col min="3841" max="3842" width="2.28515625" style="1" customWidth="1"/>
    <col min="3843" max="3843" width="31.42578125" style="1" customWidth="1"/>
    <col min="3844" max="3844" width="2.28515625" style="1" customWidth="1"/>
    <col min="3845" max="3845" width="2.140625" style="1" customWidth="1"/>
    <col min="3846" max="3846" width="12.28515625" style="1" customWidth="1"/>
    <col min="3847" max="3847" width="1.5703125" style="1" customWidth="1"/>
    <col min="3848" max="3848" width="12.28515625" style="1" customWidth="1"/>
    <col min="3849" max="3849" width="1.5703125" style="1" customWidth="1"/>
    <col min="3850" max="3850" width="12.28515625" style="1" customWidth="1"/>
    <col min="3851" max="3851" width="1.5703125" style="1" customWidth="1"/>
    <col min="3852" max="3852" width="13.5703125" style="1" customWidth="1"/>
    <col min="3853" max="3853" width="0.85546875" style="1" customWidth="1"/>
    <col min="3854" max="3854" width="12.28515625" style="1" customWidth="1"/>
    <col min="3855" max="3855" width="1.5703125" style="1" customWidth="1"/>
    <col min="3856" max="3856" width="12.28515625" style="1" customWidth="1"/>
    <col min="3857" max="3857" width="1.5703125" style="1" customWidth="1"/>
    <col min="3858" max="3858" width="12.28515625" style="1" customWidth="1"/>
    <col min="3859" max="3859" width="0.85546875" style="1" customWidth="1"/>
    <col min="3860" max="3860" width="12.28515625" style="1" customWidth="1"/>
    <col min="3861" max="3861" width="1.5703125" style="1" customWidth="1"/>
    <col min="3862" max="3862" width="12.28515625" style="1" customWidth="1"/>
    <col min="3863" max="3863" width="1.5703125" style="1" customWidth="1"/>
    <col min="3864" max="3864" width="12.28515625" style="1" customWidth="1"/>
    <col min="3865" max="3865" width="0.85546875" style="1" customWidth="1"/>
    <col min="3866" max="3866" width="12.28515625" style="1" customWidth="1"/>
    <col min="3867" max="3867" width="1.5703125" style="1" customWidth="1"/>
    <col min="3868" max="3868" width="12.28515625" style="1" customWidth="1"/>
    <col min="3869" max="3869" width="1.5703125" style="1" customWidth="1"/>
    <col min="3870" max="3870" width="12.28515625" style="1" customWidth="1"/>
    <col min="3871" max="3871" width="4.5703125" style="1" customWidth="1"/>
    <col min="3872" max="3872" width="1.42578125" style="1" customWidth="1"/>
    <col min="3873" max="4095" width="13.85546875" style="1"/>
    <col min="4096" max="4096" width="7.85546875" style="1" customWidth="1"/>
    <col min="4097" max="4098" width="2.28515625" style="1" customWidth="1"/>
    <col min="4099" max="4099" width="31.42578125" style="1" customWidth="1"/>
    <col min="4100" max="4100" width="2.28515625" style="1" customWidth="1"/>
    <col min="4101" max="4101" width="2.140625" style="1" customWidth="1"/>
    <col min="4102" max="4102" width="12.28515625" style="1" customWidth="1"/>
    <col min="4103" max="4103" width="1.5703125" style="1" customWidth="1"/>
    <col min="4104" max="4104" width="12.28515625" style="1" customWidth="1"/>
    <col min="4105" max="4105" width="1.5703125" style="1" customWidth="1"/>
    <col min="4106" max="4106" width="12.28515625" style="1" customWidth="1"/>
    <col min="4107" max="4107" width="1.5703125" style="1" customWidth="1"/>
    <col min="4108" max="4108" width="13.5703125" style="1" customWidth="1"/>
    <col min="4109" max="4109" width="0.85546875" style="1" customWidth="1"/>
    <col min="4110" max="4110" width="12.28515625" style="1" customWidth="1"/>
    <col min="4111" max="4111" width="1.5703125" style="1" customWidth="1"/>
    <col min="4112" max="4112" width="12.28515625" style="1" customWidth="1"/>
    <col min="4113" max="4113" width="1.5703125" style="1" customWidth="1"/>
    <col min="4114" max="4114" width="12.28515625" style="1" customWidth="1"/>
    <col min="4115" max="4115" width="0.85546875" style="1" customWidth="1"/>
    <col min="4116" max="4116" width="12.28515625" style="1" customWidth="1"/>
    <col min="4117" max="4117" width="1.5703125" style="1" customWidth="1"/>
    <col min="4118" max="4118" width="12.28515625" style="1" customWidth="1"/>
    <col min="4119" max="4119" width="1.5703125" style="1" customWidth="1"/>
    <col min="4120" max="4120" width="12.28515625" style="1" customWidth="1"/>
    <col min="4121" max="4121" width="0.85546875" style="1" customWidth="1"/>
    <col min="4122" max="4122" width="12.28515625" style="1" customWidth="1"/>
    <col min="4123" max="4123" width="1.5703125" style="1" customWidth="1"/>
    <col min="4124" max="4124" width="12.28515625" style="1" customWidth="1"/>
    <col min="4125" max="4125" width="1.5703125" style="1" customWidth="1"/>
    <col min="4126" max="4126" width="12.28515625" style="1" customWidth="1"/>
    <col min="4127" max="4127" width="4.5703125" style="1" customWidth="1"/>
    <col min="4128" max="4128" width="1.42578125" style="1" customWidth="1"/>
    <col min="4129" max="4351" width="13.85546875" style="1"/>
    <col min="4352" max="4352" width="7.85546875" style="1" customWidth="1"/>
    <col min="4353" max="4354" width="2.28515625" style="1" customWidth="1"/>
    <col min="4355" max="4355" width="31.42578125" style="1" customWidth="1"/>
    <col min="4356" max="4356" width="2.28515625" style="1" customWidth="1"/>
    <col min="4357" max="4357" width="2.140625" style="1" customWidth="1"/>
    <col min="4358" max="4358" width="12.28515625" style="1" customWidth="1"/>
    <col min="4359" max="4359" width="1.5703125" style="1" customWidth="1"/>
    <col min="4360" max="4360" width="12.28515625" style="1" customWidth="1"/>
    <col min="4361" max="4361" width="1.5703125" style="1" customWidth="1"/>
    <col min="4362" max="4362" width="12.28515625" style="1" customWidth="1"/>
    <col min="4363" max="4363" width="1.5703125" style="1" customWidth="1"/>
    <col min="4364" max="4364" width="13.5703125" style="1" customWidth="1"/>
    <col min="4365" max="4365" width="0.85546875" style="1" customWidth="1"/>
    <col min="4366" max="4366" width="12.28515625" style="1" customWidth="1"/>
    <col min="4367" max="4367" width="1.5703125" style="1" customWidth="1"/>
    <col min="4368" max="4368" width="12.28515625" style="1" customWidth="1"/>
    <col min="4369" max="4369" width="1.5703125" style="1" customWidth="1"/>
    <col min="4370" max="4370" width="12.28515625" style="1" customWidth="1"/>
    <col min="4371" max="4371" width="0.85546875" style="1" customWidth="1"/>
    <col min="4372" max="4372" width="12.28515625" style="1" customWidth="1"/>
    <col min="4373" max="4373" width="1.5703125" style="1" customWidth="1"/>
    <col min="4374" max="4374" width="12.28515625" style="1" customWidth="1"/>
    <col min="4375" max="4375" width="1.5703125" style="1" customWidth="1"/>
    <col min="4376" max="4376" width="12.28515625" style="1" customWidth="1"/>
    <col min="4377" max="4377" width="0.85546875" style="1" customWidth="1"/>
    <col min="4378" max="4378" width="12.28515625" style="1" customWidth="1"/>
    <col min="4379" max="4379" width="1.5703125" style="1" customWidth="1"/>
    <col min="4380" max="4380" width="12.28515625" style="1" customWidth="1"/>
    <col min="4381" max="4381" width="1.5703125" style="1" customWidth="1"/>
    <col min="4382" max="4382" width="12.28515625" style="1" customWidth="1"/>
    <col min="4383" max="4383" width="4.5703125" style="1" customWidth="1"/>
    <col min="4384" max="4384" width="1.42578125" style="1" customWidth="1"/>
    <col min="4385" max="4607" width="13.85546875" style="1"/>
    <col min="4608" max="4608" width="7.85546875" style="1" customWidth="1"/>
    <col min="4609" max="4610" width="2.28515625" style="1" customWidth="1"/>
    <col min="4611" max="4611" width="31.42578125" style="1" customWidth="1"/>
    <col min="4612" max="4612" width="2.28515625" style="1" customWidth="1"/>
    <col min="4613" max="4613" width="2.140625" style="1" customWidth="1"/>
    <col min="4614" max="4614" width="12.28515625" style="1" customWidth="1"/>
    <col min="4615" max="4615" width="1.5703125" style="1" customWidth="1"/>
    <col min="4616" max="4616" width="12.28515625" style="1" customWidth="1"/>
    <col min="4617" max="4617" width="1.5703125" style="1" customWidth="1"/>
    <col min="4618" max="4618" width="12.28515625" style="1" customWidth="1"/>
    <col min="4619" max="4619" width="1.5703125" style="1" customWidth="1"/>
    <col min="4620" max="4620" width="13.5703125" style="1" customWidth="1"/>
    <col min="4621" max="4621" width="0.85546875" style="1" customWidth="1"/>
    <col min="4622" max="4622" width="12.28515625" style="1" customWidth="1"/>
    <col min="4623" max="4623" width="1.5703125" style="1" customWidth="1"/>
    <col min="4624" max="4624" width="12.28515625" style="1" customWidth="1"/>
    <col min="4625" max="4625" width="1.5703125" style="1" customWidth="1"/>
    <col min="4626" max="4626" width="12.28515625" style="1" customWidth="1"/>
    <col min="4627" max="4627" width="0.85546875" style="1" customWidth="1"/>
    <col min="4628" max="4628" width="12.28515625" style="1" customWidth="1"/>
    <col min="4629" max="4629" width="1.5703125" style="1" customWidth="1"/>
    <col min="4630" max="4630" width="12.28515625" style="1" customWidth="1"/>
    <col min="4631" max="4631" width="1.5703125" style="1" customWidth="1"/>
    <col min="4632" max="4632" width="12.28515625" style="1" customWidth="1"/>
    <col min="4633" max="4633" width="0.85546875" style="1" customWidth="1"/>
    <col min="4634" max="4634" width="12.28515625" style="1" customWidth="1"/>
    <col min="4635" max="4635" width="1.5703125" style="1" customWidth="1"/>
    <col min="4636" max="4636" width="12.28515625" style="1" customWidth="1"/>
    <col min="4637" max="4637" width="1.5703125" style="1" customWidth="1"/>
    <col min="4638" max="4638" width="12.28515625" style="1" customWidth="1"/>
    <col min="4639" max="4639" width="4.5703125" style="1" customWidth="1"/>
    <col min="4640" max="4640" width="1.42578125" style="1" customWidth="1"/>
    <col min="4641" max="4863" width="13.85546875" style="1"/>
    <col min="4864" max="4864" width="7.85546875" style="1" customWidth="1"/>
    <col min="4865" max="4866" width="2.28515625" style="1" customWidth="1"/>
    <col min="4867" max="4867" width="31.42578125" style="1" customWidth="1"/>
    <col min="4868" max="4868" width="2.28515625" style="1" customWidth="1"/>
    <col min="4869" max="4869" width="2.140625" style="1" customWidth="1"/>
    <col min="4870" max="4870" width="12.28515625" style="1" customWidth="1"/>
    <col min="4871" max="4871" width="1.5703125" style="1" customWidth="1"/>
    <col min="4872" max="4872" width="12.28515625" style="1" customWidth="1"/>
    <col min="4873" max="4873" width="1.5703125" style="1" customWidth="1"/>
    <col min="4874" max="4874" width="12.28515625" style="1" customWidth="1"/>
    <col min="4875" max="4875" width="1.5703125" style="1" customWidth="1"/>
    <col min="4876" max="4876" width="13.5703125" style="1" customWidth="1"/>
    <col min="4877" max="4877" width="0.85546875" style="1" customWidth="1"/>
    <col min="4878" max="4878" width="12.28515625" style="1" customWidth="1"/>
    <col min="4879" max="4879" width="1.5703125" style="1" customWidth="1"/>
    <col min="4880" max="4880" width="12.28515625" style="1" customWidth="1"/>
    <col min="4881" max="4881" width="1.5703125" style="1" customWidth="1"/>
    <col min="4882" max="4882" width="12.28515625" style="1" customWidth="1"/>
    <col min="4883" max="4883" width="0.85546875" style="1" customWidth="1"/>
    <col min="4884" max="4884" width="12.28515625" style="1" customWidth="1"/>
    <col min="4885" max="4885" width="1.5703125" style="1" customWidth="1"/>
    <col min="4886" max="4886" width="12.28515625" style="1" customWidth="1"/>
    <col min="4887" max="4887" width="1.5703125" style="1" customWidth="1"/>
    <col min="4888" max="4888" width="12.28515625" style="1" customWidth="1"/>
    <col min="4889" max="4889" width="0.85546875" style="1" customWidth="1"/>
    <col min="4890" max="4890" width="12.28515625" style="1" customWidth="1"/>
    <col min="4891" max="4891" width="1.5703125" style="1" customWidth="1"/>
    <col min="4892" max="4892" width="12.28515625" style="1" customWidth="1"/>
    <col min="4893" max="4893" width="1.5703125" style="1" customWidth="1"/>
    <col min="4894" max="4894" width="12.28515625" style="1" customWidth="1"/>
    <col min="4895" max="4895" width="4.5703125" style="1" customWidth="1"/>
    <col min="4896" max="4896" width="1.42578125" style="1" customWidth="1"/>
    <col min="4897" max="5119" width="13.85546875" style="1"/>
    <col min="5120" max="5120" width="7.85546875" style="1" customWidth="1"/>
    <col min="5121" max="5122" width="2.28515625" style="1" customWidth="1"/>
    <col min="5123" max="5123" width="31.42578125" style="1" customWidth="1"/>
    <col min="5124" max="5124" width="2.28515625" style="1" customWidth="1"/>
    <col min="5125" max="5125" width="2.140625" style="1" customWidth="1"/>
    <col min="5126" max="5126" width="12.28515625" style="1" customWidth="1"/>
    <col min="5127" max="5127" width="1.5703125" style="1" customWidth="1"/>
    <col min="5128" max="5128" width="12.28515625" style="1" customWidth="1"/>
    <col min="5129" max="5129" width="1.5703125" style="1" customWidth="1"/>
    <col min="5130" max="5130" width="12.28515625" style="1" customWidth="1"/>
    <col min="5131" max="5131" width="1.5703125" style="1" customWidth="1"/>
    <col min="5132" max="5132" width="13.5703125" style="1" customWidth="1"/>
    <col min="5133" max="5133" width="0.85546875" style="1" customWidth="1"/>
    <col min="5134" max="5134" width="12.28515625" style="1" customWidth="1"/>
    <col min="5135" max="5135" width="1.5703125" style="1" customWidth="1"/>
    <col min="5136" max="5136" width="12.28515625" style="1" customWidth="1"/>
    <col min="5137" max="5137" width="1.5703125" style="1" customWidth="1"/>
    <col min="5138" max="5138" width="12.28515625" style="1" customWidth="1"/>
    <col min="5139" max="5139" width="0.85546875" style="1" customWidth="1"/>
    <col min="5140" max="5140" width="12.28515625" style="1" customWidth="1"/>
    <col min="5141" max="5141" width="1.5703125" style="1" customWidth="1"/>
    <col min="5142" max="5142" width="12.28515625" style="1" customWidth="1"/>
    <col min="5143" max="5143" width="1.5703125" style="1" customWidth="1"/>
    <col min="5144" max="5144" width="12.28515625" style="1" customWidth="1"/>
    <col min="5145" max="5145" width="0.85546875" style="1" customWidth="1"/>
    <col min="5146" max="5146" width="12.28515625" style="1" customWidth="1"/>
    <col min="5147" max="5147" width="1.5703125" style="1" customWidth="1"/>
    <col min="5148" max="5148" width="12.28515625" style="1" customWidth="1"/>
    <col min="5149" max="5149" width="1.5703125" style="1" customWidth="1"/>
    <col min="5150" max="5150" width="12.28515625" style="1" customWidth="1"/>
    <col min="5151" max="5151" width="4.5703125" style="1" customWidth="1"/>
    <col min="5152" max="5152" width="1.42578125" style="1" customWidth="1"/>
    <col min="5153" max="5375" width="13.85546875" style="1"/>
    <col min="5376" max="5376" width="7.85546875" style="1" customWidth="1"/>
    <col min="5377" max="5378" width="2.28515625" style="1" customWidth="1"/>
    <col min="5379" max="5379" width="31.42578125" style="1" customWidth="1"/>
    <col min="5380" max="5380" width="2.28515625" style="1" customWidth="1"/>
    <col min="5381" max="5381" width="2.140625" style="1" customWidth="1"/>
    <col min="5382" max="5382" width="12.28515625" style="1" customWidth="1"/>
    <col min="5383" max="5383" width="1.5703125" style="1" customWidth="1"/>
    <col min="5384" max="5384" width="12.28515625" style="1" customWidth="1"/>
    <col min="5385" max="5385" width="1.5703125" style="1" customWidth="1"/>
    <col min="5386" max="5386" width="12.28515625" style="1" customWidth="1"/>
    <col min="5387" max="5387" width="1.5703125" style="1" customWidth="1"/>
    <col min="5388" max="5388" width="13.5703125" style="1" customWidth="1"/>
    <col min="5389" max="5389" width="0.85546875" style="1" customWidth="1"/>
    <col min="5390" max="5390" width="12.28515625" style="1" customWidth="1"/>
    <col min="5391" max="5391" width="1.5703125" style="1" customWidth="1"/>
    <col min="5392" max="5392" width="12.28515625" style="1" customWidth="1"/>
    <col min="5393" max="5393" width="1.5703125" style="1" customWidth="1"/>
    <col min="5394" max="5394" width="12.28515625" style="1" customWidth="1"/>
    <col min="5395" max="5395" width="0.85546875" style="1" customWidth="1"/>
    <col min="5396" max="5396" width="12.28515625" style="1" customWidth="1"/>
    <col min="5397" max="5397" width="1.5703125" style="1" customWidth="1"/>
    <col min="5398" max="5398" width="12.28515625" style="1" customWidth="1"/>
    <col min="5399" max="5399" width="1.5703125" style="1" customWidth="1"/>
    <col min="5400" max="5400" width="12.28515625" style="1" customWidth="1"/>
    <col min="5401" max="5401" width="0.85546875" style="1" customWidth="1"/>
    <col min="5402" max="5402" width="12.28515625" style="1" customWidth="1"/>
    <col min="5403" max="5403" width="1.5703125" style="1" customWidth="1"/>
    <col min="5404" max="5404" width="12.28515625" style="1" customWidth="1"/>
    <col min="5405" max="5405" width="1.5703125" style="1" customWidth="1"/>
    <col min="5406" max="5406" width="12.28515625" style="1" customWidth="1"/>
    <col min="5407" max="5407" width="4.5703125" style="1" customWidth="1"/>
    <col min="5408" max="5408" width="1.42578125" style="1" customWidth="1"/>
    <col min="5409" max="5631" width="13.85546875" style="1"/>
    <col min="5632" max="5632" width="7.85546875" style="1" customWidth="1"/>
    <col min="5633" max="5634" width="2.28515625" style="1" customWidth="1"/>
    <col min="5635" max="5635" width="31.42578125" style="1" customWidth="1"/>
    <col min="5636" max="5636" width="2.28515625" style="1" customWidth="1"/>
    <col min="5637" max="5637" width="2.140625" style="1" customWidth="1"/>
    <col min="5638" max="5638" width="12.28515625" style="1" customWidth="1"/>
    <col min="5639" max="5639" width="1.5703125" style="1" customWidth="1"/>
    <col min="5640" max="5640" width="12.28515625" style="1" customWidth="1"/>
    <col min="5641" max="5641" width="1.5703125" style="1" customWidth="1"/>
    <col min="5642" max="5642" width="12.28515625" style="1" customWidth="1"/>
    <col min="5643" max="5643" width="1.5703125" style="1" customWidth="1"/>
    <col min="5644" max="5644" width="13.5703125" style="1" customWidth="1"/>
    <col min="5645" max="5645" width="0.85546875" style="1" customWidth="1"/>
    <col min="5646" max="5646" width="12.28515625" style="1" customWidth="1"/>
    <col min="5647" max="5647" width="1.5703125" style="1" customWidth="1"/>
    <col min="5648" max="5648" width="12.28515625" style="1" customWidth="1"/>
    <col min="5649" max="5649" width="1.5703125" style="1" customWidth="1"/>
    <col min="5650" max="5650" width="12.28515625" style="1" customWidth="1"/>
    <col min="5651" max="5651" width="0.85546875" style="1" customWidth="1"/>
    <col min="5652" max="5652" width="12.28515625" style="1" customWidth="1"/>
    <col min="5653" max="5653" width="1.5703125" style="1" customWidth="1"/>
    <col min="5654" max="5654" width="12.28515625" style="1" customWidth="1"/>
    <col min="5655" max="5655" width="1.5703125" style="1" customWidth="1"/>
    <col min="5656" max="5656" width="12.28515625" style="1" customWidth="1"/>
    <col min="5657" max="5657" width="0.85546875" style="1" customWidth="1"/>
    <col min="5658" max="5658" width="12.28515625" style="1" customWidth="1"/>
    <col min="5659" max="5659" width="1.5703125" style="1" customWidth="1"/>
    <col min="5660" max="5660" width="12.28515625" style="1" customWidth="1"/>
    <col min="5661" max="5661" width="1.5703125" style="1" customWidth="1"/>
    <col min="5662" max="5662" width="12.28515625" style="1" customWidth="1"/>
    <col min="5663" max="5663" width="4.5703125" style="1" customWidth="1"/>
    <col min="5664" max="5664" width="1.42578125" style="1" customWidth="1"/>
    <col min="5665" max="5887" width="13.85546875" style="1"/>
    <col min="5888" max="5888" width="7.85546875" style="1" customWidth="1"/>
    <col min="5889" max="5890" width="2.28515625" style="1" customWidth="1"/>
    <col min="5891" max="5891" width="31.42578125" style="1" customWidth="1"/>
    <col min="5892" max="5892" width="2.28515625" style="1" customWidth="1"/>
    <col min="5893" max="5893" width="2.140625" style="1" customWidth="1"/>
    <col min="5894" max="5894" width="12.28515625" style="1" customWidth="1"/>
    <col min="5895" max="5895" width="1.5703125" style="1" customWidth="1"/>
    <col min="5896" max="5896" width="12.28515625" style="1" customWidth="1"/>
    <col min="5897" max="5897" width="1.5703125" style="1" customWidth="1"/>
    <col min="5898" max="5898" width="12.28515625" style="1" customWidth="1"/>
    <col min="5899" max="5899" width="1.5703125" style="1" customWidth="1"/>
    <col min="5900" max="5900" width="13.5703125" style="1" customWidth="1"/>
    <col min="5901" max="5901" width="0.85546875" style="1" customWidth="1"/>
    <col min="5902" max="5902" width="12.28515625" style="1" customWidth="1"/>
    <col min="5903" max="5903" width="1.5703125" style="1" customWidth="1"/>
    <col min="5904" max="5904" width="12.28515625" style="1" customWidth="1"/>
    <col min="5905" max="5905" width="1.5703125" style="1" customWidth="1"/>
    <col min="5906" max="5906" width="12.28515625" style="1" customWidth="1"/>
    <col min="5907" max="5907" width="0.85546875" style="1" customWidth="1"/>
    <col min="5908" max="5908" width="12.28515625" style="1" customWidth="1"/>
    <col min="5909" max="5909" width="1.5703125" style="1" customWidth="1"/>
    <col min="5910" max="5910" width="12.28515625" style="1" customWidth="1"/>
    <col min="5911" max="5911" width="1.5703125" style="1" customWidth="1"/>
    <col min="5912" max="5912" width="12.28515625" style="1" customWidth="1"/>
    <col min="5913" max="5913" width="0.85546875" style="1" customWidth="1"/>
    <col min="5914" max="5914" width="12.28515625" style="1" customWidth="1"/>
    <col min="5915" max="5915" width="1.5703125" style="1" customWidth="1"/>
    <col min="5916" max="5916" width="12.28515625" style="1" customWidth="1"/>
    <col min="5917" max="5917" width="1.5703125" style="1" customWidth="1"/>
    <col min="5918" max="5918" width="12.28515625" style="1" customWidth="1"/>
    <col min="5919" max="5919" width="4.5703125" style="1" customWidth="1"/>
    <col min="5920" max="5920" width="1.42578125" style="1" customWidth="1"/>
    <col min="5921" max="6143" width="13.85546875" style="1"/>
    <col min="6144" max="6144" width="7.85546875" style="1" customWidth="1"/>
    <col min="6145" max="6146" width="2.28515625" style="1" customWidth="1"/>
    <col min="6147" max="6147" width="31.42578125" style="1" customWidth="1"/>
    <col min="6148" max="6148" width="2.28515625" style="1" customWidth="1"/>
    <col min="6149" max="6149" width="2.140625" style="1" customWidth="1"/>
    <col min="6150" max="6150" width="12.28515625" style="1" customWidth="1"/>
    <col min="6151" max="6151" width="1.5703125" style="1" customWidth="1"/>
    <col min="6152" max="6152" width="12.28515625" style="1" customWidth="1"/>
    <col min="6153" max="6153" width="1.5703125" style="1" customWidth="1"/>
    <col min="6154" max="6154" width="12.28515625" style="1" customWidth="1"/>
    <col min="6155" max="6155" width="1.5703125" style="1" customWidth="1"/>
    <col min="6156" max="6156" width="13.5703125" style="1" customWidth="1"/>
    <col min="6157" max="6157" width="0.85546875" style="1" customWidth="1"/>
    <col min="6158" max="6158" width="12.28515625" style="1" customWidth="1"/>
    <col min="6159" max="6159" width="1.5703125" style="1" customWidth="1"/>
    <col min="6160" max="6160" width="12.28515625" style="1" customWidth="1"/>
    <col min="6161" max="6161" width="1.5703125" style="1" customWidth="1"/>
    <col min="6162" max="6162" width="12.28515625" style="1" customWidth="1"/>
    <col min="6163" max="6163" width="0.85546875" style="1" customWidth="1"/>
    <col min="6164" max="6164" width="12.28515625" style="1" customWidth="1"/>
    <col min="6165" max="6165" width="1.5703125" style="1" customWidth="1"/>
    <col min="6166" max="6166" width="12.28515625" style="1" customWidth="1"/>
    <col min="6167" max="6167" width="1.5703125" style="1" customWidth="1"/>
    <col min="6168" max="6168" width="12.28515625" style="1" customWidth="1"/>
    <col min="6169" max="6169" width="0.85546875" style="1" customWidth="1"/>
    <col min="6170" max="6170" width="12.28515625" style="1" customWidth="1"/>
    <col min="6171" max="6171" width="1.5703125" style="1" customWidth="1"/>
    <col min="6172" max="6172" width="12.28515625" style="1" customWidth="1"/>
    <col min="6173" max="6173" width="1.5703125" style="1" customWidth="1"/>
    <col min="6174" max="6174" width="12.28515625" style="1" customWidth="1"/>
    <col min="6175" max="6175" width="4.5703125" style="1" customWidth="1"/>
    <col min="6176" max="6176" width="1.42578125" style="1" customWidth="1"/>
    <col min="6177" max="6399" width="13.85546875" style="1"/>
    <col min="6400" max="6400" width="7.85546875" style="1" customWidth="1"/>
    <col min="6401" max="6402" width="2.28515625" style="1" customWidth="1"/>
    <col min="6403" max="6403" width="31.42578125" style="1" customWidth="1"/>
    <col min="6404" max="6404" width="2.28515625" style="1" customWidth="1"/>
    <col min="6405" max="6405" width="2.140625" style="1" customWidth="1"/>
    <col min="6406" max="6406" width="12.28515625" style="1" customWidth="1"/>
    <col min="6407" max="6407" width="1.5703125" style="1" customWidth="1"/>
    <col min="6408" max="6408" width="12.28515625" style="1" customWidth="1"/>
    <col min="6409" max="6409" width="1.5703125" style="1" customWidth="1"/>
    <col min="6410" max="6410" width="12.28515625" style="1" customWidth="1"/>
    <col min="6411" max="6411" width="1.5703125" style="1" customWidth="1"/>
    <col min="6412" max="6412" width="13.5703125" style="1" customWidth="1"/>
    <col min="6413" max="6413" width="0.85546875" style="1" customWidth="1"/>
    <col min="6414" max="6414" width="12.28515625" style="1" customWidth="1"/>
    <col min="6415" max="6415" width="1.5703125" style="1" customWidth="1"/>
    <col min="6416" max="6416" width="12.28515625" style="1" customWidth="1"/>
    <col min="6417" max="6417" width="1.5703125" style="1" customWidth="1"/>
    <col min="6418" max="6418" width="12.28515625" style="1" customWidth="1"/>
    <col min="6419" max="6419" width="0.85546875" style="1" customWidth="1"/>
    <col min="6420" max="6420" width="12.28515625" style="1" customWidth="1"/>
    <col min="6421" max="6421" width="1.5703125" style="1" customWidth="1"/>
    <col min="6422" max="6422" width="12.28515625" style="1" customWidth="1"/>
    <col min="6423" max="6423" width="1.5703125" style="1" customWidth="1"/>
    <col min="6424" max="6424" width="12.28515625" style="1" customWidth="1"/>
    <col min="6425" max="6425" width="0.85546875" style="1" customWidth="1"/>
    <col min="6426" max="6426" width="12.28515625" style="1" customWidth="1"/>
    <col min="6427" max="6427" width="1.5703125" style="1" customWidth="1"/>
    <col min="6428" max="6428" width="12.28515625" style="1" customWidth="1"/>
    <col min="6429" max="6429" width="1.5703125" style="1" customWidth="1"/>
    <col min="6430" max="6430" width="12.28515625" style="1" customWidth="1"/>
    <col min="6431" max="6431" width="4.5703125" style="1" customWidth="1"/>
    <col min="6432" max="6432" width="1.42578125" style="1" customWidth="1"/>
    <col min="6433" max="6655" width="13.85546875" style="1"/>
    <col min="6656" max="6656" width="7.85546875" style="1" customWidth="1"/>
    <col min="6657" max="6658" width="2.28515625" style="1" customWidth="1"/>
    <col min="6659" max="6659" width="31.42578125" style="1" customWidth="1"/>
    <col min="6660" max="6660" width="2.28515625" style="1" customWidth="1"/>
    <col min="6661" max="6661" width="2.140625" style="1" customWidth="1"/>
    <col min="6662" max="6662" width="12.28515625" style="1" customWidth="1"/>
    <col min="6663" max="6663" width="1.5703125" style="1" customWidth="1"/>
    <col min="6664" max="6664" width="12.28515625" style="1" customWidth="1"/>
    <col min="6665" max="6665" width="1.5703125" style="1" customWidth="1"/>
    <col min="6666" max="6666" width="12.28515625" style="1" customWidth="1"/>
    <col min="6667" max="6667" width="1.5703125" style="1" customWidth="1"/>
    <col min="6668" max="6668" width="13.5703125" style="1" customWidth="1"/>
    <col min="6669" max="6669" width="0.85546875" style="1" customWidth="1"/>
    <col min="6670" max="6670" width="12.28515625" style="1" customWidth="1"/>
    <col min="6671" max="6671" width="1.5703125" style="1" customWidth="1"/>
    <col min="6672" max="6672" width="12.28515625" style="1" customWidth="1"/>
    <col min="6673" max="6673" width="1.5703125" style="1" customWidth="1"/>
    <col min="6674" max="6674" width="12.28515625" style="1" customWidth="1"/>
    <col min="6675" max="6675" width="0.85546875" style="1" customWidth="1"/>
    <col min="6676" max="6676" width="12.28515625" style="1" customWidth="1"/>
    <col min="6677" max="6677" width="1.5703125" style="1" customWidth="1"/>
    <col min="6678" max="6678" width="12.28515625" style="1" customWidth="1"/>
    <col min="6679" max="6679" width="1.5703125" style="1" customWidth="1"/>
    <col min="6680" max="6680" width="12.28515625" style="1" customWidth="1"/>
    <col min="6681" max="6681" width="0.85546875" style="1" customWidth="1"/>
    <col min="6682" max="6682" width="12.28515625" style="1" customWidth="1"/>
    <col min="6683" max="6683" width="1.5703125" style="1" customWidth="1"/>
    <col min="6684" max="6684" width="12.28515625" style="1" customWidth="1"/>
    <col min="6685" max="6685" width="1.5703125" style="1" customWidth="1"/>
    <col min="6686" max="6686" width="12.28515625" style="1" customWidth="1"/>
    <col min="6687" max="6687" width="4.5703125" style="1" customWidth="1"/>
    <col min="6688" max="6688" width="1.42578125" style="1" customWidth="1"/>
    <col min="6689" max="6911" width="13.85546875" style="1"/>
    <col min="6912" max="6912" width="7.85546875" style="1" customWidth="1"/>
    <col min="6913" max="6914" width="2.28515625" style="1" customWidth="1"/>
    <col min="6915" max="6915" width="31.42578125" style="1" customWidth="1"/>
    <col min="6916" max="6916" width="2.28515625" style="1" customWidth="1"/>
    <col min="6917" max="6917" width="2.140625" style="1" customWidth="1"/>
    <col min="6918" max="6918" width="12.28515625" style="1" customWidth="1"/>
    <col min="6919" max="6919" width="1.5703125" style="1" customWidth="1"/>
    <col min="6920" max="6920" width="12.28515625" style="1" customWidth="1"/>
    <col min="6921" max="6921" width="1.5703125" style="1" customWidth="1"/>
    <col min="6922" max="6922" width="12.28515625" style="1" customWidth="1"/>
    <col min="6923" max="6923" width="1.5703125" style="1" customWidth="1"/>
    <col min="6924" max="6924" width="13.5703125" style="1" customWidth="1"/>
    <col min="6925" max="6925" width="0.85546875" style="1" customWidth="1"/>
    <col min="6926" max="6926" width="12.28515625" style="1" customWidth="1"/>
    <col min="6927" max="6927" width="1.5703125" style="1" customWidth="1"/>
    <col min="6928" max="6928" width="12.28515625" style="1" customWidth="1"/>
    <col min="6929" max="6929" width="1.5703125" style="1" customWidth="1"/>
    <col min="6930" max="6930" width="12.28515625" style="1" customWidth="1"/>
    <col min="6931" max="6931" width="0.85546875" style="1" customWidth="1"/>
    <col min="6932" max="6932" width="12.28515625" style="1" customWidth="1"/>
    <col min="6933" max="6933" width="1.5703125" style="1" customWidth="1"/>
    <col min="6934" max="6934" width="12.28515625" style="1" customWidth="1"/>
    <col min="6935" max="6935" width="1.5703125" style="1" customWidth="1"/>
    <col min="6936" max="6936" width="12.28515625" style="1" customWidth="1"/>
    <col min="6937" max="6937" width="0.85546875" style="1" customWidth="1"/>
    <col min="6938" max="6938" width="12.28515625" style="1" customWidth="1"/>
    <col min="6939" max="6939" width="1.5703125" style="1" customWidth="1"/>
    <col min="6940" max="6940" width="12.28515625" style="1" customWidth="1"/>
    <col min="6941" max="6941" width="1.5703125" style="1" customWidth="1"/>
    <col min="6942" max="6942" width="12.28515625" style="1" customWidth="1"/>
    <col min="6943" max="6943" width="4.5703125" style="1" customWidth="1"/>
    <col min="6944" max="6944" width="1.42578125" style="1" customWidth="1"/>
    <col min="6945" max="7167" width="13.85546875" style="1"/>
    <col min="7168" max="7168" width="7.85546875" style="1" customWidth="1"/>
    <col min="7169" max="7170" width="2.28515625" style="1" customWidth="1"/>
    <col min="7171" max="7171" width="31.42578125" style="1" customWidth="1"/>
    <col min="7172" max="7172" width="2.28515625" style="1" customWidth="1"/>
    <col min="7173" max="7173" width="2.140625" style="1" customWidth="1"/>
    <col min="7174" max="7174" width="12.28515625" style="1" customWidth="1"/>
    <col min="7175" max="7175" width="1.5703125" style="1" customWidth="1"/>
    <col min="7176" max="7176" width="12.28515625" style="1" customWidth="1"/>
    <col min="7177" max="7177" width="1.5703125" style="1" customWidth="1"/>
    <col min="7178" max="7178" width="12.28515625" style="1" customWidth="1"/>
    <col min="7179" max="7179" width="1.5703125" style="1" customWidth="1"/>
    <col min="7180" max="7180" width="13.5703125" style="1" customWidth="1"/>
    <col min="7181" max="7181" width="0.85546875" style="1" customWidth="1"/>
    <col min="7182" max="7182" width="12.28515625" style="1" customWidth="1"/>
    <col min="7183" max="7183" width="1.5703125" style="1" customWidth="1"/>
    <col min="7184" max="7184" width="12.28515625" style="1" customWidth="1"/>
    <col min="7185" max="7185" width="1.5703125" style="1" customWidth="1"/>
    <col min="7186" max="7186" width="12.28515625" style="1" customWidth="1"/>
    <col min="7187" max="7187" width="0.85546875" style="1" customWidth="1"/>
    <col min="7188" max="7188" width="12.28515625" style="1" customWidth="1"/>
    <col min="7189" max="7189" width="1.5703125" style="1" customWidth="1"/>
    <col min="7190" max="7190" width="12.28515625" style="1" customWidth="1"/>
    <col min="7191" max="7191" width="1.5703125" style="1" customWidth="1"/>
    <col min="7192" max="7192" width="12.28515625" style="1" customWidth="1"/>
    <col min="7193" max="7193" width="0.85546875" style="1" customWidth="1"/>
    <col min="7194" max="7194" width="12.28515625" style="1" customWidth="1"/>
    <col min="7195" max="7195" width="1.5703125" style="1" customWidth="1"/>
    <col min="7196" max="7196" width="12.28515625" style="1" customWidth="1"/>
    <col min="7197" max="7197" width="1.5703125" style="1" customWidth="1"/>
    <col min="7198" max="7198" width="12.28515625" style="1" customWidth="1"/>
    <col min="7199" max="7199" width="4.5703125" style="1" customWidth="1"/>
    <col min="7200" max="7200" width="1.42578125" style="1" customWidth="1"/>
    <col min="7201" max="7423" width="13.85546875" style="1"/>
    <col min="7424" max="7424" width="7.85546875" style="1" customWidth="1"/>
    <col min="7425" max="7426" width="2.28515625" style="1" customWidth="1"/>
    <col min="7427" max="7427" width="31.42578125" style="1" customWidth="1"/>
    <col min="7428" max="7428" width="2.28515625" style="1" customWidth="1"/>
    <col min="7429" max="7429" width="2.140625" style="1" customWidth="1"/>
    <col min="7430" max="7430" width="12.28515625" style="1" customWidth="1"/>
    <col min="7431" max="7431" width="1.5703125" style="1" customWidth="1"/>
    <col min="7432" max="7432" width="12.28515625" style="1" customWidth="1"/>
    <col min="7433" max="7433" width="1.5703125" style="1" customWidth="1"/>
    <col min="7434" max="7434" width="12.28515625" style="1" customWidth="1"/>
    <col min="7435" max="7435" width="1.5703125" style="1" customWidth="1"/>
    <col min="7436" max="7436" width="13.5703125" style="1" customWidth="1"/>
    <col min="7437" max="7437" width="0.85546875" style="1" customWidth="1"/>
    <col min="7438" max="7438" width="12.28515625" style="1" customWidth="1"/>
    <col min="7439" max="7439" width="1.5703125" style="1" customWidth="1"/>
    <col min="7440" max="7440" width="12.28515625" style="1" customWidth="1"/>
    <col min="7441" max="7441" width="1.5703125" style="1" customWidth="1"/>
    <col min="7442" max="7442" width="12.28515625" style="1" customWidth="1"/>
    <col min="7443" max="7443" width="0.85546875" style="1" customWidth="1"/>
    <col min="7444" max="7444" width="12.28515625" style="1" customWidth="1"/>
    <col min="7445" max="7445" width="1.5703125" style="1" customWidth="1"/>
    <col min="7446" max="7446" width="12.28515625" style="1" customWidth="1"/>
    <col min="7447" max="7447" width="1.5703125" style="1" customWidth="1"/>
    <col min="7448" max="7448" width="12.28515625" style="1" customWidth="1"/>
    <col min="7449" max="7449" width="0.85546875" style="1" customWidth="1"/>
    <col min="7450" max="7450" width="12.28515625" style="1" customWidth="1"/>
    <col min="7451" max="7451" width="1.5703125" style="1" customWidth="1"/>
    <col min="7452" max="7452" width="12.28515625" style="1" customWidth="1"/>
    <col min="7453" max="7453" width="1.5703125" style="1" customWidth="1"/>
    <col min="7454" max="7454" width="12.28515625" style="1" customWidth="1"/>
    <col min="7455" max="7455" width="4.5703125" style="1" customWidth="1"/>
    <col min="7456" max="7456" width="1.42578125" style="1" customWidth="1"/>
    <col min="7457" max="7679" width="13.85546875" style="1"/>
    <col min="7680" max="7680" width="7.85546875" style="1" customWidth="1"/>
    <col min="7681" max="7682" width="2.28515625" style="1" customWidth="1"/>
    <col min="7683" max="7683" width="31.42578125" style="1" customWidth="1"/>
    <col min="7684" max="7684" width="2.28515625" style="1" customWidth="1"/>
    <col min="7685" max="7685" width="2.140625" style="1" customWidth="1"/>
    <col min="7686" max="7686" width="12.28515625" style="1" customWidth="1"/>
    <col min="7687" max="7687" width="1.5703125" style="1" customWidth="1"/>
    <col min="7688" max="7688" width="12.28515625" style="1" customWidth="1"/>
    <col min="7689" max="7689" width="1.5703125" style="1" customWidth="1"/>
    <col min="7690" max="7690" width="12.28515625" style="1" customWidth="1"/>
    <col min="7691" max="7691" width="1.5703125" style="1" customWidth="1"/>
    <col min="7692" max="7692" width="13.5703125" style="1" customWidth="1"/>
    <col min="7693" max="7693" width="0.85546875" style="1" customWidth="1"/>
    <col min="7694" max="7694" width="12.28515625" style="1" customWidth="1"/>
    <col min="7695" max="7695" width="1.5703125" style="1" customWidth="1"/>
    <col min="7696" max="7696" width="12.28515625" style="1" customWidth="1"/>
    <col min="7697" max="7697" width="1.5703125" style="1" customWidth="1"/>
    <col min="7698" max="7698" width="12.28515625" style="1" customWidth="1"/>
    <col min="7699" max="7699" width="0.85546875" style="1" customWidth="1"/>
    <col min="7700" max="7700" width="12.28515625" style="1" customWidth="1"/>
    <col min="7701" max="7701" width="1.5703125" style="1" customWidth="1"/>
    <col min="7702" max="7702" width="12.28515625" style="1" customWidth="1"/>
    <col min="7703" max="7703" width="1.5703125" style="1" customWidth="1"/>
    <col min="7704" max="7704" width="12.28515625" style="1" customWidth="1"/>
    <col min="7705" max="7705" width="0.85546875" style="1" customWidth="1"/>
    <col min="7706" max="7706" width="12.28515625" style="1" customWidth="1"/>
    <col min="7707" max="7707" width="1.5703125" style="1" customWidth="1"/>
    <col min="7708" max="7708" width="12.28515625" style="1" customWidth="1"/>
    <col min="7709" max="7709" width="1.5703125" style="1" customWidth="1"/>
    <col min="7710" max="7710" width="12.28515625" style="1" customWidth="1"/>
    <col min="7711" max="7711" width="4.5703125" style="1" customWidth="1"/>
    <col min="7712" max="7712" width="1.42578125" style="1" customWidth="1"/>
    <col min="7713" max="7935" width="13.85546875" style="1"/>
    <col min="7936" max="7936" width="7.85546875" style="1" customWidth="1"/>
    <col min="7937" max="7938" width="2.28515625" style="1" customWidth="1"/>
    <col min="7939" max="7939" width="31.42578125" style="1" customWidth="1"/>
    <col min="7940" max="7940" width="2.28515625" style="1" customWidth="1"/>
    <col min="7941" max="7941" width="2.140625" style="1" customWidth="1"/>
    <col min="7942" max="7942" width="12.28515625" style="1" customWidth="1"/>
    <col min="7943" max="7943" width="1.5703125" style="1" customWidth="1"/>
    <col min="7944" max="7944" width="12.28515625" style="1" customWidth="1"/>
    <col min="7945" max="7945" width="1.5703125" style="1" customWidth="1"/>
    <col min="7946" max="7946" width="12.28515625" style="1" customWidth="1"/>
    <col min="7947" max="7947" width="1.5703125" style="1" customWidth="1"/>
    <col min="7948" max="7948" width="13.5703125" style="1" customWidth="1"/>
    <col min="7949" max="7949" width="0.85546875" style="1" customWidth="1"/>
    <col min="7950" max="7950" width="12.28515625" style="1" customWidth="1"/>
    <col min="7951" max="7951" width="1.5703125" style="1" customWidth="1"/>
    <col min="7952" max="7952" width="12.28515625" style="1" customWidth="1"/>
    <col min="7953" max="7953" width="1.5703125" style="1" customWidth="1"/>
    <col min="7954" max="7954" width="12.28515625" style="1" customWidth="1"/>
    <col min="7955" max="7955" width="0.85546875" style="1" customWidth="1"/>
    <col min="7956" max="7956" width="12.28515625" style="1" customWidth="1"/>
    <col min="7957" max="7957" width="1.5703125" style="1" customWidth="1"/>
    <col min="7958" max="7958" width="12.28515625" style="1" customWidth="1"/>
    <col min="7959" max="7959" width="1.5703125" style="1" customWidth="1"/>
    <col min="7960" max="7960" width="12.28515625" style="1" customWidth="1"/>
    <col min="7961" max="7961" width="0.85546875" style="1" customWidth="1"/>
    <col min="7962" max="7962" width="12.28515625" style="1" customWidth="1"/>
    <col min="7963" max="7963" width="1.5703125" style="1" customWidth="1"/>
    <col min="7964" max="7964" width="12.28515625" style="1" customWidth="1"/>
    <col min="7965" max="7965" width="1.5703125" style="1" customWidth="1"/>
    <col min="7966" max="7966" width="12.28515625" style="1" customWidth="1"/>
    <col min="7967" max="7967" width="4.5703125" style="1" customWidth="1"/>
    <col min="7968" max="7968" width="1.42578125" style="1" customWidth="1"/>
    <col min="7969" max="8191" width="13.85546875" style="1"/>
    <col min="8192" max="8192" width="7.85546875" style="1" customWidth="1"/>
    <col min="8193" max="8194" width="2.28515625" style="1" customWidth="1"/>
    <col min="8195" max="8195" width="31.42578125" style="1" customWidth="1"/>
    <col min="8196" max="8196" width="2.28515625" style="1" customWidth="1"/>
    <col min="8197" max="8197" width="2.140625" style="1" customWidth="1"/>
    <col min="8198" max="8198" width="12.28515625" style="1" customWidth="1"/>
    <col min="8199" max="8199" width="1.5703125" style="1" customWidth="1"/>
    <col min="8200" max="8200" width="12.28515625" style="1" customWidth="1"/>
    <col min="8201" max="8201" width="1.5703125" style="1" customWidth="1"/>
    <col min="8202" max="8202" width="12.28515625" style="1" customWidth="1"/>
    <col min="8203" max="8203" width="1.5703125" style="1" customWidth="1"/>
    <col min="8204" max="8204" width="13.5703125" style="1" customWidth="1"/>
    <col min="8205" max="8205" width="0.85546875" style="1" customWidth="1"/>
    <col min="8206" max="8206" width="12.28515625" style="1" customWidth="1"/>
    <col min="8207" max="8207" width="1.5703125" style="1" customWidth="1"/>
    <col min="8208" max="8208" width="12.28515625" style="1" customWidth="1"/>
    <col min="8209" max="8209" width="1.5703125" style="1" customWidth="1"/>
    <col min="8210" max="8210" width="12.28515625" style="1" customWidth="1"/>
    <col min="8211" max="8211" width="0.85546875" style="1" customWidth="1"/>
    <col min="8212" max="8212" width="12.28515625" style="1" customWidth="1"/>
    <col min="8213" max="8213" width="1.5703125" style="1" customWidth="1"/>
    <col min="8214" max="8214" width="12.28515625" style="1" customWidth="1"/>
    <col min="8215" max="8215" width="1.5703125" style="1" customWidth="1"/>
    <col min="8216" max="8216" width="12.28515625" style="1" customWidth="1"/>
    <col min="8217" max="8217" width="0.85546875" style="1" customWidth="1"/>
    <col min="8218" max="8218" width="12.28515625" style="1" customWidth="1"/>
    <col min="8219" max="8219" width="1.5703125" style="1" customWidth="1"/>
    <col min="8220" max="8220" width="12.28515625" style="1" customWidth="1"/>
    <col min="8221" max="8221" width="1.5703125" style="1" customWidth="1"/>
    <col min="8222" max="8222" width="12.28515625" style="1" customWidth="1"/>
    <col min="8223" max="8223" width="4.5703125" style="1" customWidth="1"/>
    <col min="8224" max="8224" width="1.42578125" style="1" customWidth="1"/>
    <col min="8225" max="8447" width="13.85546875" style="1"/>
    <col min="8448" max="8448" width="7.85546875" style="1" customWidth="1"/>
    <col min="8449" max="8450" width="2.28515625" style="1" customWidth="1"/>
    <col min="8451" max="8451" width="31.42578125" style="1" customWidth="1"/>
    <col min="8452" max="8452" width="2.28515625" style="1" customWidth="1"/>
    <col min="8453" max="8453" width="2.140625" style="1" customWidth="1"/>
    <col min="8454" max="8454" width="12.28515625" style="1" customWidth="1"/>
    <col min="8455" max="8455" width="1.5703125" style="1" customWidth="1"/>
    <col min="8456" max="8456" width="12.28515625" style="1" customWidth="1"/>
    <col min="8457" max="8457" width="1.5703125" style="1" customWidth="1"/>
    <col min="8458" max="8458" width="12.28515625" style="1" customWidth="1"/>
    <col min="8459" max="8459" width="1.5703125" style="1" customWidth="1"/>
    <col min="8460" max="8460" width="13.5703125" style="1" customWidth="1"/>
    <col min="8461" max="8461" width="0.85546875" style="1" customWidth="1"/>
    <col min="8462" max="8462" width="12.28515625" style="1" customWidth="1"/>
    <col min="8463" max="8463" width="1.5703125" style="1" customWidth="1"/>
    <col min="8464" max="8464" width="12.28515625" style="1" customWidth="1"/>
    <col min="8465" max="8465" width="1.5703125" style="1" customWidth="1"/>
    <col min="8466" max="8466" width="12.28515625" style="1" customWidth="1"/>
    <col min="8467" max="8467" width="0.85546875" style="1" customWidth="1"/>
    <col min="8468" max="8468" width="12.28515625" style="1" customWidth="1"/>
    <col min="8469" max="8469" width="1.5703125" style="1" customWidth="1"/>
    <col min="8470" max="8470" width="12.28515625" style="1" customWidth="1"/>
    <col min="8471" max="8471" width="1.5703125" style="1" customWidth="1"/>
    <col min="8472" max="8472" width="12.28515625" style="1" customWidth="1"/>
    <col min="8473" max="8473" width="0.85546875" style="1" customWidth="1"/>
    <col min="8474" max="8474" width="12.28515625" style="1" customWidth="1"/>
    <col min="8475" max="8475" width="1.5703125" style="1" customWidth="1"/>
    <col min="8476" max="8476" width="12.28515625" style="1" customWidth="1"/>
    <col min="8477" max="8477" width="1.5703125" style="1" customWidth="1"/>
    <col min="8478" max="8478" width="12.28515625" style="1" customWidth="1"/>
    <col min="8479" max="8479" width="4.5703125" style="1" customWidth="1"/>
    <col min="8480" max="8480" width="1.42578125" style="1" customWidth="1"/>
    <col min="8481" max="8703" width="13.85546875" style="1"/>
    <col min="8704" max="8704" width="7.85546875" style="1" customWidth="1"/>
    <col min="8705" max="8706" width="2.28515625" style="1" customWidth="1"/>
    <col min="8707" max="8707" width="31.42578125" style="1" customWidth="1"/>
    <col min="8708" max="8708" width="2.28515625" style="1" customWidth="1"/>
    <col min="8709" max="8709" width="2.140625" style="1" customWidth="1"/>
    <col min="8710" max="8710" width="12.28515625" style="1" customWidth="1"/>
    <col min="8711" max="8711" width="1.5703125" style="1" customWidth="1"/>
    <col min="8712" max="8712" width="12.28515625" style="1" customWidth="1"/>
    <col min="8713" max="8713" width="1.5703125" style="1" customWidth="1"/>
    <col min="8714" max="8714" width="12.28515625" style="1" customWidth="1"/>
    <col min="8715" max="8715" width="1.5703125" style="1" customWidth="1"/>
    <col min="8716" max="8716" width="13.5703125" style="1" customWidth="1"/>
    <col min="8717" max="8717" width="0.85546875" style="1" customWidth="1"/>
    <col min="8718" max="8718" width="12.28515625" style="1" customWidth="1"/>
    <col min="8719" max="8719" width="1.5703125" style="1" customWidth="1"/>
    <col min="8720" max="8720" width="12.28515625" style="1" customWidth="1"/>
    <col min="8721" max="8721" width="1.5703125" style="1" customWidth="1"/>
    <col min="8722" max="8722" width="12.28515625" style="1" customWidth="1"/>
    <col min="8723" max="8723" width="0.85546875" style="1" customWidth="1"/>
    <col min="8724" max="8724" width="12.28515625" style="1" customWidth="1"/>
    <col min="8725" max="8725" width="1.5703125" style="1" customWidth="1"/>
    <col min="8726" max="8726" width="12.28515625" style="1" customWidth="1"/>
    <col min="8727" max="8727" width="1.5703125" style="1" customWidth="1"/>
    <col min="8728" max="8728" width="12.28515625" style="1" customWidth="1"/>
    <col min="8729" max="8729" width="0.85546875" style="1" customWidth="1"/>
    <col min="8730" max="8730" width="12.28515625" style="1" customWidth="1"/>
    <col min="8731" max="8731" width="1.5703125" style="1" customWidth="1"/>
    <col min="8732" max="8732" width="12.28515625" style="1" customWidth="1"/>
    <col min="8733" max="8733" width="1.5703125" style="1" customWidth="1"/>
    <col min="8734" max="8734" width="12.28515625" style="1" customWidth="1"/>
    <col min="8735" max="8735" width="4.5703125" style="1" customWidth="1"/>
    <col min="8736" max="8736" width="1.42578125" style="1" customWidth="1"/>
    <col min="8737" max="8959" width="13.85546875" style="1"/>
    <col min="8960" max="8960" width="7.85546875" style="1" customWidth="1"/>
    <col min="8961" max="8962" width="2.28515625" style="1" customWidth="1"/>
    <col min="8963" max="8963" width="31.42578125" style="1" customWidth="1"/>
    <col min="8964" max="8964" width="2.28515625" style="1" customWidth="1"/>
    <col min="8965" max="8965" width="2.140625" style="1" customWidth="1"/>
    <col min="8966" max="8966" width="12.28515625" style="1" customWidth="1"/>
    <col min="8967" max="8967" width="1.5703125" style="1" customWidth="1"/>
    <col min="8968" max="8968" width="12.28515625" style="1" customWidth="1"/>
    <col min="8969" max="8969" width="1.5703125" style="1" customWidth="1"/>
    <col min="8970" max="8970" width="12.28515625" style="1" customWidth="1"/>
    <col min="8971" max="8971" width="1.5703125" style="1" customWidth="1"/>
    <col min="8972" max="8972" width="13.5703125" style="1" customWidth="1"/>
    <col min="8973" max="8973" width="0.85546875" style="1" customWidth="1"/>
    <col min="8974" max="8974" width="12.28515625" style="1" customWidth="1"/>
    <col min="8975" max="8975" width="1.5703125" style="1" customWidth="1"/>
    <col min="8976" max="8976" width="12.28515625" style="1" customWidth="1"/>
    <col min="8977" max="8977" width="1.5703125" style="1" customWidth="1"/>
    <col min="8978" max="8978" width="12.28515625" style="1" customWidth="1"/>
    <col min="8979" max="8979" width="0.85546875" style="1" customWidth="1"/>
    <col min="8980" max="8980" width="12.28515625" style="1" customWidth="1"/>
    <col min="8981" max="8981" width="1.5703125" style="1" customWidth="1"/>
    <col min="8982" max="8982" width="12.28515625" style="1" customWidth="1"/>
    <col min="8983" max="8983" width="1.5703125" style="1" customWidth="1"/>
    <col min="8984" max="8984" width="12.28515625" style="1" customWidth="1"/>
    <col min="8985" max="8985" width="0.85546875" style="1" customWidth="1"/>
    <col min="8986" max="8986" width="12.28515625" style="1" customWidth="1"/>
    <col min="8987" max="8987" width="1.5703125" style="1" customWidth="1"/>
    <col min="8988" max="8988" width="12.28515625" style="1" customWidth="1"/>
    <col min="8989" max="8989" width="1.5703125" style="1" customWidth="1"/>
    <col min="8990" max="8990" width="12.28515625" style="1" customWidth="1"/>
    <col min="8991" max="8991" width="4.5703125" style="1" customWidth="1"/>
    <col min="8992" max="8992" width="1.42578125" style="1" customWidth="1"/>
    <col min="8993" max="9215" width="13.85546875" style="1"/>
    <col min="9216" max="9216" width="7.85546875" style="1" customWidth="1"/>
    <col min="9217" max="9218" width="2.28515625" style="1" customWidth="1"/>
    <col min="9219" max="9219" width="31.42578125" style="1" customWidth="1"/>
    <col min="9220" max="9220" width="2.28515625" style="1" customWidth="1"/>
    <col min="9221" max="9221" width="2.140625" style="1" customWidth="1"/>
    <col min="9222" max="9222" width="12.28515625" style="1" customWidth="1"/>
    <col min="9223" max="9223" width="1.5703125" style="1" customWidth="1"/>
    <col min="9224" max="9224" width="12.28515625" style="1" customWidth="1"/>
    <col min="9225" max="9225" width="1.5703125" style="1" customWidth="1"/>
    <col min="9226" max="9226" width="12.28515625" style="1" customWidth="1"/>
    <col min="9227" max="9227" width="1.5703125" style="1" customWidth="1"/>
    <col min="9228" max="9228" width="13.5703125" style="1" customWidth="1"/>
    <col min="9229" max="9229" width="0.85546875" style="1" customWidth="1"/>
    <col min="9230" max="9230" width="12.28515625" style="1" customWidth="1"/>
    <col min="9231" max="9231" width="1.5703125" style="1" customWidth="1"/>
    <col min="9232" max="9232" width="12.28515625" style="1" customWidth="1"/>
    <col min="9233" max="9233" width="1.5703125" style="1" customWidth="1"/>
    <col min="9234" max="9234" width="12.28515625" style="1" customWidth="1"/>
    <col min="9235" max="9235" width="0.85546875" style="1" customWidth="1"/>
    <col min="9236" max="9236" width="12.28515625" style="1" customWidth="1"/>
    <col min="9237" max="9237" width="1.5703125" style="1" customWidth="1"/>
    <col min="9238" max="9238" width="12.28515625" style="1" customWidth="1"/>
    <col min="9239" max="9239" width="1.5703125" style="1" customWidth="1"/>
    <col min="9240" max="9240" width="12.28515625" style="1" customWidth="1"/>
    <col min="9241" max="9241" width="0.85546875" style="1" customWidth="1"/>
    <col min="9242" max="9242" width="12.28515625" style="1" customWidth="1"/>
    <col min="9243" max="9243" width="1.5703125" style="1" customWidth="1"/>
    <col min="9244" max="9244" width="12.28515625" style="1" customWidth="1"/>
    <col min="9245" max="9245" width="1.5703125" style="1" customWidth="1"/>
    <col min="9246" max="9246" width="12.28515625" style="1" customWidth="1"/>
    <col min="9247" max="9247" width="4.5703125" style="1" customWidth="1"/>
    <col min="9248" max="9248" width="1.42578125" style="1" customWidth="1"/>
    <col min="9249" max="9471" width="13.85546875" style="1"/>
    <col min="9472" max="9472" width="7.85546875" style="1" customWidth="1"/>
    <col min="9473" max="9474" width="2.28515625" style="1" customWidth="1"/>
    <col min="9475" max="9475" width="31.42578125" style="1" customWidth="1"/>
    <col min="9476" max="9476" width="2.28515625" style="1" customWidth="1"/>
    <col min="9477" max="9477" width="2.140625" style="1" customWidth="1"/>
    <col min="9478" max="9478" width="12.28515625" style="1" customWidth="1"/>
    <col min="9479" max="9479" width="1.5703125" style="1" customWidth="1"/>
    <col min="9480" max="9480" width="12.28515625" style="1" customWidth="1"/>
    <col min="9481" max="9481" width="1.5703125" style="1" customWidth="1"/>
    <col min="9482" max="9482" width="12.28515625" style="1" customWidth="1"/>
    <col min="9483" max="9483" width="1.5703125" style="1" customWidth="1"/>
    <col min="9484" max="9484" width="13.5703125" style="1" customWidth="1"/>
    <col min="9485" max="9485" width="0.85546875" style="1" customWidth="1"/>
    <col min="9486" max="9486" width="12.28515625" style="1" customWidth="1"/>
    <col min="9487" max="9487" width="1.5703125" style="1" customWidth="1"/>
    <col min="9488" max="9488" width="12.28515625" style="1" customWidth="1"/>
    <col min="9489" max="9489" width="1.5703125" style="1" customWidth="1"/>
    <col min="9490" max="9490" width="12.28515625" style="1" customWidth="1"/>
    <col min="9491" max="9491" width="0.85546875" style="1" customWidth="1"/>
    <col min="9492" max="9492" width="12.28515625" style="1" customWidth="1"/>
    <col min="9493" max="9493" width="1.5703125" style="1" customWidth="1"/>
    <col min="9494" max="9494" width="12.28515625" style="1" customWidth="1"/>
    <col min="9495" max="9495" width="1.5703125" style="1" customWidth="1"/>
    <col min="9496" max="9496" width="12.28515625" style="1" customWidth="1"/>
    <col min="9497" max="9497" width="0.85546875" style="1" customWidth="1"/>
    <col min="9498" max="9498" width="12.28515625" style="1" customWidth="1"/>
    <col min="9499" max="9499" width="1.5703125" style="1" customWidth="1"/>
    <col min="9500" max="9500" width="12.28515625" style="1" customWidth="1"/>
    <col min="9501" max="9501" width="1.5703125" style="1" customWidth="1"/>
    <col min="9502" max="9502" width="12.28515625" style="1" customWidth="1"/>
    <col min="9503" max="9503" width="4.5703125" style="1" customWidth="1"/>
    <col min="9504" max="9504" width="1.42578125" style="1" customWidth="1"/>
    <col min="9505" max="9727" width="13.85546875" style="1"/>
    <col min="9728" max="9728" width="7.85546875" style="1" customWidth="1"/>
    <col min="9729" max="9730" width="2.28515625" style="1" customWidth="1"/>
    <col min="9731" max="9731" width="31.42578125" style="1" customWidth="1"/>
    <col min="9732" max="9732" width="2.28515625" style="1" customWidth="1"/>
    <col min="9733" max="9733" width="2.140625" style="1" customWidth="1"/>
    <col min="9734" max="9734" width="12.28515625" style="1" customWidth="1"/>
    <col min="9735" max="9735" width="1.5703125" style="1" customWidth="1"/>
    <col min="9736" max="9736" width="12.28515625" style="1" customWidth="1"/>
    <col min="9737" max="9737" width="1.5703125" style="1" customWidth="1"/>
    <col min="9738" max="9738" width="12.28515625" style="1" customWidth="1"/>
    <col min="9739" max="9739" width="1.5703125" style="1" customWidth="1"/>
    <col min="9740" max="9740" width="13.5703125" style="1" customWidth="1"/>
    <col min="9741" max="9741" width="0.85546875" style="1" customWidth="1"/>
    <col min="9742" max="9742" width="12.28515625" style="1" customWidth="1"/>
    <col min="9743" max="9743" width="1.5703125" style="1" customWidth="1"/>
    <col min="9744" max="9744" width="12.28515625" style="1" customWidth="1"/>
    <col min="9745" max="9745" width="1.5703125" style="1" customWidth="1"/>
    <col min="9746" max="9746" width="12.28515625" style="1" customWidth="1"/>
    <col min="9747" max="9747" width="0.85546875" style="1" customWidth="1"/>
    <col min="9748" max="9748" width="12.28515625" style="1" customWidth="1"/>
    <col min="9749" max="9749" width="1.5703125" style="1" customWidth="1"/>
    <col min="9750" max="9750" width="12.28515625" style="1" customWidth="1"/>
    <col min="9751" max="9751" width="1.5703125" style="1" customWidth="1"/>
    <col min="9752" max="9752" width="12.28515625" style="1" customWidth="1"/>
    <col min="9753" max="9753" width="0.85546875" style="1" customWidth="1"/>
    <col min="9754" max="9754" width="12.28515625" style="1" customWidth="1"/>
    <col min="9755" max="9755" width="1.5703125" style="1" customWidth="1"/>
    <col min="9756" max="9756" width="12.28515625" style="1" customWidth="1"/>
    <col min="9757" max="9757" width="1.5703125" style="1" customWidth="1"/>
    <col min="9758" max="9758" width="12.28515625" style="1" customWidth="1"/>
    <col min="9759" max="9759" width="4.5703125" style="1" customWidth="1"/>
    <col min="9760" max="9760" width="1.42578125" style="1" customWidth="1"/>
    <col min="9761" max="9983" width="13.85546875" style="1"/>
    <col min="9984" max="9984" width="7.85546875" style="1" customWidth="1"/>
    <col min="9985" max="9986" width="2.28515625" style="1" customWidth="1"/>
    <col min="9987" max="9987" width="31.42578125" style="1" customWidth="1"/>
    <col min="9988" max="9988" width="2.28515625" style="1" customWidth="1"/>
    <col min="9989" max="9989" width="2.140625" style="1" customWidth="1"/>
    <col min="9990" max="9990" width="12.28515625" style="1" customWidth="1"/>
    <col min="9991" max="9991" width="1.5703125" style="1" customWidth="1"/>
    <col min="9992" max="9992" width="12.28515625" style="1" customWidth="1"/>
    <col min="9993" max="9993" width="1.5703125" style="1" customWidth="1"/>
    <col min="9994" max="9994" width="12.28515625" style="1" customWidth="1"/>
    <col min="9995" max="9995" width="1.5703125" style="1" customWidth="1"/>
    <col min="9996" max="9996" width="13.5703125" style="1" customWidth="1"/>
    <col min="9997" max="9997" width="0.85546875" style="1" customWidth="1"/>
    <col min="9998" max="9998" width="12.28515625" style="1" customWidth="1"/>
    <col min="9999" max="9999" width="1.5703125" style="1" customWidth="1"/>
    <col min="10000" max="10000" width="12.28515625" style="1" customWidth="1"/>
    <col min="10001" max="10001" width="1.5703125" style="1" customWidth="1"/>
    <col min="10002" max="10002" width="12.28515625" style="1" customWidth="1"/>
    <col min="10003" max="10003" width="0.85546875" style="1" customWidth="1"/>
    <col min="10004" max="10004" width="12.28515625" style="1" customWidth="1"/>
    <col min="10005" max="10005" width="1.5703125" style="1" customWidth="1"/>
    <col min="10006" max="10006" width="12.28515625" style="1" customWidth="1"/>
    <col min="10007" max="10007" width="1.5703125" style="1" customWidth="1"/>
    <col min="10008" max="10008" width="12.28515625" style="1" customWidth="1"/>
    <col min="10009" max="10009" width="0.85546875" style="1" customWidth="1"/>
    <col min="10010" max="10010" width="12.28515625" style="1" customWidth="1"/>
    <col min="10011" max="10011" width="1.5703125" style="1" customWidth="1"/>
    <col min="10012" max="10012" width="12.28515625" style="1" customWidth="1"/>
    <col min="10013" max="10013" width="1.5703125" style="1" customWidth="1"/>
    <col min="10014" max="10014" width="12.28515625" style="1" customWidth="1"/>
    <col min="10015" max="10015" width="4.5703125" style="1" customWidth="1"/>
    <col min="10016" max="10016" width="1.42578125" style="1" customWidth="1"/>
    <col min="10017" max="10239" width="13.85546875" style="1"/>
    <col min="10240" max="10240" width="7.85546875" style="1" customWidth="1"/>
    <col min="10241" max="10242" width="2.28515625" style="1" customWidth="1"/>
    <col min="10243" max="10243" width="31.42578125" style="1" customWidth="1"/>
    <col min="10244" max="10244" width="2.28515625" style="1" customWidth="1"/>
    <col min="10245" max="10245" width="2.140625" style="1" customWidth="1"/>
    <col min="10246" max="10246" width="12.28515625" style="1" customWidth="1"/>
    <col min="10247" max="10247" width="1.5703125" style="1" customWidth="1"/>
    <col min="10248" max="10248" width="12.28515625" style="1" customWidth="1"/>
    <col min="10249" max="10249" width="1.5703125" style="1" customWidth="1"/>
    <col min="10250" max="10250" width="12.28515625" style="1" customWidth="1"/>
    <col min="10251" max="10251" width="1.5703125" style="1" customWidth="1"/>
    <col min="10252" max="10252" width="13.5703125" style="1" customWidth="1"/>
    <col min="10253" max="10253" width="0.85546875" style="1" customWidth="1"/>
    <col min="10254" max="10254" width="12.28515625" style="1" customWidth="1"/>
    <col min="10255" max="10255" width="1.5703125" style="1" customWidth="1"/>
    <col min="10256" max="10256" width="12.28515625" style="1" customWidth="1"/>
    <col min="10257" max="10257" width="1.5703125" style="1" customWidth="1"/>
    <col min="10258" max="10258" width="12.28515625" style="1" customWidth="1"/>
    <col min="10259" max="10259" width="0.85546875" style="1" customWidth="1"/>
    <col min="10260" max="10260" width="12.28515625" style="1" customWidth="1"/>
    <col min="10261" max="10261" width="1.5703125" style="1" customWidth="1"/>
    <col min="10262" max="10262" width="12.28515625" style="1" customWidth="1"/>
    <col min="10263" max="10263" width="1.5703125" style="1" customWidth="1"/>
    <col min="10264" max="10264" width="12.28515625" style="1" customWidth="1"/>
    <col min="10265" max="10265" width="0.85546875" style="1" customWidth="1"/>
    <col min="10266" max="10266" width="12.28515625" style="1" customWidth="1"/>
    <col min="10267" max="10267" width="1.5703125" style="1" customWidth="1"/>
    <col min="10268" max="10268" width="12.28515625" style="1" customWidth="1"/>
    <col min="10269" max="10269" width="1.5703125" style="1" customWidth="1"/>
    <col min="10270" max="10270" width="12.28515625" style="1" customWidth="1"/>
    <col min="10271" max="10271" width="4.5703125" style="1" customWidth="1"/>
    <col min="10272" max="10272" width="1.42578125" style="1" customWidth="1"/>
    <col min="10273" max="10495" width="13.85546875" style="1"/>
    <col min="10496" max="10496" width="7.85546875" style="1" customWidth="1"/>
    <col min="10497" max="10498" width="2.28515625" style="1" customWidth="1"/>
    <col min="10499" max="10499" width="31.42578125" style="1" customWidth="1"/>
    <col min="10500" max="10500" width="2.28515625" style="1" customWidth="1"/>
    <col min="10501" max="10501" width="2.140625" style="1" customWidth="1"/>
    <col min="10502" max="10502" width="12.28515625" style="1" customWidth="1"/>
    <col min="10503" max="10503" width="1.5703125" style="1" customWidth="1"/>
    <col min="10504" max="10504" width="12.28515625" style="1" customWidth="1"/>
    <col min="10505" max="10505" width="1.5703125" style="1" customWidth="1"/>
    <col min="10506" max="10506" width="12.28515625" style="1" customWidth="1"/>
    <col min="10507" max="10507" width="1.5703125" style="1" customWidth="1"/>
    <col min="10508" max="10508" width="13.5703125" style="1" customWidth="1"/>
    <col min="10509" max="10509" width="0.85546875" style="1" customWidth="1"/>
    <col min="10510" max="10510" width="12.28515625" style="1" customWidth="1"/>
    <col min="10511" max="10511" width="1.5703125" style="1" customWidth="1"/>
    <col min="10512" max="10512" width="12.28515625" style="1" customWidth="1"/>
    <col min="10513" max="10513" width="1.5703125" style="1" customWidth="1"/>
    <col min="10514" max="10514" width="12.28515625" style="1" customWidth="1"/>
    <col min="10515" max="10515" width="0.85546875" style="1" customWidth="1"/>
    <col min="10516" max="10516" width="12.28515625" style="1" customWidth="1"/>
    <col min="10517" max="10517" width="1.5703125" style="1" customWidth="1"/>
    <col min="10518" max="10518" width="12.28515625" style="1" customWidth="1"/>
    <col min="10519" max="10519" width="1.5703125" style="1" customWidth="1"/>
    <col min="10520" max="10520" width="12.28515625" style="1" customWidth="1"/>
    <col min="10521" max="10521" width="0.85546875" style="1" customWidth="1"/>
    <col min="10522" max="10522" width="12.28515625" style="1" customWidth="1"/>
    <col min="10523" max="10523" width="1.5703125" style="1" customWidth="1"/>
    <col min="10524" max="10524" width="12.28515625" style="1" customWidth="1"/>
    <col min="10525" max="10525" width="1.5703125" style="1" customWidth="1"/>
    <col min="10526" max="10526" width="12.28515625" style="1" customWidth="1"/>
    <col min="10527" max="10527" width="4.5703125" style="1" customWidth="1"/>
    <col min="10528" max="10528" width="1.42578125" style="1" customWidth="1"/>
    <col min="10529" max="10751" width="13.85546875" style="1"/>
    <col min="10752" max="10752" width="7.85546875" style="1" customWidth="1"/>
    <col min="10753" max="10754" width="2.28515625" style="1" customWidth="1"/>
    <col min="10755" max="10755" width="31.42578125" style="1" customWidth="1"/>
    <col min="10756" max="10756" width="2.28515625" style="1" customWidth="1"/>
    <col min="10757" max="10757" width="2.140625" style="1" customWidth="1"/>
    <col min="10758" max="10758" width="12.28515625" style="1" customWidth="1"/>
    <col min="10759" max="10759" width="1.5703125" style="1" customWidth="1"/>
    <col min="10760" max="10760" width="12.28515625" style="1" customWidth="1"/>
    <col min="10761" max="10761" width="1.5703125" style="1" customWidth="1"/>
    <col min="10762" max="10762" width="12.28515625" style="1" customWidth="1"/>
    <col min="10763" max="10763" width="1.5703125" style="1" customWidth="1"/>
    <col min="10764" max="10764" width="13.5703125" style="1" customWidth="1"/>
    <col min="10765" max="10765" width="0.85546875" style="1" customWidth="1"/>
    <col min="10766" max="10766" width="12.28515625" style="1" customWidth="1"/>
    <col min="10767" max="10767" width="1.5703125" style="1" customWidth="1"/>
    <col min="10768" max="10768" width="12.28515625" style="1" customWidth="1"/>
    <col min="10769" max="10769" width="1.5703125" style="1" customWidth="1"/>
    <col min="10770" max="10770" width="12.28515625" style="1" customWidth="1"/>
    <col min="10771" max="10771" width="0.85546875" style="1" customWidth="1"/>
    <col min="10772" max="10772" width="12.28515625" style="1" customWidth="1"/>
    <col min="10773" max="10773" width="1.5703125" style="1" customWidth="1"/>
    <col min="10774" max="10774" width="12.28515625" style="1" customWidth="1"/>
    <col min="10775" max="10775" width="1.5703125" style="1" customWidth="1"/>
    <col min="10776" max="10776" width="12.28515625" style="1" customWidth="1"/>
    <col min="10777" max="10777" width="0.85546875" style="1" customWidth="1"/>
    <col min="10778" max="10778" width="12.28515625" style="1" customWidth="1"/>
    <col min="10779" max="10779" width="1.5703125" style="1" customWidth="1"/>
    <col min="10780" max="10780" width="12.28515625" style="1" customWidth="1"/>
    <col min="10781" max="10781" width="1.5703125" style="1" customWidth="1"/>
    <col min="10782" max="10782" width="12.28515625" style="1" customWidth="1"/>
    <col min="10783" max="10783" width="4.5703125" style="1" customWidth="1"/>
    <col min="10784" max="10784" width="1.42578125" style="1" customWidth="1"/>
    <col min="10785" max="11007" width="13.85546875" style="1"/>
    <col min="11008" max="11008" width="7.85546875" style="1" customWidth="1"/>
    <col min="11009" max="11010" width="2.28515625" style="1" customWidth="1"/>
    <col min="11011" max="11011" width="31.42578125" style="1" customWidth="1"/>
    <col min="11012" max="11012" width="2.28515625" style="1" customWidth="1"/>
    <col min="11013" max="11013" width="2.140625" style="1" customWidth="1"/>
    <col min="11014" max="11014" width="12.28515625" style="1" customWidth="1"/>
    <col min="11015" max="11015" width="1.5703125" style="1" customWidth="1"/>
    <col min="11016" max="11016" width="12.28515625" style="1" customWidth="1"/>
    <col min="11017" max="11017" width="1.5703125" style="1" customWidth="1"/>
    <col min="11018" max="11018" width="12.28515625" style="1" customWidth="1"/>
    <col min="11019" max="11019" width="1.5703125" style="1" customWidth="1"/>
    <col min="11020" max="11020" width="13.5703125" style="1" customWidth="1"/>
    <col min="11021" max="11021" width="0.85546875" style="1" customWidth="1"/>
    <col min="11022" max="11022" width="12.28515625" style="1" customWidth="1"/>
    <col min="11023" max="11023" width="1.5703125" style="1" customWidth="1"/>
    <col min="11024" max="11024" width="12.28515625" style="1" customWidth="1"/>
    <col min="11025" max="11025" width="1.5703125" style="1" customWidth="1"/>
    <col min="11026" max="11026" width="12.28515625" style="1" customWidth="1"/>
    <col min="11027" max="11027" width="0.85546875" style="1" customWidth="1"/>
    <col min="11028" max="11028" width="12.28515625" style="1" customWidth="1"/>
    <col min="11029" max="11029" width="1.5703125" style="1" customWidth="1"/>
    <col min="11030" max="11030" width="12.28515625" style="1" customWidth="1"/>
    <col min="11031" max="11031" width="1.5703125" style="1" customWidth="1"/>
    <col min="11032" max="11032" width="12.28515625" style="1" customWidth="1"/>
    <col min="11033" max="11033" width="0.85546875" style="1" customWidth="1"/>
    <col min="11034" max="11034" width="12.28515625" style="1" customWidth="1"/>
    <col min="11035" max="11035" width="1.5703125" style="1" customWidth="1"/>
    <col min="11036" max="11036" width="12.28515625" style="1" customWidth="1"/>
    <col min="11037" max="11037" width="1.5703125" style="1" customWidth="1"/>
    <col min="11038" max="11038" width="12.28515625" style="1" customWidth="1"/>
    <col min="11039" max="11039" width="4.5703125" style="1" customWidth="1"/>
    <col min="11040" max="11040" width="1.42578125" style="1" customWidth="1"/>
    <col min="11041" max="11263" width="13.85546875" style="1"/>
    <col min="11264" max="11264" width="7.85546875" style="1" customWidth="1"/>
    <col min="11265" max="11266" width="2.28515625" style="1" customWidth="1"/>
    <col min="11267" max="11267" width="31.42578125" style="1" customWidth="1"/>
    <col min="11268" max="11268" width="2.28515625" style="1" customWidth="1"/>
    <col min="11269" max="11269" width="2.140625" style="1" customWidth="1"/>
    <col min="11270" max="11270" width="12.28515625" style="1" customWidth="1"/>
    <col min="11271" max="11271" width="1.5703125" style="1" customWidth="1"/>
    <col min="11272" max="11272" width="12.28515625" style="1" customWidth="1"/>
    <col min="11273" max="11273" width="1.5703125" style="1" customWidth="1"/>
    <col min="11274" max="11274" width="12.28515625" style="1" customWidth="1"/>
    <col min="11275" max="11275" width="1.5703125" style="1" customWidth="1"/>
    <col min="11276" max="11276" width="13.5703125" style="1" customWidth="1"/>
    <col min="11277" max="11277" width="0.85546875" style="1" customWidth="1"/>
    <col min="11278" max="11278" width="12.28515625" style="1" customWidth="1"/>
    <col min="11279" max="11279" width="1.5703125" style="1" customWidth="1"/>
    <col min="11280" max="11280" width="12.28515625" style="1" customWidth="1"/>
    <col min="11281" max="11281" width="1.5703125" style="1" customWidth="1"/>
    <col min="11282" max="11282" width="12.28515625" style="1" customWidth="1"/>
    <col min="11283" max="11283" width="0.85546875" style="1" customWidth="1"/>
    <col min="11284" max="11284" width="12.28515625" style="1" customWidth="1"/>
    <col min="11285" max="11285" width="1.5703125" style="1" customWidth="1"/>
    <col min="11286" max="11286" width="12.28515625" style="1" customWidth="1"/>
    <col min="11287" max="11287" width="1.5703125" style="1" customWidth="1"/>
    <col min="11288" max="11288" width="12.28515625" style="1" customWidth="1"/>
    <col min="11289" max="11289" width="0.85546875" style="1" customWidth="1"/>
    <col min="11290" max="11290" width="12.28515625" style="1" customWidth="1"/>
    <col min="11291" max="11291" width="1.5703125" style="1" customWidth="1"/>
    <col min="11292" max="11292" width="12.28515625" style="1" customWidth="1"/>
    <col min="11293" max="11293" width="1.5703125" style="1" customWidth="1"/>
    <col min="11294" max="11294" width="12.28515625" style="1" customWidth="1"/>
    <col min="11295" max="11295" width="4.5703125" style="1" customWidth="1"/>
    <col min="11296" max="11296" width="1.42578125" style="1" customWidth="1"/>
    <col min="11297" max="11519" width="13.85546875" style="1"/>
    <col min="11520" max="11520" width="7.85546875" style="1" customWidth="1"/>
    <col min="11521" max="11522" width="2.28515625" style="1" customWidth="1"/>
    <col min="11523" max="11523" width="31.42578125" style="1" customWidth="1"/>
    <col min="11524" max="11524" width="2.28515625" style="1" customWidth="1"/>
    <col min="11525" max="11525" width="2.140625" style="1" customWidth="1"/>
    <col min="11526" max="11526" width="12.28515625" style="1" customWidth="1"/>
    <col min="11527" max="11527" width="1.5703125" style="1" customWidth="1"/>
    <col min="11528" max="11528" width="12.28515625" style="1" customWidth="1"/>
    <col min="11529" max="11529" width="1.5703125" style="1" customWidth="1"/>
    <col min="11530" max="11530" width="12.28515625" style="1" customWidth="1"/>
    <col min="11531" max="11531" width="1.5703125" style="1" customWidth="1"/>
    <col min="11532" max="11532" width="13.5703125" style="1" customWidth="1"/>
    <col min="11533" max="11533" width="0.85546875" style="1" customWidth="1"/>
    <col min="11534" max="11534" width="12.28515625" style="1" customWidth="1"/>
    <col min="11535" max="11535" width="1.5703125" style="1" customWidth="1"/>
    <col min="11536" max="11536" width="12.28515625" style="1" customWidth="1"/>
    <col min="11537" max="11537" width="1.5703125" style="1" customWidth="1"/>
    <col min="11538" max="11538" width="12.28515625" style="1" customWidth="1"/>
    <col min="11539" max="11539" width="0.85546875" style="1" customWidth="1"/>
    <col min="11540" max="11540" width="12.28515625" style="1" customWidth="1"/>
    <col min="11541" max="11541" width="1.5703125" style="1" customWidth="1"/>
    <col min="11542" max="11542" width="12.28515625" style="1" customWidth="1"/>
    <col min="11543" max="11543" width="1.5703125" style="1" customWidth="1"/>
    <col min="11544" max="11544" width="12.28515625" style="1" customWidth="1"/>
    <col min="11545" max="11545" width="0.85546875" style="1" customWidth="1"/>
    <col min="11546" max="11546" width="12.28515625" style="1" customWidth="1"/>
    <col min="11547" max="11547" width="1.5703125" style="1" customWidth="1"/>
    <col min="11548" max="11548" width="12.28515625" style="1" customWidth="1"/>
    <col min="11549" max="11549" width="1.5703125" style="1" customWidth="1"/>
    <col min="11550" max="11550" width="12.28515625" style="1" customWidth="1"/>
    <col min="11551" max="11551" width="4.5703125" style="1" customWidth="1"/>
    <col min="11552" max="11552" width="1.42578125" style="1" customWidth="1"/>
    <col min="11553" max="11775" width="13.85546875" style="1"/>
    <col min="11776" max="11776" width="7.85546875" style="1" customWidth="1"/>
    <col min="11777" max="11778" width="2.28515625" style="1" customWidth="1"/>
    <col min="11779" max="11779" width="31.42578125" style="1" customWidth="1"/>
    <col min="11780" max="11780" width="2.28515625" style="1" customWidth="1"/>
    <col min="11781" max="11781" width="2.140625" style="1" customWidth="1"/>
    <col min="11782" max="11782" width="12.28515625" style="1" customWidth="1"/>
    <col min="11783" max="11783" width="1.5703125" style="1" customWidth="1"/>
    <col min="11784" max="11784" width="12.28515625" style="1" customWidth="1"/>
    <col min="11785" max="11785" width="1.5703125" style="1" customWidth="1"/>
    <col min="11786" max="11786" width="12.28515625" style="1" customWidth="1"/>
    <col min="11787" max="11787" width="1.5703125" style="1" customWidth="1"/>
    <col min="11788" max="11788" width="13.5703125" style="1" customWidth="1"/>
    <col min="11789" max="11789" width="0.85546875" style="1" customWidth="1"/>
    <col min="11790" max="11790" width="12.28515625" style="1" customWidth="1"/>
    <col min="11791" max="11791" width="1.5703125" style="1" customWidth="1"/>
    <col min="11792" max="11792" width="12.28515625" style="1" customWidth="1"/>
    <col min="11793" max="11793" width="1.5703125" style="1" customWidth="1"/>
    <col min="11794" max="11794" width="12.28515625" style="1" customWidth="1"/>
    <col min="11795" max="11795" width="0.85546875" style="1" customWidth="1"/>
    <col min="11796" max="11796" width="12.28515625" style="1" customWidth="1"/>
    <col min="11797" max="11797" width="1.5703125" style="1" customWidth="1"/>
    <col min="11798" max="11798" width="12.28515625" style="1" customWidth="1"/>
    <col min="11799" max="11799" width="1.5703125" style="1" customWidth="1"/>
    <col min="11800" max="11800" width="12.28515625" style="1" customWidth="1"/>
    <col min="11801" max="11801" width="0.85546875" style="1" customWidth="1"/>
    <col min="11802" max="11802" width="12.28515625" style="1" customWidth="1"/>
    <col min="11803" max="11803" width="1.5703125" style="1" customWidth="1"/>
    <col min="11804" max="11804" width="12.28515625" style="1" customWidth="1"/>
    <col min="11805" max="11805" width="1.5703125" style="1" customWidth="1"/>
    <col min="11806" max="11806" width="12.28515625" style="1" customWidth="1"/>
    <col min="11807" max="11807" width="4.5703125" style="1" customWidth="1"/>
    <col min="11808" max="11808" width="1.42578125" style="1" customWidth="1"/>
    <col min="11809" max="12031" width="13.85546875" style="1"/>
    <col min="12032" max="12032" width="7.85546875" style="1" customWidth="1"/>
    <col min="12033" max="12034" width="2.28515625" style="1" customWidth="1"/>
    <col min="12035" max="12035" width="31.42578125" style="1" customWidth="1"/>
    <col min="12036" max="12036" width="2.28515625" style="1" customWidth="1"/>
    <col min="12037" max="12037" width="2.140625" style="1" customWidth="1"/>
    <col min="12038" max="12038" width="12.28515625" style="1" customWidth="1"/>
    <col min="12039" max="12039" width="1.5703125" style="1" customWidth="1"/>
    <col min="12040" max="12040" width="12.28515625" style="1" customWidth="1"/>
    <col min="12041" max="12041" width="1.5703125" style="1" customWidth="1"/>
    <col min="12042" max="12042" width="12.28515625" style="1" customWidth="1"/>
    <col min="12043" max="12043" width="1.5703125" style="1" customWidth="1"/>
    <col min="12044" max="12044" width="13.5703125" style="1" customWidth="1"/>
    <col min="12045" max="12045" width="0.85546875" style="1" customWidth="1"/>
    <col min="12046" max="12046" width="12.28515625" style="1" customWidth="1"/>
    <col min="12047" max="12047" width="1.5703125" style="1" customWidth="1"/>
    <col min="12048" max="12048" width="12.28515625" style="1" customWidth="1"/>
    <col min="12049" max="12049" width="1.5703125" style="1" customWidth="1"/>
    <col min="12050" max="12050" width="12.28515625" style="1" customWidth="1"/>
    <col min="12051" max="12051" width="0.85546875" style="1" customWidth="1"/>
    <col min="12052" max="12052" width="12.28515625" style="1" customWidth="1"/>
    <col min="12053" max="12053" width="1.5703125" style="1" customWidth="1"/>
    <col min="12054" max="12054" width="12.28515625" style="1" customWidth="1"/>
    <col min="12055" max="12055" width="1.5703125" style="1" customWidth="1"/>
    <col min="12056" max="12056" width="12.28515625" style="1" customWidth="1"/>
    <col min="12057" max="12057" width="0.85546875" style="1" customWidth="1"/>
    <col min="12058" max="12058" width="12.28515625" style="1" customWidth="1"/>
    <col min="12059" max="12059" width="1.5703125" style="1" customWidth="1"/>
    <col min="12060" max="12060" width="12.28515625" style="1" customWidth="1"/>
    <col min="12061" max="12061" width="1.5703125" style="1" customWidth="1"/>
    <col min="12062" max="12062" width="12.28515625" style="1" customWidth="1"/>
    <col min="12063" max="12063" width="4.5703125" style="1" customWidth="1"/>
    <col min="12064" max="12064" width="1.42578125" style="1" customWidth="1"/>
    <col min="12065" max="12287" width="13.85546875" style="1"/>
    <col min="12288" max="12288" width="7.85546875" style="1" customWidth="1"/>
    <col min="12289" max="12290" width="2.28515625" style="1" customWidth="1"/>
    <col min="12291" max="12291" width="31.42578125" style="1" customWidth="1"/>
    <col min="12292" max="12292" width="2.28515625" style="1" customWidth="1"/>
    <col min="12293" max="12293" width="2.140625" style="1" customWidth="1"/>
    <col min="12294" max="12294" width="12.28515625" style="1" customWidth="1"/>
    <col min="12295" max="12295" width="1.5703125" style="1" customWidth="1"/>
    <col min="12296" max="12296" width="12.28515625" style="1" customWidth="1"/>
    <col min="12297" max="12297" width="1.5703125" style="1" customWidth="1"/>
    <col min="12298" max="12298" width="12.28515625" style="1" customWidth="1"/>
    <col min="12299" max="12299" width="1.5703125" style="1" customWidth="1"/>
    <col min="12300" max="12300" width="13.5703125" style="1" customWidth="1"/>
    <col min="12301" max="12301" width="0.85546875" style="1" customWidth="1"/>
    <col min="12302" max="12302" width="12.28515625" style="1" customWidth="1"/>
    <col min="12303" max="12303" width="1.5703125" style="1" customWidth="1"/>
    <col min="12304" max="12304" width="12.28515625" style="1" customWidth="1"/>
    <col min="12305" max="12305" width="1.5703125" style="1" customWidth="1"/>
    <col min="12306" max="12306" width="12.28515625" style="1" customWidth="1"/>
    <col min="12307" max="12307" width="0.85546875" style="1" customWidth="1"/>
    <col min="12308" max="12308" width="12.28515625" style="1" customWidth="1"/>
    <col min="12309" max="12309" width="1.5703125" style="1" customWidth="1"/>
    <col min="12310" max="12310" width="12.28515625" style="1" customWidth="1"/>
    <col min="12311" max="12311" width="1.5703125" style="1" customWidth="1"/>
    <col min="12312" max="12312" width="12.28515625" style="1" customWidth="1"/>
    <col min="12313" max="12313" width="0.85546875" style="1" customWidth="1"/>
    <col min="12314" max="12314" width="12.28515625" style="1" customWidth="1"/>
    <col min="12315" max="12315" width="1.5703125" style="1" customWidth="1"/>
    <col min="12316" max="12316" width="12.28515625" style="1" customWidth="1"/>
    <col min="12317" max="12317" width="1.5703125" style="1" customWidth="1"/>
    <col min="12318" max="12318" width="12.28515625" style="1" customWidth="1"/>
    <col min="12319" max="12319" width="4.5703125" style="1" customWidth="1"/>
    <col min="12320" max="12320" width="1.42578125" style="1" customWidth="1"/>
    <col min="12321" max="12543" width="13.85546875" style="1"/>
    <col min="12544" max="12544" width="7.85546875" style="1" customWidth="1"/>
    <col min="12545" max="12546" width="2.28515625" style="1" customWidth="1"/>
    <col min="12547" max="12547" width="31.42578125" style="1" customWidth="1"/>
    <col min="12548" max="12548" width="2.28515625" style="1" customWidth="1"/>
    <col min="12549" max="12549" width="2.140625" style="1" customWidth="1"/>
    <col min="12550" max="12550" width="12.28515625" style="1" customWidth="1"/>
    <col min="12551" max="12551" width="1.5703125" style="1" customWidth="1"/>
    <col min="12552" max="12552" width="12.28515625" style="1" customWidth="1"/>
    <col min="12553" max="12553" width="1.5703125" style="1" customWidth="1"/>
    <col min="12554" max="12554" width="12.28515625" style="1" customWidth="1"/>
    <col min="12555" max="12555" width="1.5703125" style="1" customWidth="1"/>
    <col min="12556" max="12556" width="13.5703125" style="1" customWidth="1"/>
    <col min="12557" max="12557" width="0.85546875" style="1" customWidth="1"/>
    <col min="12558" max="12558" width="12.28515625" style="1" customWidth="1"/>
    <col min="12559" max="12559" width="1.5703125" style="1" customWidth="1"/>
    <col min="12560" max="12560" width="12.28515625" style="1" customWidth="1"/>
    <col min="12561" max="12561" width="1.5703125" style="1" customWidth="1"/>
    <col min="12562" max="12562" width="12.28515625" style="1" customWidth="1"/>
    <col min="12563" max="12563" width="0.85546875" style="1" customWidth="1"/>
    <col min="12564" max="12564" width="12.28515625" style="1" customWidth="1"/>
    <col min="12565" max="12565" width="1.5703125" style="1" customWidth="1"/>
    <col min="12566" max="12566" width="12.28515625" style="1" customWidth="1"/>
    <col min="12567" max="12567" width="1.5703125" style="1" customWidth="1"/>
    <col min="12568" max="12568" width="12.28515625" style="1" customWidth="1"/>
    <col min="12569" max="12569" width="0.85546875" style="1" customWidth="1"/>
    <col min="12570" max="12570" width="12.28515625" style="1" customWidth="1"/>
    <col min="12571" max="12571" width="1.5703125" style="1" customWidth="1"/>
    <col min="12572" max="12572" width="12.28515625" style="1" customWidth="1"/>
    <col min="12573" max="12573" width="1.5703125" style="1" customWidth="1"/>
    <col min="12574" max="12574" width="12.28515625" style="1" customWidth="1"/>
    <col min="12575" max="12575" width="4.5703125" style="1" customWidth="1"/>
    <col min="12576" max="12576" width="1.42578125" style="1" customWidth="1"/>
    <col min="12577" max="12799" width="13.85546875" style="1"/>
    <col min="12800" max="12800" width="7.85546875" style="1" customWidth="1"/>
    <col min="12801" max="12802" width="2.28515625" style="1" customWidth="1"/>
    <col min="12803" max="12803" width="31.42578125" style="1" customWidth="1"/>
    <col min="12804" max="12804" width="2.28515625" style="1" customWidth="1"/>
    <col min="12805" max="12805" width="2.140625" style="1" customWidth="1"/>
    <col min="12806" max="12806" width="12.28515625" style="1" customWidth="1"/>
    <col min="12807" max="12807" width="1.5703125" style="1" customWidth="1"/>
    <col min="12808" max="12808" width="12.28515625" style="1" customWidth="1"/>
    <col min="12809" max="12809" width="1.5703125" style="1" customWidth="1"/>
    <col min="12810" max="12810" width="12.28515625" style="1" customWidth="1"/>
    <col min="12811" max="12811" width="1.5703125" style="1" customWidth="1"/>
    <col min="12812" max="12812" width="13.5703125" style="1" customWidth="1"/>
    <col min="12813" max="12813" width="0.85546875" style="1" customWidth="1"/>
    <col min="12814" max="12814" width="12.28515625" style="1" customWidth="1"/>
    <col min="12815" max="12815" width="1.5703125" style="1" customWidth="1"/>
    <col min="12816" max="12816" width="12.28515625" style="1" customWidth="1"/>
    <col min="12817" max="12817" width="1.5703125" style="1" customWidth="1"/>
    <col min="12818" max="12818" width="12.28515625" style="1" customWidth="1"/>
    <col min="12819" max="12819" width="0.85546875" style="1" customWidth="1"/>
    <col min="12820" max="12820" width="12.28515625" style="1" customWidth="1"/>
    <col min="12821" max="12821" width="1.5703125" style="1" customWidth="1"/>
    <col min="12822" max="12822" width="12.28515625" style="1" customWidth="1"/>
    <col min="12823" max="12823" width="1.5703125" style="1" customWidth="1"/>
    <col min="12824" max="12824" width="12.28515625" style="1" customWidth="1"/>
    <col min="12825" max="12825" width="0.85546875" style="1" customWidth="1"/>
    <col min="12826" max="12826" width="12.28515625" style="1" customWidth="1"/>
    <col min="12827" max="12827" width="1.5703125" style="1" customWidth="1"/>
    <col min="12828" max="12828" width="12.28515625" style="1" customWidth="1"/>
    <col min="12829" max="12829" width="1.5703125" style="1" customWidth="1"/>
    <col min="12830" max="12830" width="12.28515625" style="1" customWidth="1"/>
    <col min="12831" max="12831" width="4.5703125" style="1" customWidth="1"/>
    <col min="12832" max="12832" width="1.42578125" style="1" customWidth="1"/>
    <col min="12833" max="13055" width="13.85546875" style="1"/>
    <col min="13056" max="13056" width="7.85546875" style="1" customWidth="1"/>
    <col min="13057" max="13058" width="2.28515625" style="1" customWidth="1"/>
    <col min="13059" max="13059" width="31.42578125" style="1" customWidth="1"/>
    <col min="13060" max="13060" width="2.28515625" style="1" customWidth="1"/>
    <col min="13061" max="13061" width="2.140625" style="1" customWidth="1"/>
    <col min="13062" max="13062" width="12.28515625" style="1" customWidth="1"/>
    <col min="13063" max="13063" width="1.5703125" style="1" customWidth="1"/>
    <col min="13064" max="13064" width="12.28515625" style="1" customWidth="1"/>
    <col min="13065" max="13065" width="1.5703125" style="1" customWidth="1"/>
    <col min="13066" max="13066" width="12.28515625" style="1" customWidth="1"/>
    <col min="13067" max="13067" width="1.5703125" style="1" customWidth="1"/>
    <col min="13068" max="13068" width="13.5703125" style="1" customWidth="1"/>
    <col min="13069" max="13069" width="0.85546875" style="1" customWidth="1"/>
    <col min="13070" max="13070" width="12.28515625" style="1" customWidth="1"/>
    <col min="13071" max="13071" width="1.5703125" style="1" customWidth="1"/>
    <col min="13072" max="13072" width="12.28515625" style="1" customWidth="1"/>
    <col min="13073" max="13073" width="1.5703125" style="1" customWidth="1"/>
    <col min="13074" max="13074" width="12.28515625" style="1" customWidth="1"/>
    <col min="13075" max="13075" width="0.85546875" style="1" customWidth="1"/>
    <col min="13076" max="13076" width="12.28515625" style="1" customWidth="1"/>
    <col min="13077" max="13077" width="1.5703125" style="1" customWidth="1"/>
    <col min="13078" max="13078" width="12.28515625" style="1" customWidth="1"/>
    <col min="13079" max="13079" width="1.5703125" style="1" customWidth="1"/>
    <col min="13080" max="13080" width="12.28515625" style="1" customWidth="1"/>
    <col min="13081" max="13081" width="0.85546875" style="1" customWidth="1"/>
    <col min="13082" max="13082" width="12.28515625" style="1" customWidth="1"/>
    <col min="13083" max="13083" width="1.5703125" style="1" customWidth="1"/>
    <col min="13084" max="13084" width="12.28515625" style="1" customWidth="1"/>
    <col min="13085" max="13085" width="1.5703125" style="1" customWidth="1"/>
    <col min="13086" max="13086" width="12.28515625" style="1" customWidth="1"/>
    <col min="13087" max="13087" width="4.5703125" style="1" customWidth="1"/>
    <col min="13088" max="13088" width="1.42578125" style="1" customWidth="1"/>
    <col min="13089" max="13311" width="13.85546875" style="1"/>
    <col min="13312" max="13312" width="7.85546875" style="1" customWidth="1"/>
    <col min="13313" max="13314" width="2.28515625" style="1" customWidth="1"/>
    <col min="13315" max="13315" width="31.42578125" style="1" customWidth="1"/>
    <col min="13316" max="13316" width="2.28515625" style="1" customWidth="1"/>
    <col min="13317" max="13317" width="2.140625" style="1" customWidth="1"/>
    <col min="13318" max="13318" width="12.28515625" style="1" customWidth="1"/>
    <col min="13319" max="13319" width="1.5703125" style="1" customWidth="1"/>
    <col min="13320" max="13320" width="12.28515625" style="1" customWidth="1"/>
    <col min="13321" max="13321" width="1.5703125" style="1" customWidth="1"/>
    <col min="13322" max="13322" width="12.28515625" style="1" customWidth="1"/>
    <col min="13323" max="13323" width="1.5703125" style="1" customWidth="1"/>
    <col min="13324" max="13324" width="13.5703125" style="1" customWidth="1"/>
    <col min="13325" max="13325" width="0.85546875" style="1" customWidth="1"/>
    <col min="13326" max="13326" width="12.28515625" style="1" customWidth="1"/>
    <col min="13327" max="13327" width="1.5703125" style="1" customWidth="1"/>
    <col min="13328" max="13328" width="12.28515625" style="1" customWidth="1"/>
    <col min="13329" max="13329" width="1.5703125" style="1" customWidth="1"/>
    <col min="13330" max="13330" width="12.28515625" style="1" customWidth="1"/>
    <col min="13331" max="13331" width="0.85546875" style="1" customWidth="1"/>
    <col min="13332" max="13332" width="12.28515625" style="1" customWidth="1"/>
    <col min="13333" max="13333" width="1.5703125" style="1" customWidth="1"/>
    <col min="13334" max="13334" width="12.28515625" style="1" customWidth="1"/>
    <col min="13335" max="13335" width="1.5703125" style="1" customWidth="1"/>
    <col min="13336" max="13336" width="12.28515625" style="1" customWidth="1"/>
    <col min="13337" max="13337" width="0.85546875" style="1" customWidth="1"/>
    <col min="13338" max="13338" width="12.28515625" style="1" customWidth="1"/>
    <col min="13339" max="13339" width="1.5703125" style="1" customWidth="1"/>
    <col min="13340" max="13340" width="12.28515625" style="1" customWidth="1"/>
    <col min="13341" max="13341" width="1.5703125" style="1" customWidth="1"/>
    <col min="13342" max="13342" width="12.28515625" style="1" customWidth="1"/>
    <col min="13343" max="13343" width="4.5703125" style="1" customWidth="1"/>
    <col min="13344" max="13344" width="1.42578125" style="1" customWidth="1"/>
    <col min="13345" max="13567" width="13.85546875" style="1"/>
    <col min="13568" max="13568" width="7.85546875" style="1" customWidth="1"/>
    <col min="13569" max="13570" width="2.28515625" style="1" customWidth="1"/>
    <col min="13571" max="13571" width="31.42578125" style="1" customWidth="1"/>
    <col min="13572" max="13572" width="2.28515625" style="1" customWidth="1"/>
    <col min="13573" max="13573" width="2.140625" style="1" customWidth="1"/>
    <col min="13574" max="13574" width="12.28515625" style="1" customWidth="1"/>
    <col min="13575" max="13575" width="1.5703125" style="1" customWidth="1"/>
    <col min="13576" max="13576" width="12.28515625" style="1" customWidth="1"/>
    <col min="13577" max="13577" width="1.5703125" style="1" customWidth="1"/>
    <col min="13578" max="13578" width="12.28515625" style="1" customWidth="1"/>
    <col min="13579" max="13579" width="1.5703125" style="1" customWidth="1"/>
    <col min="13580" max="13580" width="13.5703125" style="1" customWidth="1"/>
    <col min="13581" max="13581" width="0.85546875" style="1" customWidth="1"/>
    <col min="13582" max="13582" width="12.28515625" style="1" customWidth="1"/>
    <col min="13583" max="13583" width="1.5703125" style="1" customWidth="1"/>
    <col min="13584" max="13584" width="12.28515625" style="1" customWidth="1"/>
    <col min="13585" max="13585" width="1.5703125" style="1" customWidth="1"/>
    <col min="13586" max="13586" width="12.28515625" style="1" customWidth="1"/>
    <col min="13587" max="13587" width="0.85546875" style="1" customWidth="1"/>
    <col min="13588" max="13588" width="12.28515625" style="1" customWidth="1"/>
    <col min="13589" max="13589" width="1.5703125" style="1" customWidth="1"/>
    <col min="13590" max="13590" width="12.28515625" style="1" customWidth="1"/>
    <col min="13591" max="13591" width="1.5703125" style="1" customWidth="1"/>
    <col min="13592" max="13592" width="12.28515625" style="1" customWidth="1"/>
    <col min="13593" max="13593" width="0.85546875" style="1" customWidth="1"/>
    <col min="13594" max="13594" width="12.28515625" style="1" customWidth="1"/>
    <col min="13595" max="13595" width="1.5703125" style="1" customWidth="1"/>
    <col min="13596" max="13596" width="12.28515625" style="1" customWidth="1"/>
    <col min="13597" max="13597" width="1.5703125" style="1" customWidth="1"/>
    <col min="13598" max="13598" width="12.28515625" style="1" customWidth="1"/>
    <col min="13599" max="13599" width="4.5703125" style="1" customWidth="1"/>
    <col min="13600" max="13600" width="1.42578125" style="1" customWidth="1"/>
    <col min="13601" max="13823" width="13.85546875" style="1"/>
    <col min="13824" max="13824" width="7.85546875" style="1" customWidth="1"/>
    <col min="13825" max="13826" width="2.28515625" style="1" customWidth="1"/>
    <col min="13827" max="13827" width="31.42578125" style="1" customWidth="1"/>
    <col min="13828" max="13828" width="2.28515625" style="1" customWidth="1"/>
    <col min="13829" max="13829" width="2.140625" style="1" customWidth="1"/>
    <col min="13830" max="13830" width="12.28515625" style="1" customWidth="1"/>
    <col min="13831" max="13831" width="1.5703125" style="1" customWidth="1"/>
    <col min="13832" max="13832" width="12.28515625" style="1" customWidth="1"/>
    <col min="13833" max="13833" width="1.5703125" style="1" customWidth="1"/>
    <col min="13834" max="13834" width="12.28515625" style="1" customWidth="1"/>
    <col min="13835" max="13835" width="1.5703125" style="1" customWidth="1"/>
    <col min="13836" max="13836" width="13.5703125" style="1" customWidth="1"/>
    <col min="13837" max="13837" width="0.85546875" style="1" customWidth="1"/>
    <col min="13838" max="13838" width="12.28515625" style="1" customWidth="1"/>
    <col min="13839" max="13839" width="1.5703125" style="1" customWidth="1"/>
    <col min="13840" max="13840" width="12.28515625" style="1" customWidth="1"/>
    <col min="13841" max="13841" width="1.5703125" style="1" customWidth="1"/>
    <col min="13842" max="13842" width="12.28515625" style="1" customWidth="1"/>
    <col min="13843" max="13843" width="0.85546875" style="1" customWidth="1"/>
    <col min="13844" max="13844" width="12.28515625" style="1" customWidth="1"/>
    <col min="13845" max="13845" width="1.5703125" style="1" customWidth="1"/>
    <col min="13846" max="13846" width="12.28515625" style="1" customWidth="1"/>
    <col min="13847" max="13847" width="1.5703125" style="1" customWidth="1"/>
    <col min="13848" max="13848" width="12.28515625" style="1" customWidth="1"/>
    <col min="13849" max="13849" width="0.85546875" style="1" customWidth="1"/>
    <col min="13850" max="13850" width="12.28515625" style="1" customWidth="1"/>
    <col min="13851" max="13851" width="1.5703125" style="1" customWidth="1"/>
    <col min="13852" max="13852" width="12.28515625" style="1" customWidth="1"/>
    <col min="13853" max="13853" width="1.5703125" style="1" customWidth="1"/>
    <col min="13854" max="13854" width="12.28515625" style="1" customWidth="1"/>
    <col min="13855" max="13855" width="4.5703125" style="1" customWidth="1"/>
    <col min="13856" max="13856" width="1.42578125" style="1" customWidth="1"/>
    <col min="13857" max="14079" width="13.85546875" style="1"/>
    <col min="14080" max="14080" width="7.85546875" style="1" customWidth="1"/>
    <col min="14081" max="14082" width="2.28515625" style="1" customWidth="1"/>
    <col min="14083" max="14083" width="31.42578125" style="1" customWidth="1"/>
    <col min="14084" max="14084" width="2.28515625" style="1" customWidth="1"/>
    <col min="14085" max="14085" width="2.140625" style="1" customWidth="1"/>
    <col min="14086" max="14086" width="12.28515625" style="1" customWidth="1"/>
    <col min="14087" max="14087" width="1.5703125" style="1" customWidth="1"/>
    <col min="14088" max="14088" width="12.28515625" style="1" customWidth="1"/>
    <col min="14089" max="14089" width="1.5703125" style="1" customWidth="1"/>
    <col min="14090" max="14090" width="12.28515625" style="1" customWidth="1"/>
    <col min="14091" max="14091" width="1.5703125" style="1" customWidth="1"/>
    <col min="14092" max="14092" width="13.5703125" style="1" customWidth="1"/>
    <col min="14093" max="14093" width="0.85546875" style="1" customWidth="1"/>
    <col min="14094" max="14094" width="12.28515625" style="1" customWidth="1"/>
    <col min="14095" max="14095" width="1.5703125" style="1" customWidth="1"/>
    <col min="14096" max="14096" width="12.28515625" style="1" customWidth="1"/>
    <col min="14097" max="14097" width="1.5703125" style="1" customWidth="1"/>
    <col min="14098" max="14098" width="12.28515625" style="1" customWidth="1"/>
    <col min="14099" max="14099" width="0.85546875" style="1" customWidth="1"/>
    <col min="14100" max="14100" width="12.28515625" style="1" customWidth="1"/>
    <col min="14101" max="14101" width="1.5703125" style="1" customWidth="1"/>
    <col min="14102" max="14102" width="12.28515625" style="1" customWidth="1"/>
    <col min="14103" max="14103" width="1.5703125" style="1" customWidth="1"/>
    <col min="14104" max="14104" width="12.28515625" style="1" customWidth="1"/>
    <col min="14105" max="14105" width="0.85546875" style="1" customWidth="1"/>
    <col min="14106" max="14106" width="12.28515625" style="1" customWidth="1"/>
    <col min="14107" max="14107" width="1.5703125" style="1" customWidth="1"/>
    <col min="14108" max="14108" width="12.28515625" style="1" customWidth="1"/>
    <col min="14109" max="14109" width="1.5703125" style="1" customWidth="1"/>
    <col min="14110" max="14110" width="12.28515625" style="1" customWidth="1"/>
    <col min="14111" max="14111" width="4.5703125" style="1" customWidth="1"/>
    <col min="14112" max="14112" width="1.42578125" style="1" customWidth="1"/>
    <col min="14113" max="14335" width="13.85546875" style="1"/>
    <col min="14336" max="14336" width="7.85546875" style="1" customWidth="1"/>
    <col min="14337" max="14338" width="2.28515625" style="1" customWidth="1"/>
    <col min="14339" max="14339" width="31.42578125" style="1" customWidth="1"/>
    <col min="14340" max="14340" width="2.28515625" style="1" customWidth="1"/>
    <col min="14341" max="14341" width="2.140625" style="1" customWidth="1"/>
    <col min="14342" max="14342" width="12.28515625" style="1" customWidth="1"/>
    <col min="14343" max="14343" width="1.5703125" style="1" customWidth="1"/>
    <col min="14344" max="14344" width="12.28515625" style="1" customWidth="1"/>
    <col min="14345" max="14345" width="1.5703125" style="1" customWidth="1"/>
    <col min="14346" max="14346" width="12.28515625" style="1" customWidth="1"/>
    <col min="14347" max="14347" width="1.5703125" style="1" customWidth="1"/>
    <col min="14348" max="14348" width="13.5703125" style="1" customWidth="1"/>
    <col min="14349" max="14349" width="0.85546875" style="1" customWidth="1"/>
    <col min="14350" max="14350" width="12.28515625" style="1" customWidth="1"/>
    <col min="14351" max="14351" width="1.5703125" style="1" customWidth="1"/>
    <col min="14352" max="14352" width="12.28515625" style="1" customWidth="1"/>
    <col min="14353" max="14353" width="1.5703125" style="1" customWidth="1"/>
    <col min="14354" max="14354" width="12.28515625" style="1" customWidth="1"/>
    <col min="14355" max="14355" width="0.85546875" style="1" customWidth="1"/>
    <col min="14356" max="14356" width="12.28515625" style="1" customWidth="1"/>
    <col min="14357" max="14357" width="1.5703125" style="1" customWidth="1"/>
    <col min="14358" max="14358" width="12.28515625" style="1" customWidth="1"/>
    <col min="14359" max="14359" width="1.5703125" style="1" customWidth="1"/>
    <col min="14360" max="14360" width="12.28515625" style="1" customWidth="1"/>
    <col min="14361" max="14361" width="0.85546875" style="1" customWidth="1"/>
    <col min="14362" max="14362" width="12.28515625" style="1" customWidth="1"/>
    <col min="14363" max="14363" width="1.5703125" style="1" customWidth="1"/>
    <col min="14364" max="14364" width="12.28515625" style="1" customWidth="1"/>
    <col min="14365" max="14365" width="1.5703125" style="1" customWidth="1"/>
    <col min="14366" max="14366" width="12.28515625" style="1" customWidth="1"/>
    <col min="14367" max="14367" width="4.5703125" style="1" customWidth="1"/>
    <col min="14368" max="14368" width="1.42578125" style="1" customWidth="1"/>
    <col min="14369" max="14591" width="13.85546875" style="1"/>
    <col min="14592" max="14592" width="7.85546875" style="1" customWidth="1"/>
    <col min="14593" max="14594" width="2.28515625" style="1" customWidth="1"/>
    <col min="14595" max="14595" width="31.42578125" style="1" customWidth="1"/>
    <col min="14596" max="14596" width="2.28515625" style="1" customWidth="1"/>
    <col min="14597" max="14597" width="2.140625" style="1" customWidth="1"/>
    <col min="14598" max="14598" width="12.28515625" style="1" customWidth="1"/>
    <col min="14599" max="14599" width="1.5703125" style="1" customWidth="1"/>
    <col min="14600" max="14600" width="12.28515625" style="1" customWidth="1"/>
    <col min="14601" max="14601" width="1.5703125" style="1" customWidth="1"/>
    <col min="14602" max="14602" width="12.28515625" style="1" customWidth="1"/>
    <col min="14603" max="14603" width="1.5703125" style="1" customWidth="1"/>
    <col min="14604" max="14604" width="13.5703125" style="1" customWidth="1"/>
    <col min="14605" max="14605" width="0.85546875" style="1" customWidth="1"/>
    <col min="14606" max="14606" width="12.28515625" style="1" customWidth="1"/>
    <col min="14607" max="14607" width="1.5703125" style="1" customWidth="1"/>
    <col min="14608" max="14608" width="12.28515625" style="1" customWidth="1"/>
    <col min="14609" max="14609" width="1.5703125" style="1" customWidth="1"/>
    <col min="14610" max="14610" width="12.28515625" style="1" customWidth="1"/>
    <col min="14611" max="14611" width="0.85546875" style="1" customWidth="1"/>
    <col min="14612" max="14612" width="12.28515625" style="1" customWidth="1"/>
    <col min="14613" max="14613" width="1.5703125" style="1" customWidth="1"/>
    <col min="14614" max="14614" width="12.28515625" style="1" customWidth="1"/>
    <col min="14615" max="14615" width="1.5703125" style="1" customWidth="1"/>
    <col min="14616" max="14616" width="12.28515625" style="1" customWidth="1"/>
    <col min="14617" max="14617" width="0.85546875" style="1" customWidth="1"/>
    <col min="14618" max="14618" width="12.28515625" style="1" customWidth="1"/>
    <col min="14619" max="14619" width="1.5703125" style="1" customWidth="1"/>
    <col min="14620" max="14620" width="12.28515625" style="1" customWidth="1"/>
    <col min="14621" max="14621" width="1.5703125" style="1" customWidth="1"/>
    <col min="14622" max="14622" width="12.28515625" style="1" customWidth="1"/>
    <col min="14623" max="14623" width="4.5703125" style="1" customWidth="1"/>
    <col min="14624" max="14624" width="1.42578125" style="1" customWidth="1"/>
    <col min="14625" max="14847" width="13.85546875" style="1"/>
    <col min="14848" max="14848" width="7.85546875" style="1" customWidth="1"/>
    <col min="14849" max="14850" width="2.28515625" style="1" customWidth="1"/>
    <col min="14851" max="14851" width="31.42578125" style="1" customWidth="1"/>
    <col min="14852" max="14852" width="2.28515625" style="1" customWidth="1"/>
    <col min="14853" max="14853" width="2.140625" style="1" customWidth="1"/>
    <col min="14854" max="14854" width="12.28515625" style="1" customWidth="1"/>
    <col min="14855" max="14855" width="1.5703125" style="1" customWidth="1"/>
    <col min="14856" max="14856" width="12.28515625" style="1" customWidth="1"/>
    <col min="14857" max="14857" width="1.5703125" style="1" customWidth="1"/>
    <col min="14858" max="14858" width="12.28515625" style="1" customWidth="1"/>
    <col min="14859" max="14859" width="1.5703125" style="1" customWidth="1"/>
    <col min="14860" max="14860" width="13.5703125" style="1" customWidth="1"/>
    <col min="14861" max="14861" width="0.85546875" style="1" customWidth="1"/>
    <col min="14862" max="14862" width="12.28515625" style="1" customWidth="1"/>
    <col min="14863" max="14863" width="1.5703125" style="1" customWidth="1"/>
    <col min="14864" max="14864" width="12.28515625" style="1" customWidth="1"/>
    <col min="14865" max="14865" width="1.5703125" style="1" customWidth="1"/>
    <col min="14866" max="14866" width="12.28515625" style="1" customWidth="1"/>
    <col min="14867" max="14867" width="0.85546875" style="1" customWidth="1"/>
    <col min="14868" max="14868" width="12.28515625" style="1" customWidth="1"/>
    <col min="14869" max="14869" width="1.5703125" style="1" customWidth="1"/>
    <col min="14870" max="14870" width="12.28515625" style="1" customWidth="1"/>
    <col min="14871" max="14871" width="1.5703125" style="1" customWidth="1"/>
    <col min="14872" max="14872" width="12.28515625" style="1" customWidth="1"/>
    <col min="14873" max="14873" width="0.85546875" style="1" customWidth="1"/>
    <col min="14874" max="14874" width="12.28515625" style="1" customWidth="1"/>
    <col min="14875" max="14875" width="1.5703125" style="1" customWidth="1"/>
    <col min="14876" max="14876" width="12.28515625" style="1" customWidth="1"/>
    <col min="14877" max="14877" width="1.5703125" style="1" customWidth="1"/>
    <col min="14878" max="14878" width="12.28515625" style="1" customWidth="1"/>
    <col min="14879" max="14879" width="4.5703125" style="1" customWidth="1"/>
    <col min="14880" max="14880" width="1.42578125" style="1" customWidth="1"/>
    <col min="14881" max="15103" width="13.85546875" style="1"/>
    <col min="15104" max="15104" width="7.85546875" style="1" customWidth="1"/>
    <col min="15105" max="15106" width="2.28515625" style="1" customWidth="1"/>
    <col min="15107" max="15107" width="31.42578125" style="1" customWidth="1"/>
    <col min="15108" max="15108" width="2.28515625" style="1" customWidth="1"/>
    <col min="15109" max="15109" width="2.140625" style="1" customWidth="1"/>
    <col min="15110" max="15110" width="12.28515625" style="1" customWidth="1"/>
    <col min="15111" max="15111" width="1.5703125" style="1" customWidth="1"/>
    <col min="15112" max="15112" width="12.28515625" style="1" customWidth="1"/>
    <col min="15113" max="15113" width="1.5703125" style="1" customWidth="1"/>
    <col min="15114" max="15114" width="12.28515625" style="1" customWidth="1"/>
    <col min="15115" max="15115" width="1.5703125" style="1" customWidth="1"/>
    <col min="15116" max="15116" width="13.5703125" style="1" customWidth="1"/>
    <col min="15117" max="15117" width="0.85546875" style="1" customWidth="1"/>
    <col min="15118" max="15118" width="12.28515625" style="1" customWidth="1"/>
    <col min="15119" max="15119" width="1.5703125" style="1" customWidth="1"/>
    <col min="15120" max="15120" width="12.28515625" style="1" customWidth="1"/>
    <col min="15121" max="15121" width="1.5703125" style="1" customWidth="1"/>
    <col min="15122" max="15122" width="12.28515625" style="1" customWidth="1"/>
    <col min="15123" max="15123" width="0.85546875" style="1" customWidth="1"/>
    <col min="15124" max="15124" width="12.28515625" style="1" customWidth="1"/>
    <col min="15125" max="15125" width="1.5703125" style="1" customWidth="1"/>
    <col min="15126" max="15126" width="12.28515625" style="1" customWidth="1"/>
    <col min="15127" max="15127" width="1.5703125" style="1" customWidth="1"/>
    <col min="15128" max="15128" width="12.28515625" style="1" customWidth="1"/>
    <col min="15129" max="15129" width="0.85546875" style="1" customWidth="1"/>
    <col min="15130" max="15130" width="12.28515625" style="1" customWidth="1"/>
    <col min="15131" max="15131" width="1.5703125" style="1" customWidth="1"/>
    <col min="15132" max="15132" width="12.28515625" style="1" customWidth="1"/>
    <col min="15133" max="15133" width="1.5703125" style="1" customWidth="1"/>
    <col min="15134" max="15134" width="12.28515625" style="1" customWidth="1"/>
    <col min="15135" max="15135" width="4.5703125" style="1" customWidth="1"/>
    <col min="15136" max="15136" width="1.42578125" style="1" customWidth="1"/>
    <col min="15137" max="15359" width="13.85546875" style="1"/>
    <col min="15360" max="15360" width="7.85546875" style="1" customWidth="1"/>
    <col min="15361" max="15362" width="2.28515625" style="1" customWidth="1"/>
    <col min="15363" max="15363" width="31.42578125" style="1" customWidth="1"/>
    <col min="15364" max="15364" width="2.28515625" style="1" customWidth="1"/>
    <col min="15365" max="15365" width="2.140625" style="1" customWidth="1"/>
    <col min="15366" max="15366" width="12.28515625" style="1" customWidth="1"/>
    <col min="15367" max="15367" width="1.5703125" style="1" customWidth="1"/>
    <col min="15368" max="15368" width="12.28515625" style="1" customWidth="1"/>
    <col min="15369" max="15369" width="1.5703125" style="1" customWidth="1"/>
    <col min="15370" max="15370" width="12.28515625" style="1" customWidth="1"/>
    <col min="15371" max="15371" width="1.5703125" style="1" customWidth="1"/>
    <col min="15372" max="15372" width="13.5703125" style="1" customWidth="1"/>
    <col min="15373" max="15373" width="0.85546875" style="1" customWidth="1"/>
    <col min="15374" max="15374" width="12.28515625" style="1" customWidth="1"/>
    <col min="15375" max="15375" width="1.5703125" style="1" customWidth="1"/>
    <col min="15376" max="15376" width="12.28515625" style="1" customWidth="1"/>
    <col min="15377" max="15377" width="1.5703125" style="1" customWidth="1"/>
    <col min="15378" max="15378" width="12.28515625" style="1" customWidth="1"/>
    <col min="15379" max="15379" width="0.85546875" style="1" customWidth="1"/>
    <col min="15380" max="15380" width="12.28515625" style="1" customWidth="1"/>
    <col min="15381" max="15381" width="1.5703125" style="1" customWidth="1"/>
    <col min="15382" max="15382" width="12.28515625" style="1" customWidth="1"/>
    <col min="15383" max="15383" width="1.5703125" style="1" customWidth="1"/>
    <col min="15384" max="15384" width="12.28515625" style="1" customWidth="1"/>
    <col min="15385" max="15385" width="0.85546875" style="1" customWidth="1"/>
    <col min="15386" max="15386" width="12.28515625" style="1" customWidth="1"/>
    <col min="15387" max="15387" width="1.5703125" style="1" customWidth="1"/>
    <col min="15388" max="15388" width="12.28515625" style="1" customWidth="1"/>
    <col min="15389" max="15389" width="1.5703125" style="1" customWidth="1"/>
    <col min="15390" max="15390" width="12.28515625" style="1" customWidth="1"/>
    <col min="15391" max="15391" width="4.5703125" style="1" customWidth="1"/>
    <col min="15392" max="15392" width="1.42578125" style="1" customWidth="1"/>
    <col min="15393" max="15615" width="13.85546875" style="1"/>
    <col min="15616" max="15616" width="7.85546875" style="1" customWidth="1"/>
    <col min="15617" max="15618" width="2.28515625" style="1" customWidth="1"/>
    <col min="15619" max="15619" width="31.42578125" style="1" customWidth="1"/>
    <col min="15620" max="15620" width="2.28515625" style="1" customWidth="1"/>
    <col min="15621" max="15621" width="2.140625" style="1" customWidth="1"/>
    <col min="15622" max="15622" width="12.28515625" style="1" customWidth="1"/>
    <col min="15623" max="15623" width="1.5703125" style="1" customWidth="1"/>
    <col min="15624" max="15624" width="12.28515625" style="1" customWidth="1"/>
    <col min="15625" max="15625" width="1.5703125" style="1" customWidth="1"/>
    <col min="15626" max="15626" width="12.28515625" style="1" customWidth="1"/>
    <col min="15627" max="15627" width="1.5703125" style="1" customWidth="1"/>
    <col min="15628" max="15628" width="13.5703125" style="1" customWidth="1"/>
    <col min="15629" max="15629" width="0.85546875" style="1" customWidth="1"/>
    <col min="15630" max="15630" width="12.28515625" style="1" customWidth="1"/>
    <col min="15631" max="15631" width="1.5703125" style="1" customWidth="1"/>
    <col min="15632" max="15632" width="12.28515625" style="1" customWidth="1"/>
    <col min="15633" max="15633" width="1.5703125" style="1" customWidth="1"/>
    <col min="15634" max="15634" width="12.28515625" style="1" customWidth="1"/>
    <col min="15635" max="15635" width="0.85546875" style="1" customWidth="1"/>
    <col min="15636" max="15636" width="12.28515625" style="1" customWidth="1"/>
    <col min="15637" max="15637" width="1.5703125" style="1" customWidth="1"/>
    <col min="15638" max="15638" width="12.28515625" style="1" customWidth="1"/>
    <col min="15639" max="15639" width="1.5703125" style="1" customWidth="1"/>
    <col min="15640" max="15640" width="12.28515625" style="1" customWidth="1"/>
    <col min="15641" max="15641" width="0.85546875" style="1" customWidth="1"/>
    <col min="15642" max="15642" width="12.28515625" style="1" customWidth="1"/>
    <col min="15643" max="15643" width="1.5703125" style="1" customWidth="1"/>
    <col min="15644" max="15644" width="12.28515625" style="1" customWidth="1"/>
    <col min="15645" max="15645" width="1.5703125" style="1" customWidth="1"/>
    <col min="15646" max="15646" width="12.28515625" style="1" customWidth="1"/>
    <col min="15647" max="15647" width="4.5703125" style="1" customWidth="1"/>
    <col min="15648" max="15648" width="1.42578125" style="1" customWidth="1"/>
    <col min="15649" max="15871" width="13.85546875" style="1"/>
    <col min="15872" max="15872" width="7.85546875" style="1" customWidth="1"/>
    <col min="15873" max="15874" width="2.28515625" style="1" customWidth="1"/>
    <col min="15875" max="15875" width="31.42578125" style="1" customWidth="1"/>
    <col min="15876" max="15876" width="2.28515625" style="1" customWidth="1"/>
    <col min="15877" max="15877" width="2.140625" style="1" customWidth="1"/>
    <col min="15878" max="15878" width="12.28515625" style="1" customWidth="1"/>
    <col min="15879" max="15879" width="1.5703125" style="1" customWidth="1"/>
    <col min="15880" max="15880" width="12.28515625" style="1" customWidth="1"/>
    <col min="15881" max="15881" width="1.5703125" style="1" customWidth="1"/>
    <col min="15882" max="15882" width="12.28515625" style="1" customWidth="1"/>
    <col min="15883" max="15883" width="1.5703125" style="1" customWidth="1"/>
    <col min="15884" max="15884" width="13.5703125" style="1" customWidth="1"/>
    <col min="15885" max="15885" width="0.85546875" style="1" customWidth="1"/>
    <col min="15886" max="15886" width="12.28515625" style="1" customWidth="1"/>
    <col min="15887" max="15887" width="1.5703125" style="1" customWidth="1"/>
    <col min="15888" max="15888" width="12.28515625" style="1" customWidth="1"/>
    <col min="15889" max="15889" width="1.5703125" style="1" customWidth="1"/>
    <col min="15890" max="15890" width="12.28515625" style="1" customWidth="1"/>
    <col min="15891" max="15891" width="0.85546875" style="1" customWidth="1"/>
    <col min="15892" max="15892" width="12.28515625" style="1" customWidth="1"/>
    <col min="15893" max="15893" width="1.5703125" style="1" customWidth="1"/>
    <col min="15894" max="15894" width="12.28515625" style="1" customWidth="1"/>
    <col min="15895" max="15895" width="1.5703125" style="1" customWidth="1"/>
    <col min="15896" max="15896" width="12.28515625" style="1" customWidth="1"/>
    <col min="15897" max="15897" width="0.85546875" style="1" customWidth="1"/>
    <col min="15898" max="15898" width="12.28515625" style="1" customWidth="1"/>
    <col min="15899" max="15899" width="1.5703125" style="1" customWidth="1"/>
    <col min="15900" max="15900" width="12.28515625" style="1" customWidth="1"/>
    <col min="15901" max="15901" width="1.5703125" style="1" customWidth="1"/>
    <col min="15902" max="15902" width="12.28515625" style="1" customWidth="1"/>
    <col min="15903" max="15903" width="4.5703125" style="1" customWidth="1"/>
    <col min="15904" max="15904" width="1.42578125" style="1" customWidth="1"/>
    <col min="15905" max="16127" width="13.85546875" style="1"/>
    <col min="16128" max="16128" width="7.85546875" style="1" customWidth="1"/>
    <col min="16129" max="16130" width="2.28515625" style="1" customWidth="1"/>
    <col min="16131" max="16131" width="31.42578125" style="1" customWidth="1"/>
    <col min="16132" max="16132" width="2.28515625" style="1" customWidth="1"/>
    <col min="16133" max="16133" width="2.140625" style="1" customWidth="1"/>
    <col min="16134" max="16134" width="12.28515625" style="1" customWidth="1"/>
    <col min="16135" max="16135" width="1.5703125" style="1" customWidth="1"/>
    <col min="16136" max="16136" width="12.28515625" style="1" customWidth="1"/>
    <col min="16137" max="16137" width="1.5703125" style="1" customWidth="1"/>
    <col min="16138" max="16138" width="12.28515625" style="1" customWidth="1"/>
    <col min="16139" max="16139" width="1.5703125" style="1" customWidth="1"/>
    <col min="16140" max="16140" width="13.5703125" style="1" customWidth="1"/>
    <col min="16141" max="16141" width="0.85546875" style="1" customWidth="1"/>
    <col min="16142" max="16142" width="12.28515625" style="1" customWidth="1"/>
    <col min="16143" max="16143" width="1.5703125" style="1" customWidth="1"/>
    <col min="16144" max="16144" width="12.28515625" style="1" customWidth="1"/>
    <col min="16145" max="16145" width="1.5703125" style="1" customWidth="1"/>
    <col min="16146" max="16146" width="12.28515625" style="1" customWidth="1"/>
    <col min="16147" max="16147" width="0.85546875" style="1" customWidth="1"/>
    <col min="16148" max="16148" width="12.28515625" style="1" customWidth="1"/>
    <col min="16149" max="16149" width="1.5703125" style="1" customWidth="1"/>
    <col min="16150" max="16150" width="12.28515625" style="1" customWidth="1"/>
    <col min="16151" max="16151" width="1.5703125" style="1" customWidth="1"/>
    <col min="16152" max="16152" width="12.28515625" style="1" customWidth="1"/>
    <col min="16153" max="16153" width="0.85546875" style="1" customWidth="1"/>
    <col min="16154" max="16154" width="12.28515625" style="1" customWidth="1"/>
    <col min="16155" max="16155" width="1.5703125" style="1" customWidth="1"/>
    <col min="16156" max="16156" width="12.28515625" style="1" customWidth="1"/>
    <col min="16157" max="16157" width="1.5703125" style="1" customWidth="1"/>
    <col min="16158" max="16158" width="12.28515625" style="1" customWidth="1"/>
    <col min="16159" max="16159" width="4.5703125" style="1" customWidth="1"/>
    <col min="16160" max="16160" width="1.42578125" style="1" customWidth="1"/>
    <col min="16161" max="16384" width="13.85546875" style="1"/>
  </cols>
  <sheetData>
    <row r="1" spans="1:32" s="16" customFormat="1" ht="15.75">
      <c r="A1" s="1375" t="s">
        <v>1282</v>
      </c>
      <c r="G1" s="1390" t="s">
        <v>3000</v>
      </c>
      <c r="H1" s="1390"/>
      <c r="I1" s="1390"/>
      <c r="J1" s="1390"/>
      <c r="K1" s="1390"/>
      <c r="L1" s="1390"/>
      <c r="M1" s="1390"/>
      <c r="N1" s="1390"/>
      <c r="O1" s="1390"/>
      <c r="P1" s="17"/>
      <c r="Q1" s="18"/>
      <c r="V1" s="17"/>
      <c r="W1" s="18"/>
      <c r="AB1" s="17"/>
      <c r="AC1" s="18"/>
      <c r="AE1" s="20"/>
    </row>
    <row r="2" spans="1:32" s="16" customFormat="1" ht="15.75" customHeight="1">
      <c r="A2" s="1375" t="s">
        <v>459</v>
      </c>
      <c r="G2" s="1390"/>
      <c r="H2" s="1390"/>
      <c r="I2" s="1390"/>
      <c r="J2" s="1390"/>
      <c r="K2" s="1390"/>
      <c r="L2" s="1390"/>
      <c r="M2" s="1390"/>
      <c r="N2" s="1390"/>
      <c r="O2" s="1390"/>
      <c r="Q2" s="21" t="s">
        <v>217</v>
      </c>
      <c r="W2" s="21" t="s">
        <v>217</v>
      </c>
      <c r="AC2" s="21" t="s">
        <v>217</v>
      </c>
    </row>
    <row r="3" spans="1:32" s="16" customFormat="1" ht="15">
      <c r="A3" s="1376" t="s">
        <v>491</v>
      </c>
    </row>
    <row r="4" spans="1:32" s="16" customFormat="1" ht="15">
      <c r="A4" s="23"/>
    </row>
    <row r="5" spans="1:32" s="16" customFormat="1" ht="15">
      <c r="A5" s="24"/>
      <c r="B5" s="24"/>
      <c r="C5" s="24"/>
      <c r="D5" s="24"/>
      <c r="E5" s="24"/>
      <c r="F5" s="24"/>
      <c r="G5" s="25"/>
      <c r="H5" s="26"/>
      <c r="I5" s="25"/>
      <c r="J5" s="26"/>
      <c r="K5" s="27"/>
      <c r="L5" s="26"/>
      <c r="M5" s="25"/>
      <c r="N5" s="26"/>
      <c r="O5" s="25"/>
      <c r="P5" s="26"/>
      <c r="Q5" s="27"/>
      <c r="R5" s="26"/>
      <c r="S5" s="25"/>
      <c r="T5" s="26"/>
      <c r="U5" s="25"/>
      <c r="V5" s="26"/>
      <c r="W5" s="27"/>
      <c r="X5" s="26"/>
      <c r="Y5" s="25"/>
      <c r="Z5" s="26"/>
      <c r="AA5" s="25"/>
      <c r="AB5" s="26"/>
      <c r="AC5" s="27"/>
      <c r="AD5" s="26"/>
      <c r="AE5" s="25"/>
    </row>
    <row r="6" spans="1:32" s="16" customFormat="1" ht="15.75" thickBot="1">
      <c r="A6" s="24"/>
      <c r="B6" s="24"/>
      <c r="C6" s="24"/>
      <c r="D6" s="24"/>
      <c r="E6" s="24"/>
      <c r="F6" s="24"/>
      <c r="G6" s="29">
        <v>42653</v>
      </c>
      <c r="H6" s="30"/>
      <c r="I6" s="29">
        <v>42685</v>
      </c>
      <c r="J6" s="30"/>
      <c r="K6" s="29">
        <v>42716</v>
      </c>
      <c r="L6" s="31"/>
      <c r="M6" s="29">
        <v>42736</v>
      </c>
      <c r="N6" s="30"/>
      <c r="O6" s="29">
        <v>42768</v>
      </c>
      <c r="P6" s="30"/>
      <c r="Q6" s="29">
        <v>42797</v>
      </c>
      <c r="R6" s="31"/>
      <c r="S6" s="29">
        <v>42829</v>
      </c>
      <c r="T6" s="30"/>
      <c r="U6" s="29">
        <v>42860</v>
      </c>
      <c r="V6" s="30"/>
      <c r="W6" s="29">
        <v>42892</v>
      </c>
      <c r="X6" s="31"/>
      <c r="Y6" s="29">
        <v>42923</v>
      </c>
      <c r="Z6" s="30"/>
      <c r="AA6" s="29">
        <v>42955</v>
      </c>
      <c r="AB6" s="30"/>
      <c r="AC6" s="29">
        <v>42987</v>
      </c>
      <c r="AD6" s="31"/>
      <c r="AE6" s="32" t="s">
        <v>27</v>
      </c>
    </row>
    <row r="7" spans="1:32" outlineLevel="1">
      <c r="A7" s="6">
        <v>98501</v>
      </c>
      <c r="B7" s="6" t="s">
        <v>221</v>
      </c>
      <c r="C7" s="7"/>
      <c r="D7" s="3"/>
      <c r="E7" s="8"/>
      <c r="F7" s="9"/>
      <c r="G7" s="10">
        <v>0</v>
      </c>
      <c r="H7" s="9"/>
      <c r="I7" s="10">
        <v>0</v>
      </c>
      <c r="J7" s="9"/>
      <c r="K7" s="10">
        <v>0</v>
      </c>
      <c r="L7" s="9"/>
      <c r="M7" s="10">
        <v>22</v>
      </c>
      <c r="N7" s="9"/>
      <c r="O7" s="10">
        <v>0</v>
      </c>
      <c r="P7" s="9"/>
      <c r="Q7" s="10">
        <v>0</v>
      </c>
      <c r="R7" s="9"/>
      <c r="S7" s="10">
        <v>0</v>
      </c>
      <c r="T7" s="9"/>
      <c r="U7" s="10">
        <v>0</v>
      </c>
      <c r="V7" s="9"/>
      <c r="W7" s="10">
        <v>0</v>
      </c>
      <c r="X7" s="9"/>
      <c r="Y7" s="10">
        <v>0</v>
      </c>
      <c r="Z7" s="9"/>
      <c r="AA7" s="10">
        <v>0</v>
      </c>
      <c r="AB7" s="9"/>
      <c r="AC7" s="10">
        <v>0</v>
      </c>
      <c r="AD7" s="9"/>
      <c r="AE7" s="10">
        <f>AC7+AA7+Y7+W7+U7+S7+Q7+O7+M7+K7+I7+G7</f>
        <v>22</v>
      </c>
      <c r="AF7" s="11"/>
    </row>
    <row r="8" spans="1:32" s="8" customFormat="1" ht="4.5" customHeight="1">
      <c r="G8" s="9"/>
      <c r="H8" s="16"/>
      <c r="I8" s="9"/>
      <c r="J8" s="16"/>
      <c r="K8" s="9"/>
      <c r="L8" s="16"/>
      <c r="M8" s="9"/>
      <c r="N8" s="16"/>
      <c r="O8" s="9"/>
      <c r="P8" s="16"/>
      <c r="Q8" s="9"/>
      <c r="R8" s="16"/>
      <c r="S8" s="9"/>
      <c r="T8" s="16"/>
      <c r="U8" s="9"/>
      <c r="V8" s="16"/>
      <c r="W8" s="9"/>
      <c r="X8" s="16"/>
      <c r="Y8" s="9"/>
      <c r="Z8" s="16"/>
      <c r="AA8" s="9"/>
      <c r="AB8" s="16"/>
      <c r="AC8" s="9"/>
      <c r="AD8" s="16"/>
      <c r="AE8" s="9"/>
      <c r="AF8" s="16"/>
    </row>
    <row r="9" spans="1:32" s="8" customFormat="1" ht="15" outlineLevel="1">
      <c r="G9" s="9"/>
      <c r="H9" s="16"/>
      <c r="I9" s="9"/>
      <c r="J9" s="16"/>
      <c r="K9" s="9"/>
      <c r="L9" s="16"/>
      <c r="M9" s="9"/>
      <c r="N9" s="16"/>
      <c r="O9" s="9"/>
      <c r="P9" s="16"/>
      <c r="Q9" s="9"/>
      <c r="R9" s="16"/>
      <c r="S9" s="9"/>
      <c r="T9" s="16"/>
      <c r="U9" s="9"/>
      <c r="V9" s="16"/>
      <c r="W9" s="9"/>
      <c r="X9" s="16"/>
      <c r="Y9" s="9"/>
      <c r="Z9" s="16"/>
      <c r="AA9" s="9"/>
      <c r="AB9" s="16"/>
      <c r="AC9" s="9"/>
      <c r="AD9" s="16"/>
      <c r="AE9" s="9"/>
      <c r="AF9" s="16"/>
    </row>
    <row r="10" spans="1:32" outlineLevel="1">
      <c r="A10" s="6">
        <v>31000</v>
      </c>
      <c r="B10" s="6" t="s">
        <v>222</v>
      </c>
      <c r="C10" s="7"/>
      <c r="D10" s="3"/>
      <c r="E10" s="8"/>
      <c r="F10" s="9"/>
      <c r="G10" s="10">
        <v>217889.37</v>
      </c>
      <c r="H10" s="9"/>
      <c r="I10" s="10">
        <v>212974.29</v>
      </c>
      <c r="J10" s="9"/>
      <c r="K10" s="10">
        <v>201437.08</v>
      </c>
      <c r="L10" s="9"/>
      <c r="M10" s="10">
        <v>181901.67</v>
      </c>
      <c r="N10" s="9"/>
      <c r="O10" s="10">
        <v>194771.32</v>
      </c>
      <c r="P10" s="9"/>
      <c r="Q10" s="10">
        <v>258365.42</v>
      </c>
      <c r="R10" s="9"/>
      <c r="S10" s="10">
        <v>222025.17</v>
      </c>
      <c r="T10" s="9"/>
      <c r="U10" s="10">
        <v>262685.48</v>
      </c>
      <c r="V10" s="9"/>
      <c r="W10" s="10">
        <v>270401.96999999997</v>
      </c>
      <c r="X10" s="9"/>
      <c r="Y10" s="10">
        <v>261907.97</v>
      </c>
      <c r="Z10" s="9"/>
      <c r="AA10" s="10">
        <v>283159.23</v>
      </c>
      <c r="AB10" s="9"/>
      <c r="AC10" s="10">
        <v>256139.23</v>
      </c>
      <c r="AD10" s="9"/>
      <c r="AE10" s="10">
        <f t="shared" ref="AE10:AE23" si="0">AC10+AA10+Y10+W10+U10+S10+Q10+O10+M10+K10+I10+G10</f>
        <v>2823658.2</v>
      </c>
      <c r="AF10" s="11"/>
    </row>
    <row r="11" spans="1:32" outlineLevel="1">
      <c r="A11" s="6">
        <v>31004</v>
      </c>
      <c r="B11" s="6" t="s">
        <v>224</v>
      </c>
      <c r="C11" s="7"/>
      <c r="D11" s="3"/>
      <c r="E11" s="8"/>
      <c r="F11" s="9"/>
      <c r="G11" s="10">
        <v>45528.32</v>
      </c>
      <c r="H11" s="9"/>
      <c r="I11" s="10">
        <v>45963.69</v>
      </c>
      <c r="J11" s="9"/>
      <c r="K11" s="10">
        <v>38308.25</v>
      </c>
      <c r="L11" s="9"/>
      <c r="M11" s="10">
        <v>38408.870000000003</v>
      </c>
      <c r="N11" s="9"/>
      <c r="O11" s="10">
        <v>42592.18</v>
      </c>
      <c r="P11" s="9"/>
      <c r="Q11" s="10">
        <v>48055.95</v>
      </c>
      <c r="R11" s="9"/>
      <c r="S11" s="10">
        <v>49083.5</v>
      </c>
      <c r="T11" s="9"/>
      <c r="U11" s="10">
        <v>50529.07</v>
      </c>
      <c r="V11" s="9"/>
      <c r="W11" s="10">
        <v>59204.62</v>
      </c>
      <c r="X11" s="9"/>
      <c r="Y11" s="10">
        <v>56116.04</v>
      </c>
      <c r="Z11" s="9"/>
      <c r="AA11" s="10">
        <v>65559.179999999993</v>
      </c>
      <c r="AB11" s="9"/>
      <c r="AC11" s="10">
        <v>54151.87</v>
      </c>
      <c r="AD11" s="9"/>
      <c r="AE11" s="10">
        <f t="shared" si="0"/>
        <v>593501.53999999992</v>
      </c>
      <c r="AF11" s="11"/>
    </row>
    <row r="12" spans="1:32" outlineLevel="1">
      <c r="A12" s="6">
        <v>31005</v>
      </c>
      <c r="B12" s="6" t="s">
        <v>225</v>
      </c>
      <c r="C12" s="7"/>
      <c r="D12" s="3"/>
      <c r="E12" s="8"/>
      <c r="F12" s="9"/>
      <c r="G12" s="10">
        <v>513355.94</v>
      </c>
      <c r="H12" s="9"/>
      <c r="I12" s="10">
        <v>500669.3</v>
      </c>
      <c r="J12" s="9"/>
      <c r="K12" s="10">
        <v>474405.81</v>
      </c>
      <c r="L12" s="9"/>
      <c r="M12" s="10">
        <v>449861.01</v>
      </c>
      <c r="N12" s="9"/>
      <c r="O12" s="10">
        <v>469888.9</v>
      </c>
      <c r="P12" s="9"/>
      <c r="Q12" s="10">
        <v>679183.16</v>
      </c>
      <c r="R12" s="9"/>
      <c r="S12" s="10">
        <v>516059.21</v>
      </c>
      <c r="T12" s="9"/>
      <c r="U12" s="10">
        <v>608014.61</v>
      </c>
      <c r="V12" s="9"/>
      <c r="W12" s="10">
        <v>617826.14</v>
      </c>
      <c r="X12" s="9"/>
      <c r="Y12" s="10">
        <v>592366.69999999995</v>
      </c>
      <c r="Z12" s="9"/>
      <c r="AA12" s="10">
        <v>623728.62</v>
      </c>
      <c r="AB12" s="9"/>
      <c r="AC12" s="10">
        <v>551798.31999999995</v>
      </c>
      <c r="AD12" s="9"/>
      <c r="AE12" s="10">
        <f t="shared" si="0"/>
        <v>6597157.7199999997</v>
      </c>
      <c r="AF12" s="11"/>
    </row>
    <row r="13" spans="1:32" outlineLevel="1">
      <c r="A13" s="6">
        <v>31009</v>
      </c>
      <c r="B13" s="6" t="s">
        <v>226</v>
      </c>
      <c r="C13" s="7"/>
      <c r="D13" s="3"/>
      <c r="E13" s="8"/>
      <c r="F13" s="9"/>
      <c r="G13" s="10">
        <v>775</v>
      </c>
      <c r="H13" s="9"/>
      <c r="I13" s="10">
        <v>2210</v>
      </c>
      <c r="J13" s="9"/>
      <c r="K13" s="10">
        <v>1080</v>
      </c>
      <c r="L13" s="9"/>
      <c r="M13" s="10">
        <v>985</v>
      </c>
      <c r="N13" s="9"/>
      <c r="O13" s="10">
        <v>720</v>
      </c>
      <c r="P13" s="9"/>
      <c r="Q13" s="10">
        <v>815</v>
      </c>
      <c r="R13" s="9"/>
      <c r="S13" s="10">
        <v>1465</v>
      </c>
      <c r="T13" s="9"/>
      <c r="U13" s="10">
        <v>1785</v>
      </c>
      <c r="V13" s="9"/>
      <c r="W13" s="10">
        <v>7710</v>
      </c>
      <c r="X13" s="9"/>
      <c r="Y13" s="10">
        <v>3120</v>
      </c>
      <c r="Z13" s="9"/>
      <c r="AA13" s="10">
        <v>5090</v>
      </c>
      <c r="AB13" s="9"/>
      <c r="AC13" s="10">
        <v>1500</v>
      </c>
      <c r="AD13" s="9"/>
      <c r="AE13" s="10">
        <f t="shared" si="0"/>
        <v>27255</v>
      </c>
      <c r="AF13" s="11"/>
    </row>
    <row r="14" spans="1:32" outlineLevel="1">
      <c r="A14" s="6">
        <v>31010</v>
      </c>
      <c r="B14" s="6" t="s">
        <v>227</v>
      </c>
      <c r="C14" s="7"/>
      <c r="D14" s="3"/>
      <c r="E14" s="8"/>
      <c r="F14" s="9"/>
      <c r="G14" s="10">
        <v>61208.18</v>
      </c>
      <c r="H14" s="9"/>
      <c r="I14" s="10">
        <v>59167.92</v>
      </c>
      <c r="J14" s="9"/>
      <c r="K14" s="10">
        <v>52403.68</v>
      </c>
      <c r="L14" s="9"/>
      <c r="M14" s="10">
        <v>53595.87</v>
      </c>
      <c r="N14" s="9"/>
      <c r="O14" s="10">
        <v>58507.77</v>
      </c>
      <c r="P14" s="9"/>
      <c r="Q14" s="10">
        <v>65671.55</v>
      </c>
      <c r="R14" s="9"/>
      <c r="S14" s="10">
        <v>60079.9</v>
      </c>
      <c r="T14" s="9"/>
      <c r="U14" s="10">
        <v>72634.14</v>
      </c>
      <c r="V14" s="9"/>
      <c r="W14" s="10">
        <v>76057.350000000006</v>
      </c>
      <c r="X14" s="9"/>
      <c r="Y14" s="10">
        <v>75491.95</v>
      </c>
      <c r="Z14" s="9"/>
      <c r="AA14" s="10">
        <v>81701.14</v>
      </c>
      <c r="AB14" s="9"/>
      <c r="AC14" s="10">
        <v>74845.59</v>
      </c>
      <c r="AD14" s="9"/>
      <c r="AE14" s="10">
        <f t="shared" si="0"/>
        <v>791365.04000000015</v>
      </c>
      <c r="AF14" s="11"/>
    </row>
    <row r="15" spans="1:32" outlineLevel="1">
      <c r="A15" s="6">
        <v>32000</v>
      </c>
      <c r="B15" s="6" t="s">
        <v>228</v>
      </c>
      <c r="C15" s="7"/>
      <c r="D15" s="3"/>
      <c r="E15" s="8"/>
      <c r="F15" s="9"/>
      <c r="G15" s="10">
        <v>1768318.53</v>
      </c>
      <c r="H15" s="9"/>
      <c r="I15" s="10">
        <v>1766041.04</v>
      </c>
      <c r="J15" s="9"/>
      <c r="K15" s="10">
        <v>1769909.31</v>
      </c>
      <c r="L15" s="9"/>
      <c r="M15" s="10">
        <v>1765954.58</v>
      </c>
      <c r="N15" s="9"/>
      <c r="O15" s="10">
        <v>1769638.21</v>
      </c>
      <c r="P15" s="9"/>
      <c r="Q15" s="10">
        <v>1794395.69</v>
      </c>
      <c r="R15" s="9"/>
      <c r="S15" s="10">
        <v>1803642.8799999999</v>
      </c>
      <c r="T15" s="9"/>
      <c r="U15" s="10">
        <v>1830967.26</v>
      </c>
      <c r="V15" s="9"/>
      <c r="W15" s="10">
        <v>1836581.26</v>
      </c>
      <c r="X15" s="9"/>
      <c r="Y15" s="10">
        <v>1857355.5</v>
      </c>
      <c r="Z15" s="9"/>
      <c r="AA15" s="10">
        <v>1842070.62</v>
      </c>
      <c r="AB15" s="9"/>
      <c r="AC15" s="10">
        <v>1862970.89</v>
      </c>
      <c r="AD15" s="9"/>
      <c r="AE15" s="10">
        <f t="shared" si="0"/>
        <v>21667845.77</v>
      </c>
      <c r="AF15" s="11"/>
    </row>
    <row r="16" spans="1:32" outlineLevel="1">
      <c r="A16" s="6">
        <v>32001</v>
      </c>
      <c r="B16" s="6" t="s">
        <v>229</v>
      </c>
      <c r="C16" s="7"/>
      <c r="D16" s="3"/>
      <c r="E16" s="8"/>
      <c r="F16" s="9"/>
      <c r="G16" s="10">
        <v>84150.65</v>
      </c>
      <c r="H16" s="9"/>
      <c r="I16" s="10">
        <v>93605.28</v>
      </c>
      <c r="J16" s="9"/>
      <c r="K16" s="10">
        <v>86988.55</v>
      </c>
      <c r="L16" s="9"/>
      <c r="M16" s="10">
        <v>72259.679999999993</v>
      </c>
      <c r="N16" s="9"/>
      <c r="O16" s="10">
        <v>78030.55</v>
      </c>
      <c r="P16" s="9"/>
      <c r="Q16" s="10">
        <v>88219.96</v>
      </c>
      <c r="R16" s="9"/>
      <c r="S16" s="10">
        <v>82506.679999999993</v>
      </c>
      <c r="T16" s="9"/>
      <c r="U16" s="10">
        <v>93169.01</v>
      </c>
      <c r="V16" s="9"/>
      <c r="W16" s="10">
        <v>109994.5</v>
      </c>
      <c r="X16" s="9"/>
      <c r="Y16" s="10">
        <v>105017.84</v>
      </c>
      <c r="Z16" s="9"/>
      <c r="AA16" s="10">
        <v>96811.17</v>
      </c>
      <c r="AB16" s="9"/>
      <c r="AC16" s="10">
        <v>99684.14</v>
      </c>
      <c r="AD16" s="9"/>
      <c r="AE16" s="10">
        <f t="shared" si="0"/>
        <v>1090438.01</v>
      </c>
      <c r="AF16" s="11"/>
    </row>
    <row r="17" spans="1:32" outlineLevel="1">
      <c r="A17" s="6">
        <v>32100</v>
      </c>
      <c r="B17" s="6" t="s">
        <v>230</v>
      </c>
      <c r="C17" s="7"/>
      <c r="D17" s="3"/>
      <c r="E17" s="8"/>
      <c r="F17" s="9"/>
      <c r="G17" s="10">
        <v>602917.5</v>
      </c>
      <c r="H17" s="9"/>
      <c r="I17" s="10">
        <v>607179.44999999995</v>
      </c>
      <c r="J17" s="9"/>
      <c r="K17" s="10">
        <v>608968.39</v>
      </c>
      <c r="L17" s="9"/>
      <c r="M17" s="10">
        <v>610110.96</v>
      </c>
      <c r="N17" s="9"/>
      <c r="O17" s="10">
        <v>604400.74</v>
      </c>
      <c r="P17" s="9"/>
      <c r="Q17" s="10">
        <v>614620.31000000006</v>
      </c>
      <c r="R17" s="9"/>
      <c r="S17" s="10">
        <v>613298.22</v>
      </c>
      <c r="T17" s="9"/>
      <c r="U17" s="10">
        <v>617227.87</v>
      </c>
      <c r="V17" s="9"/>
      <c r="W17" s="10">
        <v>617517.72</v>
      </c>
      <c r="X17" s="9"/>
      <c r="Y17" s="10">
        <v>618801.86</v>
      </c>
      <c r="Z17" s="9"/>
      <c r="AA17" s="10">
        <v>614962.05000000005</v>
      </c>
      <c r="AB17" s="9"/>
      <c r="AC17" s="10">
        <v>606267.38</v>
      </c>
      <c r="AD17" s="9"/>
      <c r="AE17" s="10">
        <f t="shared" si="0"/>
        <v>7336272.4500000002</v>
      </c>
      <c r="AF17" s="11"/>
    </row>
    <row r="18" spans="1:32" outlineLevel="1">
      <c r="A18" s="6">
        <v>32110</v>
      </c>
      <c r="B18" s="6" t="s">
        <v>231</v>
      </c>
      <c r="C18" s="7"/>
      <c r="D18" s="3"/>
      <c r="E18" s="8"/>
      <c r="F18" s="9"/>
      <c r="G18" s="10">
        <v>352174.08000000002</v>
      </c>
      <c r="H18" s="9"/>
      <c r="I18" s="10">
        <v>348666.32</v>
      </c>
      <c r="J18" s="9"/>
      <c r="K18" s="10">
        <v>340558.68</v>
      </c>
      <c r="L18" s="9"/>
      <c r="M18" s="10">
        <v>298322.03999999998</v>
      </c>
      <c r="N18" s="9"/>
      <c r="O18" s="10">
        <v>297508.12</v>
      </c>
      <c r="P18" s="9"/>
      <c r="Q18" s="10">
        <v>335677.4</v>
      </c>
      <c r="R18" s="9"/>
      <c r="S18" s="10">
        <v>342574.64</v>
      </c>
      <c r="T18" s="9"/>
      <c r="U18" s="10">
        <v>354094.96</v>
      </c>
      <c r="V18" s="9"/>
      <c r="W18" s="10">
        <v>358884.6</v>
      </c>
      <c r="X18" s="9"/>
      <c r="Y18" s="10">
        <v>362718.65</v>
      </c>
      <c r="Z18" s="9"/>
      <c r="AA18" s="10">
        <v>359504.97</v>
      </c>
      <c r="AB18" s="9"/>
      <c r="AC18" s="10">
        <v>360932.56</v>
      </c>
      <c r="AD18" s="9"/>
      <c r="AE18" s="10">
        <f t="shared" si="0"/>
        <v>4111617.0200000005</v>
      </c>
      <c r="AF18" s="11"/>
    </row>
    <row r="19" spans="1:32" outlineLevel="1">
      <c r="A19" s="6">
        <v>32111</v>
      </c>
      <c r="B19" s="6" t="s">
        <v>231</v>
      </c>
      <c r="C19" s="7"/>
      <c r="D19" s="3"/>
      <c r="E19" s="8"/>
      <c r="F19" s="9"/>
      <c r="G19" s="10">
        <v>32262.400000000001</v>
      </c>
      <c r="H19" s="9"/>
      <c r="I19" s="10">
        <v>40383.25</v>
      </c>
      <c r="J19" s="9"/>
      <c r="K19" s="10">
        <v>11390.35</v>
      </c>
      <c r="L19" s="9"/>
      <c r="M19" s="10">
        <v>11146.7</v>
      </c>
      <c r="N19" s="9"/>
      <c r="O19" s="10">
        <v>16509.57</v>
      </c>
      <c r="P19" s="9"/>
      <c r="Q19" s="10">
        <v>20649.05</v>
      </c>
      <c r="R19" s="9"/>
      <c r="S19" s="10">
        <v>37541.519999999997</v>
      </c>
      <c r="T19" s="9"/>
      <c r="U19" s="10">
        <v>63706.49</v>
      </c>
      <c r="V19" s="9"/>
      <c r="W19" s="10">
        <v>56714.83</v>
      </c>
      <c r="X19" s="9"/>
      <c r="Y19" s="10">
        <v>39602.32</v>
      </c>
      <c r="Z19" s="9"/>
      <c r="AA19" s="10">
        <v>32146.55</v>
      </c>
      <c r="AB19" s="9"/>
      <c r="AC19" s="10">
        <v>39903.620000000003</v>
      </c>
      <c r="AD19" s="9"/>
      <c r="AE19" s="10">
        <f t="shared" si="0"/>
        <v>401956.65</v>
      </c>
      <c r="AF19" s="11"/>
    </row>
    <row r="20" spans="1:32" outlineLevel="1">
      <c r="A20" s="6">
        <v>33000</v>
      </c>
      <c r="B20" s="6" t="s">
        <v>232</v>
      </c>
      <c r="C20" s="7"/>
      <c r="D20" s="3"/>
      <c r="E20" s="8"/>
      <c r="F20" s="9"/>
      <c r="G20" s="10">
        <v>1317576.6599999999</v>
      </c>
      <c r="H20" s="9"/>
      <c r="I20" s="10">
        <v>1306149.6499999999</v>
      </c>
      <c r="J20" s="9"/>
      <c r="K20" s="10">
        <v>1301862.96</v>
      </c>
      <c r="L20" s="9"/>
      <c r="M20" s="10">
        <v>1304105.93</v>
      </c>
      <c r="N20" s="9"/>
      <c r="O20" s="10">
        <v>1296766.99</v>
      </c>
      <c r="P20" s="9"/>
      <c r="Q20" s="10">
        <v>1305692.18</v>
      </c>
      <c r="R20" s="9"/>
      <c r="S20" s="10">
        <v>1366571.72</v>
      </c>
      <c r="T20" s="9"/>
      <c r="U20" s="10">
        <v>1374688.22</v>
      </c>
      <c r="V20" s="9"/>
      <c r="W20" s="10">
        <v>1381517</v>
      </c>
      <c r="X20" s="9"/>
      <c r="Y20" s="10">
        <v>1386781.31</v>
      </c>
      <c r="Z20" s="9"/>
      <c r="AA20" s="10">
        <v>1389188.81</v>
      </c>
      <c r="AB20" s="9"/>
      <c r="AC20" s="10">
        <v>1394144.96</v>
      </c>
      <c r="AD20" s="9"/>
      <c r="AE20" s="10">
        <f t="shared" si="0"/>
        <v>16125046.389999999</v>
      </c>
      <c r="AF20" s="11"/>
    </row>
    <row r="21" spans="1:32" outlineLevel="1">
      <c r="A21" s="6">
        <v>33001</v>
      </c>
      <c r="B21" s="6" t="s">
        <v>233</v>
      </c>
      <c r="C21" s="7"/>
      <c r="D21" s="3"/>
      <c r="E21" s="8"/>
      <c r="F21" s="9"/>
      <c r="G21" s="10">
        <v>65479.06</v>
      </c>
      <c r="H21" s="9"/>
      <c r="I21" s="10">
        <v>70848.92</v>
      </c>
      <c r="J21" s="9"/>
      <c r="K21" s="10">
        <v>73004.58</v>
      </c>
      <c r="L21" s="9"/>
      <c r="M21" s="10">
        <v>66776.28</v>
      </c>
      <c r="N21" s="9"/>
      <c r="O21" s="10">
        <v>72344.34</v>
      </c>
      <c r="P21" s="9"/>
      <c r="Q21" s="10">
        <v>71390.3</v>
      </c>
      <c r="R21" s="9"/>
      <c r="S21" s="10">
        <v>69640.25</v>
      </c>
      <c r="T21" s="9"/>
      <c r="U21" s="10">
        <v>75430.94</v>
      </c>
      <c r="V21" s="9"/>
      <c r="W21" s="10">
        <v>74533.78</v>
      </c>
      <c r="X21" s="9"/>
      <c r="Y21" s="10">
        <v>73505.52</v>
      </c>
      <c r="Z21" s="9"/>
      <c r="AA21" s="10">
        <v>74715.259999999995</v>
      </c>
      <c r="AB21" s="9"/>
      <c r="AC21" s="10">
        <v>69552.86</v>
      </c>
      <c r="AD21" s="9"/>
      <c r="AE21" s="10">
        <f t="shared" si="0"/>
        <v>857222.09000000008</v>
      </c>
      <c r="AF21" s="11"/>
    </row>
    <row r="22" spans="1:32" outlineLevel="1">
      <c r="A22" s="6">
        <v>33020</v>
      </c>
      <c r="B22" s="6" t="s">
        <v>234</v>
      </c>
      <c r="C22" s="7"/>
      <c r="D22" s="3"/>
      <c r="E22" s="8"/>
      <c r="F22" s="9"/>
      <c r="G22" s="10">
        <v>276589.68</v>
      </c>
      <c r="H22" s="9"/>
      <c r="I22" s="10">
        <v>283029.81</v>
      </c>
      <c r="J22" s="9"/>
      <c r="K22" s="10">
        <v>282108.95</v>
      </c>
      <c r="L22" s="9"/>
      <c r="M22" s="10">
        <v>280999.94</v>
      </c>
      <c r="N22" s="9"/>
      <c r="O22" s="10">
        <v>288697.61</v>
      </c>
      <c r="P22" s="9"/>
      <c r="Q22" s="10">
        <v>293216.92</v>
      </c>
      <c r="R22" s="9"/>
      <c r="S22" s="10">
        <v>292345.11</v>
      </c>
      <c r="T22" s="9"/>
      <c r="U22" s="10">
        <v>294079.84999999998</v>
      </c>
      <c r="V22" s="9"/>
      <c r="W22" s="10">
        <v>296144.71000000002</v>
      </c>
      <c r="X22" s="9"/>
      <c r="Y22" s="10">
        <v>269894.11</v>
      </c>
      <c r="Z22" s="9"/>
      <c r="AA22" s="10">
        <v>281709.48</v>
      </c>
      <c r="AB22" s="9"/>
      <c r="AC22" s="10">
        <v>301182.31</v>
      </c>
      <c r="AD22" s="9"/>
      <c r="AE22" s="10">
        <f t="shared" si="0"/>
        <v>3439998.48</v>
      </c>
      <c r="AF22" s="11"/>
    </row>
    <row r="23" spans="1:32" outlineLevel="1">
      <c r="A23" s="6">
        <v>33031</v>
      </c>
      <c r="B23" s="6" t="s">
        <v>235</v>
      </c>
      <c r="C23" s="7"/>
      <c r="D23" s="3"/>
      <c r="E23" s="8"/>
      <c r="F23" s="9"/>
      <c r="G23" s="10">
        <v>17859.740000000002</v>
      </c>
      <c r="H23" s="9"/>
      <c r="I23" s="10">
        <v>25286.74</v>
      </c>
      <c r="J23" s="9"/>
      <c r="K23" s="10">
        <v>22878.17</v>
      </c>
      <c r="L23" s="9"/>
      <c r="M23" s="10">
        <v>19504.509999999998</v>
      </c>
      <c r="N23" s="9"/>
      <c r="O23" s="10">
        <v>23741.21</v>
      </c>
      <c r="P23" s="9"/>
      <c r="Q23" s="10">
        <v>25318.240000000002</v>
      </c>
      <c r="R23" s="9"/>
      <c r="S23" s="10">
        <v>26188.29</v>
      </c>
      <c r="T23" s="9"/>
      <c r="U23" s="10">
        <v>31915.34</v>
      </c>
      <c r="V23" s="9"/>
      <c r="W23" s="10">
        <v>23992.400000000001</v>
      </c>
      <c r="X23" s="9"/>
      <c r="Y23" s="10">
        <v>29216.36</v>
      </c>
      <c r="Z23" s="9"/>
      <c r="AA23" s="10">
        <v>29735.19</v>
      </c>
      <c r="AB23" s="9"/>
      <c r="AC23" s="10">
        <v>29502.98</v>
      </c>
      <c r="AD23" s="9"/>
      <c r="AE23" s="10">
        <f t="shared" si="0"/>
        <v>305139.17</v>
      </c>
      <c r="AF23" s="11"/>
    </row>
    <row r="24" spans="1:32" s="8" customFormat="1" ht="4.5" customHeight="1" outlineLevel="1">
      <c r="G24" s="34"/>
      <c r="H24" s="16"/>
      <c r="I24" s="34"/>
      <c r="J24" s="16"/>
      <c r="K24" s="34"/>
      <c r="L24" s="16"/>
      <c r="M24" s="34"/>
      <c r="N24" s="16"/>
      <c r="O24" s="34"/>
      <c r="P24" s="16"/>
      <c r="Q24" s="34"/>
      <c r="R24" s="16"/>
      <c r="S24" s="34"/>
      <c r="T24" s="16"/>
      <c r="U24" s="34"/>
      <c r="V24" s="16"/>
      <c r="W24" s="34"/>
      <c r="X24" s="16"/>
      <c r="Y24" s="34"/>
      <c r="Z24" s="16"/>
      <c r="AA24" s="34"/>
      <c r="AB24" s="16"/>
      <c r="AC24" s="34"/>
      <c r="AD24" s="16"/>
      <c r="AE24" s="34"/>
      <c r="AF24" s="16"/>
    </row>
    <row r="25" spans="1:32" s="8" customFormat="1" ht="15">
      <c r="C25" s="8" t="s">
        <v>236</v>
      </c>
      <c r="G25" s="35">
        <f>SUM(G9:G24)</f>
        <v>5356085.1099999994</v>
      </c>
      <c r="H25" s="36"/>
      <c r="I25" s="35">
        <f>SUM(I9:I24)</f>
        <v>5362175.6599999992</v>
      </c>
      <c r="J25" s="36"/>
      <c r="K25" s="35">
        <f>SUM(K9:K24)</f>
        <v>5265304.7600000007</v>
      </c>
      <c r="L25" s="36"/>
      <c r="M25" s="35">
        <f>SUM(M9:M24)</f>
        <v>5153933.040000001</v>
      </c>
      <c r="N25" s="36"/>
      <c r="O25" s="35">
        <f>SUM(O9:O24)</f>
        <v>5214117.51</v>
      </c>
      <c r="P25" s="36"/>
      <c r="Q25" s="35">
        <f>SUM(Q9:Q24)</f>
        <v>5601271.1299999999</v>
      </c>
      <c r="R25" s="36"/>
      <c r="S25" s="35">
        <f>SUM(S9:S24)</f>
        <v>5483022.0900000008</v>
      </c>
      <c r="T25" s="36"/>
      <c r="U25" s="35">
        <f>SUM(U9:U24)</f>
        <v>5730928.2400000002</v>
      </c>
      <c r="V25" s="36"/>
      <c r="W25" s="35">
        <f>SUM(W9:W24)</f>
        <v>5787080.8800000008</v>
      </c>
      <c r="X25" s="36"/>
      <c r="Y25" s="35">
        <f>SUM(Y9:Y24)</f>
        <v>5731896.1299999999</v>
      </c>
      <c r="Z25" s="36"/>
      <c r="AA25" s="35">
        <f>SUM(AA9:AA24)</f>
        <v>5780082.2700000005</v>
      </c>
      <c r="AB25" s="36"/>
      <c r="AC25" s="35">
        <f>SUM(AC9:AC24)</f>
        <v>5702576.7100000009</v>
      </c>
      <c r="AD25" s="36"/>
      <c r="AE25" s="35">
        <f>SUM(AE9:AE24)</f>
        <v>66168473.530000009</v>
      </c>
      <c r="AF25" s="16"/>
    </row>
    <row r="26" spans="1:32" s="8" customFormat="1" ht="15" outlineLevel="1">
      <c r="G26" s="37"/>
      <c r="H26" s="36"/>
      <c r="I26" s="37"/>
      <c r="J26" s="36"/>
      <c r="K26" s="37"/>
      <c r="L26" s="36"/>
      <c r="M26" s="37"/>
      <c r="N26" s="36"/>
      <c r="O26" s="37"/>
      <c r="P26" s="36"/>
      <c r="Q26" s="37"/>
      <c r="R26" s="36"/>
      <c r="S26" s="37"/>
      <c r="T26" s="36"/>
      <c r="U26" s="37"/>
      <c r="V26" s="36"/>
      <c r="W26" s="37"/>
      <c r="X26" s="36"/>
      <c r="Y26" s="37"/>
      <c r="Z26" s="36"/>
      <c r="AA26" s="37"/>
      <c r="AB26" s="36"/>
      <c r="AC26" s="37"/>
      <c r="AD26" s="36"/>
      <c r="AE26" s="37"/>
      <c r="AF26" s="16"/>
    </row>
    <row r="27" spans="1:32" outlineLevel="1">
      <c r="A27" s="6"/>
      <c r="B27" s="6"/>
      <c r="C27" s="7"/>
      <c r="D27" s="3"/>
      <c r="E27" s="8"/>
      <c r="F27" s="9"/>
      <c r="G27" s="10"/>
      <c r="H27" s="9"/>
      <c r="I27" s="10"/>
      <c r="J27" s="9"/>
      <c r="K27" s="10"/>
      <c r="L27" s="9"/>
      <c r="M27" s="10"/>
      <c r="N27" s="9"/>
      <c r="O27" s="10"/>
      <c r="P27" s="9"/>
      <c r="Q27" s="10"/>
      <c r="R27" s="9"/>
      <c r="S27" s="10"/>
      <c r="T27" s="9"/>
      <c r="U27" s="10"/>
      <c r="V27" s="9"/>
      <c r="W27" s="10"/>
      <c r="X27" s="9"/>
      <c r="Y27" s="10"/>
      <c r="Z27" s="9"/>
      <c r="AA27" s="10"/>
      <c r="AB27" s="9"/>
      <c r="AC27" s="10"/>
      <c r="AD27" s="9"/>
      <c r="AE27" s="10">
        <f>AC27+AA27+Y27+W27+U27+S27+Q27+O27+M27+K27+I27+G27</f>
        <v>0</v>
      </c>
      <c r="AF27" s="11"/>
    </row>
    <row r="28" spans="1:32" s="8" customFormat="1" ht="5.0999999999999996" customHeight="1" outlineLevel="1">
      <c r="A28" s="7"/>
      <c r="B28" s="7"/>
      <c r="C28" s="7"/>
      <c r="D28" s="7"/>
      <c r="G28" s="38"/>
      <c r="H28" s="36"/>
      <c r="I28" s="38"/>
      <c r="J28" s="36"/>
      <c r="K28" s="38"/>
      <c r="L28" s="36"/>
      <c r="M28" s="38"/>
      <c r="N28" s="36"/>
      <c r="O28" s="38"/>
      <c r="P28" s="36"/>
      <c r="Q28" s="38"/>
      <c r="R28" s="36"/>
      <c r="S28" s="38"/>
      <c r="T28" s="36"/>
      <c r="U28" s="38"/>
      <c r="V28" s="36"/>
      <c r="W28" s="38"/>
      <c r="X28" s="36"/>
      <c r="Y28" s="38"/>
      <c r="Z28" s="36"/>
      <c r="AA28" s="38"/>
      <c r="AB28" s="36"/>
      <c r="AC28" s="38"/>
      <c r="AD28" s="36"/>
      <c r="AE28" s="38"/>
      <c r="AF28" s="16"/>
    </row>
    <row r="29" spans="1:32" s="8" customFormat="1" ht="15">
      <c r="C29" s="7" t="s">
        <v>237</v>
      </c>
      <c r="G29" s="35">
        <f>SUM(G27:G28)</f>
        <v>0</v>
      </c>
      <c r="H29" s="36"/>
      <c r="I29" s="35">
        <f>SUM(I27:I28)</f>
        <v>0</v>
      </c>
      <c r="J29" s="36"/>
      <c r="K29" s="35">
        <f>SUM(K27:K28)</f>
        <v>0</v>
      </c>
      <c r="L29" s="36"/>
      <c r="M29" s="35">
        <f>SUM(M27:M28)</f>
        <v>0</v>
      </c>
      <c r="N29" s="36"/>
      <c r="O29" s="35">
        <f>SUM(O27:O28)</f>
        <v>0</v>
      </c>
      <c r="P29" s="36"/>
      <c r="Q29" s="35">
        <f>SUM(Q27:Q28)</f>
        <v>0</v>
      </c>
      <c r="R29" s="36"/>
      <c r="S29" s="35">
        <f>SUM(S27:S28)</f>
        <v>0</v>
      </c>
      <c r="T29" s="36"/>
      <c r="U29" s="35">
        <f>SUM(U27:U28)</f>
        <v>0</v>
      </c>
      <c r="V29" s="36"/>
      <c r="W29" s="35">
        <f>SUM(W27:W28)</f>
        <v>0</v>
      </c>
      <c r="X29" s="36"/>
      <c r="Y29" s="35">
        <f>SUM(Y27:Y28)</f>
        <v>0</v>
      </c>
      <c r="Z29" s="36"/>
      <c r="AA29" s="35">
        <f>SUM(AA27:AA28)</f>
        <v>0</v>
      </c>
      <c r="AB29" s="36"/>
      <c r="AC29" s="35">
        <f>SUM(AC27:AC28)</f>
        <v>0</v>
      </c>
      <c r="AD29" s="36"/>
      <c r="AE29" s="35">
        <f>SUM(AE27:AE28)</f>
        <v>0</v>
      </c>
      <c r="AF29" s="16"/>
    </row>
    <row r="30" spans="1:32" s="8" customFormat="1" ht="15" outlineLevel="1">
      <c r="G30" s="37"/>
      <c r="H30" s="36"/>
      <c r="I30" s="37"/>
      <c r="J30" s="36"/>
      <c r="K30" s="37"/>
      <c r="L30" s="36"/>
      <c r="M30" s="37"/>
      <c r="N30" s="36"/>
      <c r="O30" s="37"/>
      <c r="P30" s="36"/>
      <c r="Q30" s="37"/>
      <c r="R30" s="36"/>
      <c r="S30" s="37"/>
      <c r="T30" s="36"/>
      <c r="U30" s="37"/>
      <c r="V30" s="36"/>
      <c r="W30" s="37"/>
      <c r="X30" s="36"/>
      <c r="Y30" s="37"/>
      <c r="Z30" s="36"/>
      <c r="AA30" s="37"/>
      <c r="AB30" s="36"/>
      <c r="AC30" s="37"/>
      <c r="AD30" s="36"/>
      <c r="AE30" s="37"/>
      <c r="AF30" s="16"/>
    </row>
    <row r="31" spans="1:32" s="8" customFormat="1" ht="15" outlineLevel="1">
      <c r="G31" s="37"/>
      <c r="H31" s="36"/>
      <c r="I31" s="37"/>
      <c r="J31" s="36"/>
      <c r="K31" s="37"/>
      <c r="L31" s="36"/>
      <c r="M31" s="37"/>
      <c r="N31" s="36"/>
      <c r="O31" s="37"/>
      <c r="P31" s="36"/>
      <c r="Q31" s="37"/>
      <c r="R31" s="36"/>
      <c r="S31" s="37"/>
      <c r="T31" s="36"/>
      <c r="U31" s="37"/>
      <c r="V31" s="36"/>
      <c r="W31" s="37"/>
      <c r="X31" s="36"/>
      <c r="Y31" s="37"/>
      <c r="Z31" s="36"/>
      <c r="AA31" s="37"/>
      <c r="AB31" s="36"/>
      <c r="AC31" s="37"/>
      <c r="AD31" s="36"/>
      <c r="AE31" s="37"/>
      <c r="AF31" s="16"/>
    </row>
    <row r="32" spans="1:32" outlineLevel="1">
      <c r="A32" s="6">
        <v>35512</v>
      </c>
      <c r="B32" s="6" t="s">
        <v>238</v>
      </c>
      <c r="C32" s="7"/>
      <c r="D32" s="3"/>
      <c r="E32" s="8"/>
      <c r="F32" s="9"/>
      <c r="G32" s="10">
        <v>0</v>
      </c>
      <c r="H32" s="9"/>
      <c r="I32" s="10">
        <v>194.65</v>
      </c>
      <c r="J32" s="9"/>
      <c r="K32" s="10">
        <v>620.73</v>
      </c>
      <c r="L32" s="9"/>
      <c r="M32" s="10">
        <v>0</v>
      </c>
      <c r="N32" s="9"/>
      <c r="O32" s="10">
        <v>0</v>
      </c>
      <c r="P32" s="9"/>
      <c r="Q32" s="10">
        <v>0</v>
      </c>
      <c r="R32" s="9"/>
      <c r="S32" s="10">
        <v>0</v>
      </c>
      <c r="T32" s="9"/>
      <c r="U32" s="10">
        <v>0</v>
      </c>
      <c r="V32" s="9"/>
      <c r="W32" s="10">
        <v>830.25</v>
      </c>
      <c r="X32" s="9"/>
      <c r="Y32" s="10">
        <v>1445.85</v>
      </c>
      <c r="Z32" s="9"/>
      <c r="AA32" s="10">
        <v>386.65</v>
      </c>
      <c r="AB32" s="9"/>
      <c r="AC32" s="10">
        <v>493.58</v>
      </c>
      <c r="AD32" s="9"/>
      <c r="AE32" s="10">
        <f t="shared" ref="AE32:AE35" si="1">AC32+AA32+Y32+W32+U32+S32+Q32+O32+M32+K32+I32+G32</f>
        <v>3971.71</v>
      </c>
      <c r="AF32" s="11"/>
    </row>
    <row r="33" spans="1:32" outlineLevel="1">
      <c r="A33" s="6">
        <v>35513</v>
      </c>
      <c r="B33" s="6" t="s">
        <v>239</v>
      </c>
      <c r="C33" s="7"/>
      <c r="D33" s="3"/>
      <c r="E33" s="8"/>
      <c r="F33" s="9"/>
      <c r="G33" s="10">
        <v>0</v>
      </c>
      <c r="H33" s="9"/>
      <c r="I33" s="10">
        <v>0</v>
      </c>
      <c r="J33" s="9"/>
      <c r="K33" s="10">
        <v>0</v>
      </c>
      <c r="L33" s="9"/>
      <c r="M33" s="10">
        <v>0</v>
      </c>
      <c r="N33" s="9"/>
      <c r="O33" s="10">
        <v>0</v>
      </c>
      <c r="P33" s="9"/>
      <c r="Q33" s="10">
        <v>0</v>
      </c>
      <c r="R33" s="9"/>
      <c r="S33" s="10">
        <v>0</v>
      </c>
      <c r="T33" s="9"/>
      <c r="U33" s="10">
        <v>686.4</v>
      </c>
      <c r="V33" s="9"/>
      <c r="W33" s="10">
        <v>0</v>
      </c>
      <c r="X33" s="9"/>
      <c r="Y33" s="10">
        <v>0</v>
      </c>
      <c r="Z33" s="9"/>
      <c r="AA33" s="10">
        <v>0</v>
      </c>
      <c r="AB33" s="9"/>
      <c r="AC33" s="10">
        <v>0</v>
      </c>
      <c r="AD33" s="9"/>
      <c r="AE33" s="10">
        <f t="shared" si="1"/>
        <v>686.4</v>
      </c>
      <c r="AF33" s="11"/>
    </row>
    <row r="34" spans="1:32" outlineLevel="1">
      <c r="A34" s="6">
        <v>35514</v>
      </c>
      <c r="B34" s="6" t="s">
        <v>240</v>
      </c>
      <c r="C34" s="7"/>
      <c r="D34" s="3"/>
      <c r="E34" s="8"/>
      <c r="F34" s="9"/>
      <c r="G34" s="10">
        <v>840.86</v>
      </c>
      <c r="H34" s="9"/>
      <c r="I34" s="10">
        <v>840.43</v>
      </c>
      <c r="J34" s="9"/>
      <c r="K34" s="10">
        <v>923.76</v>
      </c>
      <c r="L34" s="9"/>
      <c r="M34" s="10">
        <v>3220.66</v>
      </c>
      <c r="N34" s="9"/>
      <c r="O34" s="10">
        <v>1231.94</v>
      </c>
      <c r="P34" s="9"/>
      <c r="Q34" s="10">
        <v>2504.9</v>
      </c>
      <c r="R34" s="9"/>
      <c r="S34" s="10">
        <v>2010.75</v>
      </c>
      <c r="T34" s="9"/>
      <c r="U34" s="10">
        <v>2861.7</v>
      </c>
      <c r="V34" s="9"/>
      <c r="W34" s="10">
        <v>1657.5</v>
      </c>
      <c r="X34" s="9"/>
      <c r="Y34" s="10">
        <v>3067.55</v>
      </c>
      <c r="Z34" s="9"/>
      <c r="AA34" s="10">
        <v>411.05</v>
      </c>
      <c r="AB34" s="9"/>
      <c r="AC34" s="10">
        <v>504.1</v>
      </c>
      <c r="AD34" s="9"/>
      <c r="AE34" s="10">
        <f t="shared" si="1"/>
        <v>20075.2</v>
      </c>
      <c r="AF34" s="11"/>
    </row>
    <row r="35" spans="1:32" outlineLevel="1">
      <c r="A35" s="6">
        <v>35519</v>
      </c>
      <c r="B35" s="6" t="s">
        <v>241</v>
      </c>
      <c r="C35" s="7"/>
      <c r="D35" s="3"/>
      <c r="E35" s="8"/>
      <c r="F35" s="9"/>
      <c r="G35" s="10">
        <v>90042.98</v>
      </c>
      <c r="H35" s="9"/>
      <c r="I35" s="10">
        <v>101975.64</v>
      </c>
      <c r="J35" s="9"/>
      <c r="K35" s="10">
        <v>102418.12</v>
      </c>
      <c r="L35" s="9"/>
      <c r="M35" s="10">
        <v>115488.65</v>
      </c>
      <c r="N35" s="9"/>
      <c r="O35" s="10">
        <v>122000.93</v>
      </c>
      <c r="P35" s="9"/>
      <c r="Q35" s="10">
        <v>166305.29</v>
      </c>
      <c r="R35" s="9"/>
      <c r="S35" s="10">
        <v>80591.320000000007</v>
      </c>
      <c r="T35" s="9"/>
      <c r="U35" s="10">
        <v>99766.65</v>
      </c>
      <c r="V35" s="9"/>
      <c r="W35" s="10">
        <v>112323.48</v>
      </c>
      <c r="X35" s="9"/>
      <c r="Y35" s="10">
        <v>112179.15</v>
      </c>
      <c r="Z35" s="9"/>
      <c r="AA35" s="10">
        <v>101042.71</v>
      </c>
      <c r="AB35" s="9"/>
      <c r="AC35" s="10">
        <v>60702.68</v>
      </c>
      <c r="AD35" s="9"/>
      <c r="AE35" s="10">
        <f t="shared" si="1"/>
        <v>1264837.5999999999</v>
      </c>
      <c r="AF35" s="11"/>
    </row>
    <row r="36" spans="1:32" s="8" customFormat="1" ht="5.0999999999999996" customHeight="1" outlineLevel="1">
      <c r="A36" s="7"/>
      <c r="B36" s="7"/>
      <c r="C36" s="7"/>
      <c r="D36" s="7"/>
      <c r="G36" s="38"/>
      <c r="H36" s="36"/>
      <c r="I36" s="38"/>
      <c r="J36" s="36"/>
      <c r="K36" s="38"/>
      <c r="L36" s="36"/>
      <c r="M36" s="38"/>
      <c r="N36" s="36"/>
      <c r="O36" s="38"/>
      <c r="P36" s="36"/>
      <c r="Q36" s="38"/>
      <c r="R36" s="36"/>
      <c r="S36" s="38"/>
      <c r="T36" s="36"/>
      <c r="U36" s="38"/>
      <c r="V36" s="36"/>
      <c r="W36" s="38"/>
      <c r="X36" s="36"/>
      <c r="Y36" s="38"/>
      <c r="Z36" s="36"/>
      <c r="AA36" s="38"/>
      <c r="AB36" s="36"/>
      <c r="AC36" s="38"/>
      <c r="AD36" s="36"/>
      <c r="AE36" s="38"/>
      <c r="AF36" s="16"/>
    </row>
    <row r="37" spans="1:32" s="8" customFormat="1" ht="15">
      <c r="C37" s="7" t="s">
        <v>242</v>
      </c>
      <c r="G37" s="35">
        <f>SUM(G31:G36)</f>
        <v>90883.839999999997</v>
      </c>
      <c r="H37" s="36"/>
      <c r="I37" s="35">
        <f>SUM(I31:I36)</f>
        <v>103010.72</v>
      </c>
      <c r="J37" s="36"/>
      <c r="K37" s="35">
        <f>SUM(K31:K36)</f>
        <v>103962.61</v>
      </c>
      <c r="L37" s="36"/>
      <c r="M37" s="35">
        <f>SUM(M31:M36)</f>
        <v>118709.31</v>
      </c>
      <c r="N37" s="36"/>
      <c r="O37" s="35">
        <f>SUM(O31:O36)</f>
        <v>123232.87</v>
      </c>
      <c r="P37" s="36"/>
      <c r="Q37" s="35">
        <f>SUM(Q31:Q36)</f>
        <v>168810.19</v>
      </c>
      <c r="R37" s="36"/>
      <c r="S37" s="35">
        <f>SUM(S31:S36)</f>
        <v>82602.070000000007</v>
      </c>
      <c r="T37" s="36"/>
      <c r="U37" s="35">
        <f>SUM(U31:U36)</f>
        <v>103314.75</v>
      </c>
      <c r="V37" s="36"/>
      <c r="W37" s="35">
        <f>SUM(W31:W36)</f>
        <v>114811.23</v>
      </c>
      <c r="X37" s="36"/>
      <c r="Y37" s="35">
        <f>SUM(Y31:Y36)</f>
        <v>116692.54999999999</v>
      </c>
      <c r="Z37" s="36"/>
      <c r="AA37" s="35">
        <f>SUM(AA31:AA36)</f>
        <v>101840.41</v>
      </c>
      <c r="AB37" s="36"/>
      <c r="AC37" s="35">
        <f>SUM(AC31:AC36)</f>
        <v>61700.36</v>
      </c>
      <c r="AD37" s="36"/>
      <c r="AE37" s="35">
        <f>SUM(AE31:AE36)</f>
        <v>1289570.9099999999</v>
      </c>
      <c r="AF37" s="16"/>
    </row>
    <row r="38" spans="1:32" s="8" customFormat="1" ht="15" outlineLevel="1">
      <c r="A38" s="7"/>
      <c r="B38" s="7"/>
      <c r="C38" s="7"/>
      <c r="D38" s="7"/>
      <c r="G38" s="37"/>
      <c r="H38" s="36"/>
      <c r="I38" s="37"/>
      <c r="J38" s="36"/>
      <c r="K38" s="37"/>
      <c r="L38" s="36"/>
      <c r="M38" s="37"/>
      <c r="N38" s="36"/>
      <c r="O38" s="37"/>
      <c r="P38" s="36"/>
      <c r="Q38" s="37"/>
      <c r="R38" s="36"/>
      <c r="S38" s="37"/>
      <c r="T38" s="36"/>
      <c r="U38" s="37"/>
      <c r="V38" s="36"/>
      <c r="W38" s="37"/>
      <c r="X38" s="36"/>
      <c r="Y38" s="37"/>
      <c r="Z38" s="36"/>
      <c r="AA38" s="37"/>
      <c r="AB38" s="36"/>
      <c r="AC38" s="37"/>
      <c r="AD38" s="36"/>
      <c r="AE38" s="37"/>
      <c r="AF38" s="16"/>
    </row>
    <row r="39" spans="1:32" s="8" customFormat="1" ht="15" outlineLevel="1">
      <c r="G39" s="37"/>
      <c r="H39" s="36"/>
      <c r="I39" s="37"/>
      <c r="J39" s="36"/>
      <c r="K39" s="37"/>
      <c r="L39" s="36"/>
      <c r="M39" s="37"/>
      <c r="N39" s="36"/>
      <c r="O39" s="37"/>
      <c r="P39" s="36"/>
      <c r="Q39" s="37"/>
      <c r="R39" s="36"/>
      <c r="S39" s="37"/>
      <c r="T39" s="36"/>
      <c r="U39" s="37"/>
      <c r="V39" s="36"/>
      <c r="W39" s="37"/>
      <c r="X39" s="36"/>
      <c r="Y39" s="37"/>
      <c r="Z39" s="36"/>
      <c r="AA39" s="37"/>
      <c r="AB39" s="36"/>
      <c r="AC39" s="37"/>
      <c r="AD39" s="36"/>
      <c r="AE39" s="37"/>
      <c r="AF39" s="16"/>
    </row>
    <row r="40" spans="1:32" outlineLevel="1">
      <c r="A40" s="6"/>
      <c r="B40" s="6"/>
      <c r="C40" s="7"/>
      <c r="D40" s="3"/>
      <c r="E40" s="8"/>
      <c r="F40" s="9"/>
      <c r="G40" s="10"/>
      <c r="H40" s="9"/>
      <c r="I40" s="10"/>
      <c r="J40" s="9"/>
      <c r="K40" s="10"/>
      <c r="L40" s="9"/>
      <c r="M40" s="10"/>
      <c r="N40" s="9"/>
      <c r="O40" s="10"/>
      <c r="P40" s="9"/>
      <c r="Q40" s="10"/>
      <c r="R40" s="9"/>
      <c r="S40" s="10"/>
      <c r="T40" s="9"/>
      <c r="U40" s="10"/>
      <c r="V40" s="9"/>
      <c r="W40" s="10"/>
      <c r="X40" s="9"/>
      <c r="Y40" s="10"/>
      <c r="Z40" s="9"/>
      <c r="AA40" s="10"/>
      <c r="AB40" s="9"/>
      <c r="AC40" s="10"/>
      <c r="AD40" s="9"/>
      <c r="AE40" s="10">
        <f>AC40+AA40+Y40+W40+U40+S40+Q40+O40+M40+K40+I40+G40</f>
        <v>0</v>
      </c>
      <c r="AF40" s="11"/>
    </row>
    <row r="41" spans="1:32" s="8" customFormat="1" ht="3.75" customHeight="1" outlineLevel="1">
      <c r="A41" s="7"/>
      <c r="B41" s="7"/>
      <c r="C41" s="7"/>
      <c r="D41" s="7"/>
      <c r="G41" s="38"/>
      <c r="H41" s="36"/>
      <c r="I41" s="38"/>
      <c r="J41" s="36"/>
      <c r="K41" s="38"/>
      <c r="L41" s="36"/>
      <c r="M41" s="38"/>
      <c r="N41" s="36"/>
      <c r="O41" s="38"/>
      <c r="P41" s="36"/>
      <c r="Q41" s="38"/>
      <c r="R41" s="36"/>
      <c r="S41" s="38"/>
      <c r="T41" s="36"/>
      <c r="U41" s="38"/>
      <c r="V41" s="36"/>
      <c r="W41" s="38"/>
      <c r="X41" s="36"/>
      <c r="Y41" s="38"/>
      <c r="Z41" s="36"/>
      <c r="AA41" s="38"/>
      <c r="AB41" s="36"/>
      <c r="AC41" s="38"/>
      <c r="AD41" s="36"/>
      <c r="AE41" s="38"/>
      <c r="AF41" s="16"/>
    </row>
    <row r="42" spans="1:32" s="8" customFormat="1" ht="15">
      <c r="C42" s="7" t="s">
        <v>243</v>
      </c>
      <c r="G42" s="35">
        <f>SUM(G39:G41)</f>
        <v>0</v>
      </c>
      <c r="H42" s="36"/>
      <c r="I42" s="35">
        <f>SUM(I39:I41)</f>
        <v>0</v>
      </c>
      <c r="J42" s="36"/>
      <c r="K42" s="35">
        <f>SUM(K39:K41)</f>
        <v>0</v>
      </c>
      <c r="L42" s="36"/>
      <c r="M42" s="35">
        <f>SUM(M39:M41)</f>
        <v>0</v>
      </c>
      <c r="N42" s="36"/>
      <c r="O42" s="35">
        <f>SUM(O39:O41)</f>
        <v>0</v>
      </c>
      <c r="P42" s="36"/>
      <c r="Q42" s="35">
        <f>SUM(Q39:Q41)</f>
        <v>0</v>
      </c>
      <c r="R42" s="36"/>
      <c r="S42" s="35">
        <f>SUM(S39:S41)</f>
        <v>0</v>
      </c>
      <c r="T42" s="36"/>
      <c r="U42" s="35">
        <f>SUM(U39:U41)</f>
        <v>0</v>
      </c>
      <c r="V42" s="36"/>
      <c r="W42" s="35">
        <f>SUM(W39:W41)</f>
        <v>0</v>
      </c>
      <c r="X42" s="36"/>
      <c r="Y42" s="35">
        <f>SUM(Y39:Y41)</f>
        <v>0</v>
      </c>
      <c r="Z42" s="36"/>
      <c r="AA42" s="35">
        <f>SUM(AA39:AA41)</f>
        <v>0</v>
      </c>
      <c r="AB42" s="36"/>
      <c r="AC42" s="35">
        <f>SUM(AC39:AC41)</f>
        <v>0</v>
      </c>
      <c r="AD42" s="36"/>
      <c r="AE42" s="35">
        <f>SUM(AE39:AE41)</f>
        <v>0</v>
      </c>
      <c r="AF42" s="16"/>
    </row>
    <row r="43" spans="1:32" s="8" customFormat="1" ht="15" outlineLevel="1">
      <c r="G43" s="37"/>
      <c r="H43" s="36"/>
      <c r="I43" s="37"/>
      <c r="J43" s="36"/>
      <c r="K43" s="37"/>
      <c r="L43" s="36"/>
      <c r="M43" s="37"/>
      <c r="N43" s="36"/>
      <c r="O43" s="37"/>
      <c r="P43" s="36"/>
      <c r="Q43" s="37"/>
      <c r="R43" s="36"/>
      <c r="S43" s="37"/>
      <c r="T43" s="36"/>
      <c r="U43" s="37"/>
      <c r="V43" s="36"/>
      <c r="W43" s="37"/>
      <c r="X43" s="36"/>
      <c r="Y43" s="37"/>
      <c r="Z43" s="36"/>
      <c r="AA43" s="37"/>
      <c r="AB43" s="36"/>
      <c r="AC43" s="37"/>
      <c r="AD43" s="36"/>
      <c r="AE43" s="37"/>
      <c r="AF43" s="16"/>
    </row>
    <row r="44" spans="1:32" outlineLevel="1">
      <c r="A44" s="6"/>
      <c r="B44" s="6"/>
      <c r="C44" s="7"/>
      <c r="D44" s="3"/>
      <c r="E44" s="8"/>
      <c r="F44" s="9"/>
      <c r="G44" s="10"/>
      <c r="H44" s="9"/>
      <c r="I44" s="10"/>
      <c r="J44" s="9"/>
      <c r="K44" s="10"/>
      <c r="L44" s="9"/>
      <c r="M44" s="10"/>
      <c r="N44" s="9"/>
      <c r="O44" s="10"/>
      <c r="P44" s="9"/>
      <c r="Q44" s="10"/>
      <c r="R44" s="9"/>
      <c r="S44" s="10"/>
      <c r="T44" s="9"/>
      <c r="U44" s="10"/>
      <c r="V44" s="9"/>
      <c r="W44" s="10"/>
      <c r="X44" s="9"/>
      <c r="Y44" s="10"/>
      <c r="Z44" s="9"/>
      <c r="AA44" s="10"/>
      <c r="AB44" s="9"/>
      <c r="AC44" s="10"/>
      <c r="AD44" s="9"/>
      <c r="AE44" s="10">
        <f>AC44+AA44+Y44+W44+U44+S44+Q44+O44+M44+K44+I44+G44</f>
        <v>0</v>
      </c>
      <c r="AF44" s="11"/>
    </row>
    <row r="45" spans="1:32" s="8" customFormat="1" ht="3.75" customHeight="1" outlineLevel="1">
      <c r="A45" s="7"/>
      <c r="B45" s="7"/>
      <c r="C45" s="7"/>
      <c r="D45" s="7"/>
      <c r="G45" s="38"/>
      <c r="H45" s="36"/>
      <c r="I45" s="38"/>
      <c r="J45" s="36"/>
      <c r="K45" s="38"/>
      <c r="L45" s="36"/>
      <c r="M45" s="38"/>
      <c r="N45" s="36"/>
      <c r="O45" s="38"/>
      <c r="P45" s="36"/>
      <c r="Q45" s="38"/>
      <c r="R45" s="36"/>
      <c r="S45" s="38"/>
      <c r="T45" s="36"/>
      <c r="U45" s="38"/>
      <c r="V45" s="36"/>
      <c r="W45" s="38"/>
      <c r="X45" s="36"/>
      <c r="Y45" s="38"/>
      <c r="Z45" s="36"/>
      <c r="AA45" s="38"/>
      <c r="AB45" s="36"/>
      <c r="AC45" s="38"/>
      <c r="AD45" s="36"/>
      <c r="AE45" s="38"/>
      <c r="AF45" s="16"/>
    </row>
    <row r="46" spans="1:32" s="8" customFormat="1" ht="15">
      <c r="C46" s="7" t="s">
        <v>244</v>
      </c>
      <c r="G46" s="35">
        <f>SUM(G44:G45)</f>
        <v>0</v>
      </c>
      <c r="H46" s="36"/>
      <c r="I46" s="35">
        <f>SUM(I44:I45)</f>
        <v>0</v>
      </c>
      <c r="J46" s="36"/>
      <c r="K46" s="35">
        <f>SUM(K44:K45)</f>
        <v>0</v>
      </c>
      <c r="L46" s="36"/>
      <c r="M46" s="35">
        <f>SUM(M44:M45)</f>
        <v>0</v>
      </c>
      <c r="N46" s="36"/>
      <c r="O46" s="35">
        <f>SUM(O44:O45)</f>
        <v>0</v>
      </c>
      <c r="P46" s="36"/>
      <c r="Q46" s="35">
        <f>SUM(Q44:Q45)</f>
        <v>0</v>
      </c>
      <c r="R46" s="36"/>
      <c r="S46" s="35">
        <f>SUM(S44:S45)</f>
        <v>0</v>
      </c>
      <c r="T46" s="36"/>
      <c r="U46" s="35">
        <f>SUM(U44:U45)</f>
        <v>0</v>
      </c>
      <c r="V46" s="36"/>
      <c r="W46" s="35">
        <f>SUM(W44:W45)</f>
        <v>0</v>
      </c>
      <c r="X46" s="36"/>
      <c r="Y46" s="35">
        <f>SUM(Y44:Y45)</f>
        <v>0</v>
      </c>
      <c r="Z46" s="36"/>
      <c r="AA46" s="35">
        <f>SUM(AA44:AA45)</f>
        <v>0</v>
      </c>
      <c r="AB46" s="36"/>
      <c r="AC46" s="35">
        <f>SUM(AC44:AC45)</f>
        <v>0</v>
      </c>
      <c r="AD46" s="36"/>
      <c r="AE46" s="35">
        <f>SUM(AE44:AE45)</f>
        <v>0</v>
      </c>
      <c r="AF46" s="16"/>
    </row>
    <row r="47" spans="1:32" s="8" customFormat="1" ht="15" outlineLevel="1">
      <c r="G47" s="37"/>
      <c r="H47" s="36"/>
      <c r="I47" s="37"/>
      <c r="J47" s="36"/>
      <c r="K47" s="37"/>
      <c r="L47" s="36"/>
      <c r="M47" s="37"/>
      <c r="N47" s="36"/>
      <c r="O47" s="37"/>
      <c r="P47" s="36"/>
      <c r="Q47" s="37"/>
      <c r="R47" s="36"/>
      <c r="S47" s="37"/>
      <c r="T47" s="36"/>
      <c r="U47" s="37"/>
      <c r="V47" s="36"/>
      <c r="W47" s="37"/>
      <c r="X47" s="36"/>
      <c r="Y47" s="37"/>
      <c r="Z47" s="36"/>
      <c r="AA47" s="37"/>
      <c r="AB47" s="36"/>
      <c r="AC47" s="37"/>
      <c r="AD47" s="36"/>
      <c r="AE47" s="37"/>
      <c r="AF47" s="16"/>
    </row>
    <row r="48" spans="1:32" s="8" customFormat="1" ht="15" outlineLevel="1">
      <c r="G48" s="37"/>
      <c r="H48" s="36"/>
      <c r="I48" s="37"/>
      <c r="J48" s="36"/>
      <c r="K48" s="37"/>
      <c r="L48" s="36"/>
      <c r="M48" s="37"/>
      <c r="N48" s="36"/>
      <c r="O48" s="37"/>
      <c r="P48" s="36"/>
      <c r="Q48" s="37"/>
      <c r="R48" s="36"/>
      <c r="S48" s="37"/>
      <c r="T48" s="36"/>
      <c r="U48" s="37"/>
      <c r="V48" s="36"/>
      <c r="W48" s="37"/>
      <c r="X48" s="36"/>
      <c r="Y48" s="37"/>
      <c r="Z48" s="36"/>
      <c r="AA48" s="37"/>
      <c r="AB48" s="36"/>
      <c r="AC48" s="37"/>
      <c r="AD48" s="36"/>
      <c r="AE48" s="37"/>
      <c r="AF48" s="16"/>
    </row>
    <row r="49" spans="1:32" outlineLevel="1">
      <c r="A49" s="6">
        <v>38000</v>
      </c>
      <c r="B49" s="6" t="s">
        <v>245</v>
      </c>
      <c r="C49" s="7"/>
      <c r="D49" s="3"/>
      <c r="E49" s="8"/>
      <c r="F49" s="9"/>
      <c r="G49" s="10">
        <v>6039.69</v>
      </c>
      <c r="H49" s="9"/>
      <c r="I49" s="10">
        <v>7158.54</v>
      </c>
      <c r="J49" s="9"/>
      <c r="K49" s="10">
        <v>5319.8</v>
      </c>
      <c r="L49" s="9"/>
      <c r="M49" s="10">
        <v>8073.5</v>
      </c>
      <c r="N49" s="9"/>
      <c r="O49" s="10">
        <v>7519.3</v>
      </c>
      <c r="P49" s="9"/>
      <c r="Q49" s="10">
        <v>7905.76</v>
      </c>
      <c r="R49" s="9"/>
      <c r="S49" s="10">
        <v>5629.13</v>
      </c>
      <c r="T49" s="9"/>
      <c r="U49" s="10">
        <v>7363.57</v>
      </c>
      <c r="V49" s="9"/>
      <c r="W49" s="10">
        <v>6766.32</v>
      </c>
      <c r="X49" s="9"/>
      <c r="Y49" s="10">
        <v>6188.55</v>
      </c>
      <c r="Z49" s="9"/>
      <c r="AA49" s="10">
        <v>7133.87</v>
      </c>
      <c r="AB49" s="9"/>
      <c r="AC49" s="10">
        <v>6453.6</v>
      </c>
      <c r="AD49" s="9"/>
      <c r="AE49" s="10">
        <f t="shared" ref="AE49:AE50" si="2">AC49+AA49+Y49+W49+U49+S49+Q49+O49+M49+K49+I49+G49</f>
        <v>81551.63</v>
      </c>
      <c r="AF49" s="11"/>
    </row>
    <row r="50" spans="1:32" outlineLevel="1">
      <c r="A50" s="6">
        <v>38001</v>
      </c>
      <c r="B50" s="6" t="s">
        <v>246</v>
      </c>
      <c r="C50" s="7"/>
      <c r="D50" s="3"/>
      <c r="E50" s="8"/>
      <c r="F50" s="9"/>
      <c r="G50" s="10">
        <v>5703.8</v>
      </c>
      <c r="H50" s="9"/>
      <c r="I50" s="10">
        <v>3879.97</v>
      </c>
      <c r="J50" s="9"/>
      <c r="K50" s="10">
        <v>4190.93</v>
      </c>
      <c r="L50" s="9"/>
      <c r="M50" s="10">
        <v>4569.71</v>
      </c>
      <c r="N50" s="9"/>
      <c r="O50" s="10">
        <v>5482.73</v>
      </c>
      <c r="P50" s="9"/>
      <c r="Q50" s="10">
        <v>2554.96</v>
      </c>
      <c r="R50" s="9"/>
      <c r="S50" s="10">
        <v>8265.82</v>
      </c>
      <c r="T50" s="9"/>
      <c r="U50" s="10">
        <v>5957.73</v>
      </c>
      <c r="V50" s="9"/>
      <c r="W50" s="10">
        <v>6924.55</v>
      </c>
      <c r="X50" s="9"/>
      <c r="Y50" s="10">
        <v>5083.24</v>
      </c>
      <c r="Z50" s="9"/>
      <c r="AA50" s="10">
        <v>6037.06</v>
      </c>
      <c r="AB50" s="9"/>
      <c r="AC50" s="10">
        <v>9870.26</v>
      </c>
      <c r="AD50" s="9"/>
      <c r="AE50" s="10">
        <f t="shared" si="2"/>
        <v>68520.759999999995</v>
      </c>
      <c r="AF50" s="11"/>
    </row>
    <row r="51" spans="1:32" s="8" customFormat="1" ht="4.5" customHeight="1" outlineLevel="1">
      <c r="A51" s="39"/>
      <c r="G51" s="38"/>
      <c r="H51" s="36"/>
      <c r="I51" s="38"/>
      <c r="J51" s="36"/>
      <c r="K51" s="38"/>
      <c r="L51" s="36"/>
      <c r="M51" s="38"/>
      <c r="N51" s="36"/>
      <c r="O51" s="38"/>
      <c r="P51" s="36"/>
      <c r="Q51" s="38"/>
      <c r="R51" s="36"/>
      <c r="S51" s="38"/>
      <c r="T51" s="36"/>
      <c r="U51" s="38"/>
      <c r="V51" s="36"/>
      <c r="W51" s="38"/>
      <c r="X51" s="36"/>
      <c r="Y51" s="38"/>
      <c r="Z51" s="36"/>
      <c r="AA51" s="38"/>
      <c r="AB51" s="36"/>
      <c r="AC51" s="38"/>
      <c r="AD51" s="36"/>
      <c r="AE51" s="38"/>
      <c r="AF51" s="16"/>
    </row>
    <row r="52" spans="1:32" s="8" customFormat="1" ht="15">
      <c r="C52" s="8" t="s">
        <v>245</v>
      </c>
      <c r="G52" s="35">
        <f>SUM(G48:G51)</f>
        <v>11743.49</v>
      </c>
      <c r="H52" s="36"/>
      <c r="I52" s="35">
        <f>SUM(I48:I51)</f>
        <v>11038.51</v>
      </c>
      <c r="J52" s="36"/>
      <c r="K52" s="35">
        <f>SUM(K48:K51)</f>
        <v>9510.73</v>
      </c>
      <c r="L52" s="36"/>
      <c r="M52" s="35">
        <f>SUM(M48:M51)</f>
        <v>12643.21</v>
      </c>
      <c r="N52" s="36"/>
      <c r="O52" s="35">
        <f>SUM(O48:O51)</f>
        <v>13002.029999999999</v>
      </c>
      <c r="P52" s="36"/>
      <c r="Q52" s="35">
        <f>SUM(Q48:Q51)</f>
        <v>10460.720000000001</v>
      </c>
      <c r="R52" s="36"/>
      <c r="S52" s="35">
        <f>SUM(S48:S51)</f>
        <v>13894.95</v>
      </c>
      <c r="T52" s="36"/>
      <c r="U52" s="35">
        <f>SUM(U48:U51)</f>
        <v>13321.3</v>
      </c>
      <c r="V52" s="36"/>
      <c r="W52" s="35">
        <f>SUM(W48:W51)</f>
        <v>13690.869999999999</v>
      </c>
      <c r="X52" s="36"/>
      <c r="Y52" s="35">
        <f>SUM(Y48:Y51)</f>
        <v>11271.79</v>
      </c>
      <c r="Z52" s="36"/>
      <c r="AA52" s="35">
        <f>SUM(AA48:AA51)</f>
        <v>13170.93</v>
      </c>
      <c r="AB52" s="36"/>
      <c r="AC52" s="35">
        <f>SUM(AC48:AC51)</f>
        <v>16323.86</v>
      </c>
      <c r="AD52" s="36"/>
      <c r="AE52" s="35">
        <f>SUM(AE48:AE51)</f>
        <v>150072.39000000001</v>
      </c>
      <c r="AF52" s="16"/>
    </row>
    <row r="53" spans="1:32" s="8" customFormat="1" ht="7.5" customHeight="1">
      <c r="G53" s="37"/>
      <c r="H53" s="36"/>
      <c r="I53" s="37"/>
      <c r="J53" s="36"/>
      <c r="K53" s="37"/>
      <c r="L53" s="36"/>
      <c r="M53" s="37"/>
      <c r="N53" s="36"/>
      <c r="O53" s="37"/>
      <c r="P53" s="36"/>
      <c r="Q53" s="37"/>
      <c r="R53" s="36"/>
      <c r="S53" s="37"/>
      <c r="T53" s="36"/>
      <c r="U53" s="37"/>
      <c r="V53" s="36"/>
      <c r="W53" s="37"/>
      <c r="X53" s="36"/>
      <c r="Y53" s="37"/>
      <c r="Z53" s="36"/>
      <c r="AA53" s="37"/>
      <c r="AB53" s="36"/>
      <c r="AC53" s="37"/>
      <c r="AD53" s="36"/>
      <c r="AE53" s="37"/>
      <c r="AF53" s="16"/>
    </row>
    <row r="54" spans="1:32" s="8" customFormat="1" ht="15">
      <c r="B54" s="40" t="s">
        <v>95</v>
      </c>
      <c r="G54" s="41">
        <f>+G29+G37+G42+G52+G25+G46</f>
        <v>5458712.4399999995</v>
      </c>
      <c r="H54" s="36"/>
      <c r="I54" s="41">
        <f>+I29+I37+I42+I52+I25+I46</f>
        <v>5476224.8899999997</v>
      </c>
      <c r="J54" s="36"/>
      <c r="K54" s="41">
        <f>+K29+K37+K42+K52+K25+K46</f>
        <v>5378778.1000000006</v>
      </c>
      <c r="L54" s="36"/>
      <c r="M54" s="41">
        <f>+M29+M37+M42+M52+M25+M46</f>
        <v>5285285.5600000005</v>
      </c>
      <c r="N54" s="36"/>
      <c r="O54" s="41">
        <f>+O29+O37+O42+O52+O25+O46</f>
        <v>5350352.41</v>
      </c>
      <c r="P54" s="36"/>
      <c r="Q54" s="41">
        <f>+Q29+Q37+Q42+Q52+Q25+Q46</f>
        <v>5780542.04</v>
      </c>
      <c r="R54" s="36"/>
      <c r="S54" s="41">
        <f>+S29+S37+S42+S52+S25+S46</f>
        <v>5579519.1100000003</v>
      </c>
      <c r="T54" s="36"/>
      <c r="U54" s="41">
        <f>+U29+U37+U42+U52+U25+U46</f>
        <v>5847564.29</v>
      </c>
      <c r="V54" s="36"/>
      <c r="W54" s="41">
        <f>+W29+W37+W42+W52+W25+W46</f>
        <v>5915582.9800000004</v>
      </c>
      <c r="X54" s="36"/>
      <c r="Y54" s="41">
        <f>+Y29+Y37+Y42+Y52+Y25+Y46</f>
        <v>5859860.4699999997</v>
      </c>
      <c r="Z54" s="36"/>
      <c r="AA54" s="41">
        <f>+AA29+AA37+AA42+AA52+AA25+AA46</f>
        <v>5895093.6100000003</v>
      </c>
      <c r="AB54" s="36"/>
      <c r="AC54" s="41">
        <f>+AC29+AC37+AC42+AC52+AC25+AC46</f>
        <v>5780600.9300000006</v>
      </c>
      <c r="AD54" s="36"/>
      <c r="AE54" s="41">
        <f>+AE29+AE37+AE42+AE52+AE25+AE46</f>
        <v>67608116.830000013</v>
      </c>
      <c r="AF54" s="16"/>
    </row>
    <row r="55" spans="1:32" s="8" customFormat="1" ht="7.5" customHeight="1">
      <c r="G55" s="37"/>
      <c r="H55" s="36"/>
      <c r="I55" s="37"/>
      <c r="J55" s="36"/>
      <c r="K55" s="37"/>
      <c r="L55" s="36"/>
      <c r="M55" s="37"/>
      <c r="N55" s="36"/>
      <c r="O55" s="37"/>
      <c r="P55" s="36"/>
      <c r="Q55" s="37"/>
      <c r="R55" s="36"/>
      <c r="S55" s="37"/>
      <c r="T55" s="36"/>
      <c r="U55" s="37"/>
      <c r="V55" s="36"/>
      <c r="W55" s="37"/>
      <c r="X55" s="36"/>
      <c r="Y55" s="37"/>
      <c r="Z55" s="36"/>
      <c r="AA55" s="37"/>
      <c r="AB55" s="36"/>
      <c r="AC55" s="37"/>
      <c r="AD55" s="36"/>
      <c r="AE55" s="37"/>
      <c r="AF55" s="16"/>
    </row>
    <row r="56" spans="1:32" s="8" customFormat="1" ht="15" outlineLevel="1">
      <c r="G56" s="37"/>
      <c r="H56" s="36"/>
      <c r="I56" s="37"/>
      <c r="J56" s="36"/>
      <c r="K56" s="37"/>
      <c r="L56" s="36"/>
      <c r="M56" s="37"/>
      <c r="N56" s="36"/>
      <c r="O56" s="37"/>
      <c r="P56" s="36"/>
      <c r="Q56" s="37"/>
      <c r="R56" s="36"/>
      <c r="S56" s="37"/>
      <c r="T56" s="36"/>
      <c r="U56" s="37"/>
      <c r="V56" s="36"/>
      <c r="W56" s="37"/>
      <c r="X56" s="36"/>
      <c r="Y56" s="37"/>
      <c r="Z56" s="36"/>
      <c r="AA56" s="37"/>
      <c r="AB56" s="36"/>
      <c r="AC56" s="37"/>
      <c r="AD56" s="36"/>
      <c r="AE56" s="37"/>
      <c r="AF56" s="16"/>
    </row>
    <row r="57" spans="1:32" outlineLevel="1">
      <c r="A57" s="6">
        <v>40101</v>
      </c>
      <c r="B57" s="6" t="s">
        <v>89</v>
      </c>
      <c r="C57" s="7"/>
      <c r="D57" s="3"/>
      <c r="E57" s="8"/>
      <c r="F57" s="9"/>
      <c r="G57" s="10">
        <v>64280.49</v>
      </c>
      <c r="H57" s="9"/>
      <c r="I57" s="10">
        <v>68883.12</v>
      </c>
      <c r="J57" s="9"/>
      <c r="K57" s="10">
        <v>28336.44</v>
      </c>
      <c r="L57" s="9"/>
      <c r="M57" s="10">
        <v>22228.65</v>
      </c>
      <c r="N57" s="9"/>
      <c r="O57" s="10">
        <v>34177.449999999997</v>
      </c>
      <c r="P57" s="9"/>
      <c r="Q57" s="10">
        <v>49354.59</v>
      </c>
      <c r="R57" s="9"/>
      <c r="S57" s="10">
        <v>76533.02</v>
      </c>
      <c r="T57" s="9"/>
      <c r="U57" s="10">
        <v>124253.29</v>
      </c>
      <c r="V57" s="9"/>
      <c r="W57" s="10">
        <v>108848.37</v>
      </c>
      <c r="X57" s="9"/>
      <c r="Y57" s="10">
        <v>72857.31</v>
      </c>
      <c r="Z57" s="9"/>
      <c r="AA57" s="10">
        <v>70929.78</v>
      </c>
      <c r="AB57" s="9"/>
      <c r="AC57" s="10">
        <v>65576.89</v>
      </c>
      <c r="AD57" s="9"/>
      <c r="AE57" s="10">
        <f t="shared" ref="AE57:AE60" si="3">AC57+AA57+Y57+W57+U57+S57+Q57+O57+M57+K57+I57+G57</f>
        <v>786259.39999999991</v>
      </c>
      <c r="AF57" s="11"/>
    </row>
    <row r="58" spans="1:32" outlineLevel="1">
      <c r="A58" s="6">
        <v>40109</v>
      </c>
      <c r="B58" s="6" t="s">
        <v>247</v>
      </c>
      <c r="C58" s="7"/>
      <c r="D58" s="3"/>
      <c r="E58" s="8"/>
      <c r="F58" s="9"/>
      <c r="G58" s="10">
        <v>22878.77</v>
      </c>
      <c r="H58" s="9"/>
      <c r="I58" s="10">
        <v>16763.02</v>
      </c>
      <c r="J58" s="9"/>
      <c r="K58" s="10">
        <v>11499.7</v>
      </c>
      <c r="L58" s="9"/>
      <c r="M58" s="10">
        <v>12843.96</v>
      </c>
      <c r="N58" s="9"/>
      <c r="O58" s="10">
        <v>14809.35</v>
      </c>
      <c r="P58" s="9"/>
      <c r="Q58" s="10">
        <v>16931.810000000001</v>
      </c>
      <c r="R58" s="9"/>
      <c r="S58" s="10">
        <v>20328.8</v>
      </c>
      <c r="T58" s="9"/>
      <c r="U58" s="10">
        <v>22054.09</v>
      </c>
      <c r="V58" s="9"/>
      <c r="W58" s="10">
        <v>16230.73</v>
      </c>
      <c r="X58" s="9"/>
      <c r="Y58" s="10">
        <v>22734.76</v>
      </c>
      <c r="Z58" s="9"/>
      <c r="AA58" s="10">
        <v>24480.71</v>
      </c>
      <c r="AB58" s="9"/>
      <c r="AC58" s="10">
        <v>21578.31</v>
      </c>
      <c r="AD58" s="9"/>
      <c r="AE58" s="10">
        <f t="shared" si="3"/>
        <v>223134.00999999998</v>
      </c>
      <c r="AF58" s="11"/>
    </row>
    <row r="59" spans="1:32" outlineLevel="1">
      <c r="A59" s="6">
        <v>40131</v>
      </c>
      <c r="B59" s="6" t="s">
        <v>248</v>
      </c>
      <c r="C59" s="7"/>
      <c r="D59" s="3"/>
      <c r="E59" s="8"/>
      <c r="F59" s="9"/>
      <c r="G59" s="10">
        <v>0</v>
      </c>
      <c r="H59" s="9"/>
      <c r="I59" s="10">
        <v>0</v>
      </c>
      <c r="J59" s="9"/>
      <c r="K59" s="10">
        <v>0</v>
      </c>
      <c r="L59" s="9"/>
      <c r="M59" s="10">
        <v>0</v>
      </c>
      <c r="N59" s="9"/>
      <c r="O59" s="10">
        <v>0</v>
      </c>
      <c r="P59" s="9"/>
      <c r="Q59" s="10">
        <v>4300.09</v>
      </c>
      <c r="R59" s="9"/>
      <c r="S59" s="10">
        <v>0.01</v>
      </c>
      <c r="T59" s="9"/>
      <c r="U59" s="10">
        <v>0</v>
      </c>
      <c r="V59" s="9"/>
      <c r="W59" s="10">
        <v>0</v>
      </c>
      <c r="X59" s="9"/>
      <c r="Y59" s="10">
        <v>0</v>
      </c>
      <c r="Z59" s="9"/>
      <c r="AA59" s="10">
        <v>0</v>
      </c>
      <c r="AB59" s="9"/>
      <c r="AC59" s="10">
        <v>0</v>
      </c>
      <c r="AD59" s="9"/>
      <c r="AE59" s="10">
        <f t="shared" si="3"/>
        <v>4300.1000000000004</v>
      </c>
      <c r="AF59" s="11"/>
    </row>
    <row r="60" spans="1:32" outlineLevel="1">
      <c r="A60" s="6">
        <v>40139</v>
      </c>
      <c r="B60" s="6" t="s">
        <v>249</v>
      </c>
      <c r="C60" s="7"/>
      <c r="D60" s="3"/>
      <c r="E60" s="8"/>
      <c r="F60" s="9"/>
      <c r="G60" s="10">
        <v>1552651.94</v>
      </c>
      <c r="H60" s="9"/>
      <c r="I60" s="10">
        <v>1608455.98</v>
      </c>
      <c r="J60" s="9"/>
      <c r="K60" s="10">
        <v>1507178.98</v>
      </c>
      <c r="L60" s="9"/>
      <c r="M60" s="10">
        <v>1474368.66</v>
      </c>
      <c r="N60" s="9"/>
      <c r="O60" s="10">
        <v>1448378.1</v>
      </c>
      <c r="P60" s="9"/>
      <c r="Q60" s="10">
        <v>1809471.04</v>
      </c>
      <c r="R60" s="9"/>
      <c r="S60" s="10">
        <v>1528962.82</v>
      </c>
      <c r="T60" s="9"/>
      <c r="U60" s="10">
        <v>1786344.59</v>
      </c>
      <c r="V60" s="9"/>
      <c r="W60" s="10">
        <v>1749875.53</v>
      </c>
      <c r="X60" s="9"/>
      <c r="Y60" s="10">
        <v>1664550.18</v>
      </c>
      <c r="Z60" s="9"/>
      <c r="AA60" s="10">
        <v>1745386.4</v>
      </c>
      <c r="AB60" s="9"/>
      <c r="AC60" s="10">
        <v>1597549.86</v>
      </c>
      <c r="AD60" s="9"/>
      <c r="AE60" s="10">
        <f t="shared" si="3"/>
        <v>19473174.080000002</v>
      </c>
      <c r="AF60" s="11"/>
    </row>
    <row r="61" spans="1:32" s="8" customFormat="1" ht="5.0999999999999996" customHeight="1" outlineLevel="1">
      <c r="A61" s="7"/>
      <c r="B61" s="7"/>
      <c r="C61" s="7"/>
      <c r="D61" s="7"/>
      <c r="G61" s="38"/>
      <c r="H61" s="36"/>
      <c r="I61" s="38"/>
      <c r="J61" s="36"/>
      <c r="K61" s="38"/>
      <c r="L61" s="36"/>
      <c r="M61" s="38"/>
      <c r="N61" s="36"/>
      <c r="O61" s="38"/>
      <c r="P61" s="36"/>
      <c r="Q61" s="38"/>
      <c r="R61" s="36"/>
      <c r="S61" s="38"/>
      <c r="T61" s="36"/>
      <c r="U61" s="38"/>
      <c r="V61" s="36"/>
      <c r="W61" s="38"/>
      <c r="X61" s="36"/>
      <c r="Y61" s="38"/>
      <c r="Z61" s="36"/>
      <c r="AA61" s="38"/>
      <c r="AB61" s="36"/>
      <c r="AC61" s="38"/>
      <c r="AD61" s="36"/>
      <c r="AE61" s="38"/>
      <c r="AF61" s="16"/>
    </row>
    <row r="62" spans="1:32" s="8" customFormat="1" ht="15">
      <c r="C62" s="7" t="s">
        <v>250</v>
      </c>
      <c r="G62" s="35">
        <f>SUM(G56:G61)</f>
        <v>1639811.2</v>
      </c>
      <c r="H62" s="36"/>
      <c r="I62" s="35">
        <f>SUM(I56:I61)</f>
        <v>1694102.1199999999</v>
      </c>
      <c r="J62" s="36"/>
      <c r="K62" s="35">
        <f>SUM(K56:K61)</f>
        <v>1547015.1199999999</v>
      </c>
      <c r="L62" s="36"/>
      <c r="M62" s="35">
        <f>SUM(M56:M61)</f>
        <v>1509441.27</v>
      </c>
      <c r="N62" s="36"/>
      <c r="O62" s="35">
        <f>SUM(O56:O61)</f>
        <v>1497364.9000000001</v>
      </c>
      <c r="P62" s="36"/>
      <c r="Q62" s="35">
        <f>SUM(Q56:Q61)</f>
        <v>1880057.53</v>
      </c>
      <c r="R62" s="36"/>
      <c r="S62" s="35">
        <f>SUM(S56:S61)</f>
        <v>1625824.6500000001</v>
      </c>
      <c r="T62" s="36"/>
      <c r="U62" s="35">
        <f>SUM(U56:U61)</f>
        <v>1932651.9700000002</v>
      </c>
      <c r="V62" s="36"/>
      <c r="W62" s="35">
        <f>SUM(W56:W61)</f>
        <v>1874954.6300000001</v>
      </c>
      <c r="X62" s="36"/>
      <c r="Y62" s="35">
        <f>SUM(Y56:Y61)</f>
        <v>1760142.25</v>
      </c>
      <c r="Z62" s="36"/>
      <c r="AA62" s="35">
        <f>SUM(AA56:AA61)</f>
        <v>1840796.89</v>
      </c>
      <c r="AB62" s="36"/>
      <c r="AC62" s="35">
        <f>SUM(AC56:AC61)</f>
        <v>1684705.06</v>
      </c>
      <c r="AD62" s="36"/>
      <c r="AE62" s="35">
        <f>SUM(AE56:AE61)</f>
        <v>20486867.590000004</v>
      </c>
      <c r="AF62" s="16"/>
    </row>
    <row r="63" spans="1:32" s="8" customFormat="1" ht="15" outlineLevel="1">
      <c r="G63" s="37"/>
      <c r="H63" s="36"/>
      <c r="I63" s="37"/>
      <c r="J63" s="36"/>
      <c r="K63" s="37"/>
      <c r="L63" s="36"/>
      <c r="M63" s="37"/>
      <c r="N63" s="36"/>
      <c r="O63" s="37"/>
      <c r="P63" s="36"/>
      <c r="Q63" s="37"/>
      <c r="R63" s="36"/>
      <c r="S63" s="37"/>
      <c r="T63" s="36"/>
      <c r="U63" s="37"/>
      <c r="V63" s="36"/>
      <c r="W63" s="37"/>
      <c r="X63" s="36"/>
      <c r="Y63" s="37"/>
      <c r="Z63" s="36"/>
      <c r="AA63" s="37"/>
      <c r="AB63" s="36"/>
      <c r="AC63" s="37"/>
      <c r="AD63" s="36"/>
      <c r="AE63" s="37"/>
      <c r="AF63" s="16"/>
    </row>
    <row r="64" spans="1:32" outlineLevel="1">
      <c r="A64" s="6"/>
      <c r="B64" s="6"/>
      <c r="C64" s="7"/>
      <c r="D64" s="3"/>
      <c r="E64" s="8"/>
      <c r="F64" s="9"/>
      <c r="G64" s="10"/>
      <c r="H64" s="9"/>
      <c r="I64" s="10"/>
      <c r="J64" s="9"/>
      <c r="K64" s="10"/>
      <c r="L64" s="9"/>
      <c r="M64" s="10"/>
      <c r="N64" s="9"/>
      <c r="O64" s="10"/>
      <c r="P64" s="9"/>
      <c r="Q64" s="10"/>
      <c r="R64" s="9"/>
      <c r="S64" s="10"/>
      <c r="T64" s="9"/>
      <c r="U64" s="10"/>
      <c r="V64" s="9"/>
      <c r="W64" s="10"/>
      <c r="X64" s="9"/>
      <c r="Y64" s="10"/>
      <c r="Z64" s="9"/>
      <c r="AA64" s="10"/>
      <c r="AB64" s="9"/>
      <c r="AC64" s="10"/>
      <c r="AD64" s="9"/>
      <c r="AE64" s="10">
        <f>AC64+AA64+Y64+W64+U64+S64+Q64+O64+M64+K64+I64+G64</f>
        <v>0</v>
      </c>
      <c r="AF64" s="11"/>
    </row>
    <row r="65" spans="1:32" s="8" customFormat="1" ht="4.5" customHeight="1" outlineLevel="1">
      <c r="A65" s="39"/>
      <c r="G65" s="38"/>
      <c r="H65" s="36"/>
      <c r="I65" s="38"/>
      <c r="J65" s="36"/>
      <c r="K65" s="38"/>
      <c r="L65" s="36"/>
      <c r="M65" s="38"/>
      <c r="N65" s="36"/>
      <c r="O65" s="38"/>
      <c r="P65" s="36"/>
      <c r="Q65" s="38"/>
      <c r="R65" s="36"/>
      <c r="S65" s="38"/>
      <c r="T65" s="36"/>
      <c r="U65" s="38"/>
      <c r="V65" s="36"/>
      <c r="W65" s="38"/>
      <c r="X65" s="36"/>
      <c r="Y65" s="38"/>
      <c r="Z65" s="36"/>
      <c r="AA65" s="38"/>
      <c r="AB65" s="36"/>
      <c r="AC65" s="38"/>
      <c r="AD65" s="36"/>
      <c r="AE65" s="38"/>
      <c r="AF65" s="16"/>
    </row>
    <row r="66" spans="1:32" s="8" customFormat="1" ht="15">
      <c r="C66" s="8" t="s">
        <v>251</v>
      </c>
      <c r="G66" s="35">
        <f>SUM(G64:G65)</f>
        <v>0</v>
      </c>
      <c r="H66" s="36"/>
      <c r="I66" s="35">
        <f>SUM(I64:I65)</f>
        <v>0</v>
      </c>
      <c r="J66" s="36"/>
      <c r="K66" s="35">
        <f>SUM(K64:K65)</f>
        <v>0</v>
      </c>
      <c r="L66" s="36"/>
      <c r="M66" s="35">
        <f>SUM(M64:M65)</f>
        <v>0</v>
      </c>
      <c r="N66" s="36"/>
      <c r="O66" s="35">
        <f>SUM(O64:O65)</f>
        <v>0</v>
      </c>
      <c r="P66" s="36"/>
      <c r="Q66" s="35">
        <f>SUM(Q64:Q65)</f>
        <v>0</v>
      </c>
      <c r="R66" s="36"/>
      <c r="S66" s="35">
        <f>SUM(S64:S65)</f>
        <v>0</v>
      </c>
      <c r="T66" s="36"/>
      <c r="U66" s="35">
        <f>SUM(U64:U65)</f>
        <v>0</v>
      </c>
      <c r="V66" s="36"/>
      <c r="W66" s="35">
        <f>SUM(W64:W65)</f>
        <v>0</v>
      </c>
      <c r="X66" s="36"/>
      <c r="Y66" s="35">
        <f>SUM(Y64:Y65)</f>
        <v>0</v>
      </c>
      <c r="Z66" s="36"/>
      <c r="AA66" s="35">
        <f>SUM(AA64:AA65)</f>
        <v>0</v>
      </c>
      <c r="AB66" s="36"/>
      <c r="AC66" s="35">
        <f>SUM(AC64:AC65)</f>
        <v>0</v>
      </c>
      <c r="AD66" s="36"/>
      <c r="AE66" s="35">
        <f>SUM(AE64:AE65)</f>
        <v>0</v>
      </c>
      <c r="AF66" s="16"/>
    </row>
    <row r="67" spans="1:32" s="8" customFormat="1" ht="15" outlineLevel="1">
      <c r="G67" s="37"/>
      <c r="H67" s="36"/>
      <c r="I67" s="37"/>
      <c r="J67" s="36"/>
      <c r="K67" s="37"/>
      <c r="L67" s="36"/>
      <c r="M67" s="37"/>
      <c r="N67" s="36"/>
      <c r="O67" s="37"/>
      <c r="P67" s="36"/>
      <c r="Q67" s="37"/>
      <c r="R67" s="36"/>
      <c r="S67" s="37"/>
      <c r="T67" s="36"/>
      <c r="U67" s="37"/>
      <c r="V67" s="36"/>
      <c r="W67" s="37"/>
      <c r="X67" s="36"/>
      <c r="Y67" s="37"/>
      <c r="Z67" s="36"/>
      <c r="AA67" s="37"/>
      <c r="AB67" s="36"/>
      <c r="AC67" s="37"/>
      <c r="AD67" s="36"/>
      <c r="AE67" s="37"/>
      <c r="AF67" s="16"/>
    </row>
    <row r="68" spans="1:32" s="8" customFormat="1" ht="15" outlineLevel="1">
      <c r="G68" s="37"/>
      <c r="H68" s="36"/>
      <c r="I68" s="37"/>
      <c r="J68" s="36"/>
      <c r="K68" s="37"/>
      <c r="L68" s="36"/>
      <c r="M68" s="37"/>
      <c r="N68" s="36"/>
      <c r="O68" s="37"/>
      <c r="P68" s="36"/>
      <c r="Q68" s="37"/>
      <c r="R68" s="36"/>
      <c r="S68" s="37"/>
      <c r="T68" s="36"/>
      <c r="U68" s="37"/>
      <c r="V68" s="36"/>
      <c r="W68" s="37"/>
      <c r="X68" s="36"/>
      <c r="Y68" s="37"/>
      <c r="Z68" s="36"/>
      <c r="AA68" s="37"/>
      <c r="AB68" s="36"/>
      <c r="AC68" s="37"/>
      <c r="AD68" s="36"/>
      <c r="AE68" s="37"/>
      <c r="AF68" s="16"/>
    </row>
    <row r="69" spans="1:32" outlineLevel="1">
      <c r="A69" s="6">
        <v>41121</v>
      </c>
      <c r="B69" s="6" t="s">
        <v>252</v>
      </c>
      <c r="C69" s="7"/>
      <c r="D69" s="3"/>
      <c r="E69" s="8"/>
      <c r="F69" s="9"/>
      <c r="G69" s="10">
        <v>40</v>
      </c>
      <c r="H69" s="9"/>
      <c r="I69" s="10">
        <v>100</v>
      </c>
      <c r="J69" s="9"/>
      <c r="K69" s="10">
        <v>80</v>
      </c>
      <c r="L69" s="9"/>
      <c r="M69" s="10">
        <v>100</v>
      </c>
      <c r="N69" s="9"/>
      <c r="O69" s="10">
        <v>40</v>
      </c>
      <c r="P69" s="9"/>
      <c r="Q69" s="10">
        <v>120</v>
      </c>
      <c r="R69" s="9"/>
      <c r="S69" s="10">
        <v>40</v>
      </c>
      <c r="T69" s="9"/>
      <c r="U69" s="10">
        <v>120</v>
      </c>
      <c r="V69" s="9"/>
      <c r="W69" s="10">
        <v>60</v>
      </c>
      <c r="X69" s="9"/>
      <c r="Y69" s="10">
        <v>230</v>
      </c>
      <c r="Z69" s="9"/>
      <c r="AA69" s="10">
        <v>120</v>
      </c>
      <c r="AB69" s="9"/>
      <c r="AC69" s="10">
        <v>60</v>
      </c>
      <c r="AD69" s="9"/>
      <c r="AE69" s="10">
        <f t="shared" ref="AE69:AE72" si="4">AC69+AA69+Y69+W69+U69+S69+Q69+O69+M69+K69+I69+G69</f>
        <v>1110</v>
      </c>
      <c r="AF69" s="11"/>
    </row>
    <row r="70" spans="1:32" outlineLevel="1">
      <c r="A70" s="6">
        <v>41201</v>
      </c>
      <c r="B70" s="6" t="s">
        <v>253</v>
      </c>
      <c r="C70" s="7"/>
      <c r="D70" s="3"/>
      <c r="E70" s="8"/>
      <c r="F70" s="9"/>
      <c r="G70" s="10">
        <v>507146.38</v>
      </c>
      <c r="H70" s="9"/>
      <c r="I70" s="10">
        <v>507056.21</v>
      </c>
      <c r="J70" s="9"/>
      <c r="K70" s="10">
        <v>506361.69</v>
      </c>
      <c r="L70" s="9"/>
      <c r="M70" s="10">
        <v>511702.5</v>
      </c>
      <c r="N70" s="9"/>
      <c r="O70" s="10">
        <v>501533.53</v>
      </c>
      <c r="P70" s="9"/>
      <c r="Q70" s="10">
        <v>534216.72</v>
      </c>
      <c r="R70" s="9"/>
      <c r="S70" s="10">
        <v>589806.23</v>
      </c>
      <c r="T70" s="9"/>
      <c r="U70" s="10">
        <v>604519.25</v>
      </c>
      <c r="V70" s="9"/>
      <c r="W70" s="10">
        <v>603676.37</v>
      </c>
      <c r="X70" s="9"/>
      <c r="Y70" s="10">
        <v>602830.87</v>
      </c>
      <c r="Z70" s="9"/>
      <c r="AA70" s="10">
        <v>609487.92000000004</v>
      </c>
      <c r="AB70" s="9"/>
      <c r="AC70" s="10">
        <v>629292.18000000005</v>
      </c>
      <c r="AD70" s="9"/>
      <c r="AE70" s="10">
        <f t="shared" si="4"/>
        <v>6707629.8500000006</v>
      </c>
      <c r="AF70" s="11"/>
    </row>
    <row r="71" spans="1:32" outlineLevel="1">
      <c r="A71" s="6">
        <v>43001</v>
      </c>
      <c r="B71" s="6" t="s">
        <v>254</v>
      </c>
      <c r="C71" s="7"/>
      <c r="D71" s="3"/>
      <c r="E71" s="8"/>
      <c r="F71" s="9"/>
      <c r="G71" s="10">
        <v>78728.539999999994</v>
      </c>
      <c r="H71" s="9"/>
      <c r="I71" s="10">
        <v>79958.289999999994</v>
      </c>
      <c r="J71" s="9"/>
      <c r="K71" s="10">
        <v>79185.17</v>
      </c>
      <c r="L71" s="9"/>
      <c r="M71" s="10">
        <v>77248.25</v>
      </c>
      <c r="N71" s="9"/>
      <c r="O71" s="10">
        <v>80201.58</v>
      </c>
      <c r="P71" s="9"/>
      <c r="Q71" s="10">
        <v>83065.570000000007</v>
      </c>
      <c r="R71" s="9"/>
      <c r="S71" s="10">
        <v>83036.23</v>
      </c>
      <c r="T71" s="9"/>
      <c r="U71" s="10">
        <v>85632.38</v>
      </c>
      <c r="V71" s="9"/>
      <c r="W71" s="10">
        <v>87296.79</v>
      </c>
      <c r="X71" s="9"/>
      <c r="Y71" s="10">
        <v>87105.98</v>
      </c>
      <c r="Z71" s="9"/>
      <c r="AA71" s="10">
        <v>87208</v>
      </c>
      <c r="AB71" s="9"/>
      <c r="AC71" s="10">
        <v>86845.8</v>
      </c>
      <c r="AD71" s="9"/>
      <c r="AE71" s="10">
        <f t="shared" si="4"/>
        <v>995512.58000000007</v>
      </c>
      <c r="AF71" s="11"/>
    </row>
    <row r="72" spans="1:32" outlineLevel="1">
      <c r="A72" s="6">
        <v>43002</v>
      </c>
      <c r="B72" s="6" t="s">
        <v>255</v>
      </c>
      <c r="C72" s="7"/>
      <c r="D72" s="3"/>
      <c r="E72" s="8"/>
      <c r="F72" s="9"/>
      <c r="G72" s="10">
        <v>7216.38</v>
      </c>
      <c r="H72" s="9"/>
      <c r="I72" s="10">
        <v>7095.18</v>
      </c>
      <c r="J72" s="9"/>
      <c r="K72" s="10">
        <v>6961.02</v>
      </c>
      <c r="L72" s="9"/>
      <c r="M72" s="10">
        <v>6841.78</v>
      </c>
      <c r="N72" s="9"/>
      <c r="O72" s="10">
        <v>26179.07</v>
      </c>
      <c r="P72" s="9"/>
      <c r="Q72" s="10">
        <v>8699.56</v>
      </c>
      <c r="R72" s="9"/>
      <c r="S72" s="10">
        <v>8704.7800000000007</v>
      </c>
      <c r="T72" s="9"/>
      <c r="U72" s="10">
        <v>9090</v>
      </c>
      <c r="V72" s="9"/>
      <c r="W72" s="10">
        <v>9374.0499999999993</v>
      </c>
      <c r="X72" s="9"/>
      <c r="Y72" s="10">
        <v>9398.4599999999991</v>
      </c>
      <c r="Z72" s="9"/>
      <c r="AA72" s="10">
        <v>9285.27</v>
      </c>
      <c r="AB72" s="9"/>
      <c r="AC72" s="10">
        <v>8826.77</v>
      </c>
      <c r="AD72" s="9"/>
      <c r="AE72" s="10">
        <f t="shared" si="4"/>
        <v>117672.32000000001</v>
      </c>
      <c r="AF72" s="11"/>
    </row>
    <row r="73" spans="1:32" s="8" customFormat="1" ht="5.0999999999999996" customHeight="1" outlineLevel="1">
      <c r="A73" s="7"/>
      <c r="B73" s="7"/>
      <c r="C73" s="7"/>
      <c r="D73" s="7"/>
      <c r="G73" s="38"/>
      <c r="H73" s="36"/>
      <c r="I73" s="38"/>
      <c r="J73" s="36"/>
      <c r="K73" s="38"/>
      <c r="L73" s="36"/>
      <c r="M73" s="38"/>
      <c r="N73" s="36"/>
      <c r="O73" s="38"/>
      <c r="P73" s="36"/>
      <c r="Q73" s="38"/>
      <c r="R73" s="36"/>
      <c r="S73" s="38"/>
      <c r="T73" s="36"/>
      <c r="U73" s="38"/>
      <c r="V73" s="36"/>
      <c r="W73" s="38"/>
      <c r="X73" s="36"/>
      <c r="Y73" s="38"/>
      <c r="Z73" s="36"/>
      <c r="AA73" s="38"/>
      <c r="AB73" s="36"/>
      <c r="AC73" s="38"/>
      <c r="AD73" s="36"/>
      <c r="AE73" s="38"/>
      <c r="AF73" s="16"/>
    </row>
    <row r="74" spans="1:32" s="8" customFormat="1" ht="15">
      <c r="C74" s="7" t="s">
        <v>256</v>
      </c>
      <c r="D74" s="42"/>
      <c r="E74" s="42"/>
      <c r="F74" s="42"/>
      <c r="G74" s="35">
        <f>SUM(G68:G73)</f>
        <v>593131.30000000005</v>
      </c>
      <c r="H74" s="36"/>
      <c r="I74" s="35">
        <f>SUM(I68:I73)</f>
        <v>594209.68000000005</v>
      </c>
      <c r="J74" s="36"/>
      <c r="K74" s="35">
        <f>SUM(K68:K73)</f>
        <v>592587.88</v>
      </c>
      <c r="L74" s="36"/>
      <c r="M74" s="35">
        <f>SUM(M68:M73)</f>
        <v>595892.53</v>
      </c>
      <c r="N74" s="36"/>
      <c r="O74" s="35">
        <f>SUM(O68:O73)</f>
        <v>607954.17999999993</v>
      </c>
      <c r="P74" s="36"/>
      <c r="Q74" s="35">
        <f>SUM(Q68:Q73)</f>
        <v>626101.85000000009</v>
      </c>
      <c r="R74" s="36"/>
      <c r="S74" s="35">
        <f>SUM(S68:S73)</f>
        <v>681587.24</v>
      </c>
      <c r="T74" s="36"/>
      <c r="U74" s="35">
        <f>SUM(U68:U73)</f>
        <v>699361.63</v>
      </c>
      <c r="V74" s="36"/>
      <c r="W74" s="35">
        <f>SUM(W68:W73)</f>
        <v>700407.21000000008</v>
      </c>
      <c r="X74" s="36"/>
      <c r="Y74" s="35">
        <f>SUM(Y68:Y73)</f>
        <v>699565.30999999994</v>
      </c>
      <c r="Z74" s="36"/>
      <c r="AA74" s="35">
        <f>SUM(AA68:AA73)</f>
        <v>706101.19000000006</v>
      </c>
      <c r="AB74" s="36"/>
      <c r="AC74" s="35">
        <f>SUM(AC68:AC73)</f>
        <v>725024.75000000012</v>
      </c>
      <c r="AD74" s="36"/>
      <c r="AE74" s="35">
        <f>SUM(AE68:AE73)</f>
        <v>7821924.7500000009</v>
      </c>
      <c r="AF74" s="16"/>
    </row>
    <row r="75" spans="1:32" s="8" customFormat="1" ht="15" outlineLevel="1">
      <c r="G75" s="37"/>
      <c r="H75" s="36"/>
      <c r="I75" s="37"/>
      <c r="J75" s="36"/>
      <c r="K75" s="37"/>
      <c r="L75" s="36"/>
      <c r="M75" s="37"/>
      <c r="N75" s="36"/>
      <c r="O75" s="37"/>
      <c r="P75" s="36"/>
      <c r="Q75" s="37"/>
      <c r="R75" s="36"/>
      <c r="S75" s="37"/>
      <c r="T75" s="36"/>
      <c r="U75" s="37"/>
      <c r="V75" s="36"/>
      <c r="W75" s="37"/>
      <c r="X75" s="36"/>
      <c r="Y75" s="37"/>
      <c r="Z75" s="36"/>
      <c r="AA75" s="37"/>
      <c r="AB75" s="36"/>
      <c r="AC75" s="37"/>
      <c r="AD75" s="36"/>
      <c r="AE75" s="37"/>
      <c r="AF75" s="16"/>
    </row>
    <row r="76" spans="1:32" s="8" customFormat="1" ht="15" outlineLevel="1">
      <c r="G76" s="37"/>
      <c r="H76" s="36"/>
      <c r="I76" s="37"/>
      <c r="J76" s="36"/>
      <c r="K76" s="37"/>
      <c r="L76" s="36"/>
      <c r="M76" s="37"/>
      <c r="N76" s="36"/>
      <c r="O76" s="37"/>
      <c r="P76" s="36"/>
      <c r="Q76" s="37"/>
      <c r="R76" s="36"/>
      <c r="S76" s="37"/>
      <c r="T76" s="36"/>
      <c r="U76" s="37"/>
      <c r="V76" s="36"/>
      <c r="W76" s="37"/>
      <c r="X76" s="36"/>
      <c r="Y76" s="37"/>
      <c r="Z76" s="36"/>
      <c r="AA76" s="37"/>
      <c r="AB76" s="36"/>
      <c r="AC76" s="37"/>
      <c r="AD76" s="36"/>
      <c r="AE76" s="37"/>
      <c r="AF76" s="16"/>
    </row>
    <row r="77" spans="1:32" outlineLevel="1">
      <c r="A77" s="6">
        <v>44161</v>
      </c>
      <c r="B77" s="6" t="s">
        <v>257</v>
      </c>
      <c r="C77" s="7"/>
      <c r="D77" s="3"/>
      <c r="E77" s="8"/>
      <c r="F77" s="9"/>
      <c r="G77" s="10">
        <v>3095.86</v>
      </c>
      <c r="H77" s="9"/>
      <c r="I77" s="10">
        <v>3220.9</v>
      </c>
      <c r="J77" s="9"/>
      <c r="K77" s="10">
        <v>2889.66</v>
      </c>
      <c r="L77" s="9"/>
      <c r="M77" s="10">
        <v>3025.97</v>
      </c>
      <c r="N77" s="9"/>
      <c r="O77" s="10">
        <v>3695.37</v>
      </c>
      <c r="P77" s="9"/>
      <c r="Q77" s="10">
        <v>3169.51</v>
      </c>
      <c r="R77" s="9"/>
      <c r="S77" s="10">
        <v>3501.62</v>
      </c>
      <c r="T77" s="9"/>
      <c r="U77" s="10">
        <v>4106.42</v>
      </c>
      <c r="V77" s="9"/>
      <c r="W77" s="10">
        <v>3443.1</v>
      </c>
      <c r="X77" s="9"/>
      <c r="Y77" s="10">
        <v>1254.44</v>
      </c>
      <c r="Z77" s="9"/>
      <c r="AA77" s="10">
        <v>2188.17</v>
      </c>
      <c r="AB77" s="9"/>
      <c r="AC77" s="10">
        <v>3969.93</v>
      </c>
      <c r="AD77" s="9"/>
      <c r="AE77" s="10">
        <f t="shared" ref="AE77:AE78" si="5">AC77+AA77+Y77+W77+U77+S77+Q77+O77+M77+K77+I77+G77</f>
        <v>37560.950000000004</v>
      </c>
      <c r="AF77" s="11"/>
    </row>
    <row r="78" spans="1:32" outlineLevel="1">
      <c r="A78" s="6">
        <v>44169</v>
      </c>
      <c r="B78" s="6" t="s">
        <v>258</v>
      </c>
      <c r="C78" s="7"/>
      <c r="D78" s="3"/>
      <c r="E78" s="8"/>
      <c r="F78" s="9"/>
      <c r="G78" s="10">
        <v>0</v>
      </c>
      <c r="H78" s="9"/>
      <c r="I78" s="10">
        <v>0</v>
      </c>
      <c r="J78" s="9"/>
      <c r="K78" s="10">
        <v>0</v>
      </c>
      <c r="L78" s="9"/>
      <c r="M78" s="10">
        <v>0</v>
      </c>
      <c r="N78" s="9"/>
      <c r="O78" s="10">
        <v>0</v>
      </c>
      <c r="P78" s="9"/>
      <c r="Q78" s="10">
        <v>0</v>
      </c>
      <c r="R78" s="9"/>
      <c r="S78" s="10">
        <v>0</v>
      </c>
      <c r="T78" s="9"/>
      <c r="U78" s="10">
        <v>0</v>
      </c>
      <c r="V78" s="9"/>
      <c r="W78" s="10">
        <v>0</v>
      </c>
      <c r="X78" s="9"/>
      <c r="Y78" s="10">
        <v>0</v>
      </c>
      <c r="Z78" s="9"/>
      <c r="AA78" s="10">
        <v>0</v>
      </c>
      <c r="AB78" s="9"/>
      <c r="AC78" s="10">
        <v>8752.84</v>
      </c>
      <c r="AD78" s="9"/>
      <c r="AE78" s="10">
        <f t="shared" si="5"/>
        <v>8752.84</v>
      </c>
      <c r="AF78" s="11"/>
    </row>
    <row r="79" spans="1:32" s="8" customFormat="1" ht="5.0999999999999996" customHeight="1" outlineLevel="1">
      <c r="A79" s="7"/>
      <c r="B79" s="7"/>
      <c r="C79" s="7"/>
      <c r="D79" s="7"/>
      <c r="G79" s="38"/>
      <c r="H79" s="36"/>
      <c r="I79" s="38"/>
      <c r="J79" s="36"/>
      <c r="K79" s="38"/>
      <c r="L79" s="36"/>
      <c r="M79" s="38"/>
      <c r="N79" s="36"/>
      <c r="O79" s="38"/>
      <c r="P79" s="36"/>
      <c r="Q79" s="38"/>
      <c r="R79" s="36"/>
      <c r="S79" s="38"/>
      <c r="T79" s="36"/>
      <c r="U79" s="38"/>
      <c r="V79" s="36"/>
      <c r="W79" s="38"/>
      <c r="X79" s="36"/>
      <c r="Y79" s="38"/>
      <c r="Z79" s="36"/>
      <c r="AA79" s="38"/>
      <c r="AB79" s="36"/>
      <c r="AC79" s="38"/>
      <c r="AD79" s="36"/>
      <c r="AE79" s="38"/>
      <c r="AF79" s="16"/>
    </row>
    <row r="80" spans="1:32" s="8" customFormat="1" ht="15">
      <c r="C80" s="7" t="s">
        <v>259</v>
      </c>
      <c r="D80" s="42"/>
      <c r="E80" s="42"/>
      <c r="F80" s="42"/>
      <c r="G80" s="35">
        <f>SUM(G76:G79)</f>
        <v>3095.86</v>
      </c>
      <c r="H80" s="36"/>
      <c r="I80" s="35">
        <f>SUM(I76:I79)</f>
        <v>3220.9</v>
      </c>
      <c r="J80" s="36"/>
      <c r="K80" s="35">
        <f>SUM(K76:K79)</f>
        <v>2889.66</v>
      </c>
      <c r="L80" s="36"/>
      <c r="M80" s="35">
        <f>SUM(M76:M79)</f>
        <v>3025.97</v>
      </c>
      <c r="N80" s="36"/>
      <c r="O80" s="35">
        <f>SUM(O76:O79)</f>
        <v>3695.37</v>
      </c>
      <c r="P80" s="36"/>
      <c r="Q80" s="35">
        <f>SUM(Q76:Q79)</f>
        <v>3169.51</v>
      </c>
      <c r="R80" s="36"/>
      <c r="S80" s="35">
        <f>SUM(S76:S79)</f>
        <v>3501.62</v>
      </c>
      <c r="T80" s="36"/>
      <c r="U80" s="35">
        <f>SUM(U76:U79)</f>
        <v>4106.42</v>
      </c>
      <c r="V80" s="36"/>
      <c r="W80" s="35">
        <f>SUM(W76:W79)</f>
        <v>3443.1</v>
      </c>
      <c r="X80" s="36"/>
      <c r="Y80" s="35">
        <f>SUM(Y76:Y79)</f>
        <v>1254.44</v>
      </c>
      <c r="Z80" s="36"/>
      <c r="AA80" s="35">
        <f>SUM(AA76:AA79)</f>
        <v>2188.17</v>
      </c>
      <c r="AB80" s="36"/>
      <c r="AC80" s="35">
        <f>SUM(AC76:AC79)</f>
        <v>12722.77</v>
      </c>
      <c r="AD80" s="36"/>
      <c r="AE80" s="35">
        <f>SUM(AE76:AE79)</f>
        <v>46313.790000000008</v>
      </c>
      <c r="AF80" s="16"/>
    </row>
    <row r="81" spans="1:32" s="8" customFormat="1" ht="15" outlineLevel="1">
      <c r="G81" s="37"/>
      <c r="H81" s="36"/>
      <c r="I81" s="37"/>
      <c r="J81" s="36"/>
      <c r="K81" s="37"/>
      <c r="L81" s="36"/>
      <c r="M81" s="37"/>
      <c r="N81" s="36"/>
      <c r="O81" s="37"/>
      <c r="P81" s="36"/>
      <c r="Q81" s="37"/>
      <c r="R81" s="36"/>
      <c r="S81" s="37"/>
      <c r="T81" s="36"/>
      <c r="U81" s="37"/>
      <c r="V81" s="36"/>
      <c r="W81" s="37"/>
      <c r="X81" s="36"/>
      <c r="Y81" s="37"/>
      <c r="Z81" s="36"/>
      <c r="AA81" s="37"/>
      <c r="AB81" s="36"/>
      <c r="AC81" s="37"/>
      <c r="AD81" s="36"/>
      <c r="AE81" s="37"/>
      <c r="AF81" s="16"/>
    </row>
    <row r="82" spans="1:32" outlineLevel="1">
      <c r="A82" s="6"/>
      <c r="B82" s="6"/>
      <c r="C82" s="7"/>
      <c r="D82" s="3"/>
      <c r="E82" s="8"/>
      <c r="F82" s="9"/>
      <c r="G82" s="10"/>
      <c r="H82" s="9"/>
      <c r="I82" s="10"/>
      <c r="J82" s="9"/>
      <c r="K82" s="10"/>
      <c r="L82" s="9"/>
      <c r="M82" s="10"/>
      <c r="N82" s="9"/>
      <c r="O82" s="10"/>
      <c r="P82" s="9"/>
      <c r="Q82" s="10"/>
      <c r="R82" s="9"/>
      <c r="S82" s="10"/>
      <c r="T82" s="9"/>
      <c r="U82" s="10"/>
      <c r="V82" s="9"/>
      <c r="W82" s="10"/>
      <c r="X82" s="9"/>
      <c r="Y82" s="10"/>
      <c r="Z82" s="9"/>
      <c r="AA82" s="10"/>
      <c r="AB82" s="9"/>
      <c r="AC82" s="10"/>
      <c r="AD82" s="9"/>
      <c r="AE82" s="10">
        <f>AC82+AA82+Y82+W82+U82+S82+Q82+O82+M82+K82+I82+G82</f>
        <v>0</v>
      </c>
      <c r="AF82" s="11"/>
    </row>
    <row r="83" spans="1:32" s="8" customFormat="1" ht="4.5" customHeight="1" outlineLevel="1">
      <c r="A83" s="39"/>
      <c r="G83" s="38"/>
      <c r="H83" s="36"/>
      <c r="I83" s="38"/>
      <c r="J83" s="36"/>
      <c r="K83" s="38"/>
      <c r="L83" s="36"/>
      <c r="M83" s="38"/>
      <c r="N83" s="36"/>
      <c r="O83" s="38"/>
      <c r="P83" s="36"/>
      <c r="Q83" s="38"/>
      <c r="R83" s="36"/>
      <c r="S83" s="38"/>
      <c r="T83" s="36"/>
      <c r="U83" s="38"/>
      <c r="V83" s="36"/>
      <c r="W83" s="38"/>
      <c r="X83" s="36"/>
      <c r="Y83" s="38"/>
      <c r="Z83" s="36"/>
      <c r="AA83" s="38"/>
      <c r="AB83" s="36"/>
      <c r="AC83" s="38"/>
      <c r="AD83" s="36"/>
      <c r="AE83" s="38"/>
      <c r="AF83" s="16"/>
    </row>
    <row r="84" spans="1:32" s="8" customFormat="1" ht="15">
      <c r="C84" s="8" t="s">
        <v>260</v>
      </c>
      <c r="G84" s="35">
        <f>SUM(G82:G83)</f>
        <v>0</v>
      </c>
      <c r="H84" s="36"/>
      <c r="I84" s="35">
        <f>SUM(I82:I83)</f>
        <v>0</v>
      </c>
      <c r="J84" s="36"/>
      <c r="K84" s="35">
        <f>SUM(K82:K83)</f>
        <v>0</v>
      </c>
      <c r="L84" s="36"/>
      <c r="M84" s="35">
        <f>SUM(M82:M83)</f>
        <v>0</v>
      </c>
      <c r="N84" s="36"/>
      <c r="O84" s="35">
        <f>SUM(O82:O83)</f>
        <v>0</v>
      </c>
      <c r="P84" s="36"/>
      <c r="Q84" s="35">
        <f>SUM(Q82:Q83)</f>
        <v>0</v>
      </c>
      <c r="R84" s="36"/>
      <c r="S84" s="35">
        <f>SUM(S82:S83)</f>
        <v>0</v>
      </c>
      <c r="T84" s="36"/>
      <c r="U84" s="35">
        <f>SUM(U82:U83)</f>
        <v>0</v>
      </c>
      <c r="V84" s="36"/>
      <c r="W84" s="35">
        <f>SUM(W82:W83)</f>
        <v>0</v>
      </c>
      <c r="X84" s="36"/>
      <c r="Y84" s="35">
        <f>SUM(Y82:Y83)</f>
        <v>0</v>
      </c>
      <c r="Z84" s="36"/>
      <c r="AA84" s="35">
        <f>SUM(AA82:AA83)</f>
        <v>0</v>
      </c>
      <c r="AB84" s="36"/>
      <c r="AC84" s="35">
        <f>SUM(AC82:AC83)</f>
        <v>0</v>
      </c>
      <c r="AD84" s="36"/>
      <c r="AE84" s="35">
        <f>SUM(AE82:AE83)</f>
        <v>0</v>
      </c>
      <c r="AF84" s="16"/>
    </row>
    <row r="85" spans="1:32" s="8" customFormat="1" ht="7.5" customHeight="1">
      <c r="G85" s="37"/>
      <c r="H85" s="36"/>
      <c r="I85" s="37"/>
      <c r="J85" s="36"/>
      <c r="K85" s="37"/>
      <c r="L85" s="36"/>
      <c r="M85" s="37"/>
      <c r="N85" s="36"/>
      <c r="O85" s="37"/>
      <c r="P85" s="36"/>
      <c r="Q85" s="37"/>
      <c r="R85" s="36"/>
      <c r="S85" s="37"/>
      <c r="T85" s="36"/>
      <c r="U85" s="37"/>
      <c r="V85" s="36"/>
      <c r="W85" s="37"/>
      <c r="X85" s="36"/>
      <c r="Y85" s="37"/>
      <c r="Z85" s="36"/>
      <c r="AA85" s="37"/>
      <c r="AB85" s="36"/>
      <c r="AC85" s="37"/>
      <c r="AD85" s="36"/>
      <c r="AE85" s="37"/>
      <c r="AF85" s="16"/>
    </row>
    <row r="86" spans="1:32" s="8" customFormat="1" ht="15">
      <c r="B86" s="40" t="s">
        <v>261</v>
      </c>
      <c r="G86" s="41">
        <f>+G62+G74+G80+G66+G84</f>
        <v>2236038.36</v>
      </c>
      <c r="H86" s="36"/>
      <c r="I86" s="41">
        <f>+I62+I74+I80+I66+I84</f>
        <v>2291532.6999999997</v>
      </c>
      <c r="J86" s="36"/>
      <c r="K86" s="41">
        <f>+K62+K74+K80+K66+K84</f>
        <v>2142492.66</v>
      </c>
      <c r="L86" s="36"/>
      <c r="M86" s="41">
        <f>+M62+M74+M80+M66+M84</f>
        <v>2108359.77</v>
      </c>
      <c r="N86" s="36"/>
      <c r="O86" s="41">
        <f>+O62+O74+O80+O66+O84</f>
        <v>2109014.4500000002</v>
      </c>
      <c r="P86" s="36"/>
      <c r="Q86" s="41">
        <f>+Q62+Q74+Q80+Q66+Q84</f>
        <v>2509328.8899999997</v>
      </c>
      <c r="R86" s="36"/>
      <c r="S86" s="41">
        <f>+S62+S74+S80+S66+S84</f>
        <v>2310913.5100000002</v>
      </c>
      <c r="T86" s="36"/>
      <c r="U86" s="41">
        <f>+U62+U74+U80+U66+U84</f>
        <v>2636120.02</v>
      </c>
      <c r="V86" s="36"/>
      <c r="W86" s="41">
        <f>+W62+W74+W80+W66+W84</f>
        <v>2578804.9400000004</v>
      </c>
      <c r="X86" s="36"/>
      <c r="Y86" s="41">
        <f>+Y62+Y74+Y80+Y66+Y84</f>
        <v>2460962</v>
      </c>
      <c r="Z86" s="36"/>
      <c r="AA86" s="41">
        <f>+AA62+AA74+AA80+AA66+AA84</f>
        <v>2549086.25</v>
      </c>
      <c r="AB86" s="36"/>
      <c r="AC86" s="41">
        <f>+AC62+AC74+AC80+AC66+AC84</f>
        <v>2422452.58</v>
      </c>
      <c r="AD86" s="36"/>
      <c r="AE86" s="41">
        <f>+AE62+AE74+AE80+AE66+AE84</f>
        <v>28355106.130000003</v>
      </c>
      <c r="AF86" s="16"/>
    </row>
    <row r="87" spans="1:32" s="8" customFormat="1" ht="7.5" customHeight="1">
      <c r="G87" s="37"/>
      <c r="H87" s="36"/>
      <c r="I87" s="37"/>
      <c r="J87" s="36"/>
      <c r="K87" s="37"/>
      <c r="L87" s="36"/>
      <c r="M87" s="37"/>
      <c r="N87" s="36"/>
      <c r="O87" s="37"/>
      <c r="P87" s="36"/>
      <c r="Q87" s="37"/>
      <c r="R87" s="36"/>
      <c r="S87" s="37"/>
      <c r="T87" s="36"/>
      <c r="U87" s="37"/>
      <c r="V87" s="36"/>
      <c r="W87" s="37"/>
      <c r="X87" s="36"/>
      <c r="Y87" s="37"/>
      <c r="Z87" s="36"/>
      <c r="AA87" s="37"/>
      <c r="AB87" s="36"/>
      <c r="AC87" s="37"/>
      <c r="AD87" s="36"/>
      <c r="AE87" s="37"/>
      <c r="AF87" s="16"/>
    </row>
    <row r="88" spans="1:32" s="8" customFormat="1" ht="15">
      <c r="B88" s="43" t="s">
        <v>262</v>
      </c>
      <c r="G88" s="41">
        <f>G54-G86</f>
        <v>3222674.0799999996</v>
      </c>
      <c r="H88" s="36"/>
      <c r="I88" s="41">
        <f>I54-I86</f>
        <v>3184692.19</v>
      </c>
      <c r="J88" s="36"/>
      <c r="K88" s="41">
        <f>K54-K86</f>
        <v>3236285.4400000004</v>
      </c>
      <c r="L88" s="36"/>
      <c r="M88" s="41">
        <f>M54-M86</f>
        <v>3176925.7900000005</v>
      </c>
      <c r="N88" s="36"/>
      <c r="O88" s="41">
        <f>O54-O86</f>
        <v>3241337.96</v>
      </c>
      <c r="P88" s="36"/>
      <c r="Q88" s="41">
        <f>Q54-Q86</f>
        <v>3271213.1500000004</v>
      </c>
      <c r="R88" s="36"/>
      <c r="S88" s="41">
        <f>S54-S86</f>
        <v>3268605.6</v>
      </c>
      <c r="T88" s="36"/>
      <c r="U88" s="41">
        <f>U54-U86</f>
        <v>3211444.27</v>
      </c>
      <c r="V88" s="36"/>
      <c r="W88" s="41">
        <f>W54-W86</f>
        <v>3336778.04</v>
      </c>
      <c r="X88" s="36"/>
      <c r="Y88" s="41">
        <f>Y54-Y86</f>
        <v>3398898.4699999997</v>
      </c>
      <c r="Z88" s="36"/>
      <c r="AA88" s="41">
        <f>AA54-AA86</f>
        <v>3346007.3600000003</v>
      </c>
      <c r="AB88" s="36"/>
      <c r="AC88" s="41">
        <f>AC54-AC86</f>
        <v>3358148.3500000006</v>
      </c>
      <c r="AD88" s="36"/>
      <c r="AE88" s="41">
        <f>AE54-AE86</f>
        <v>39253010.70000001</v>
      </c>
      <c r="AF88" s="16"/>
    </row>
    <row r="89" spans="1:32" s="8" customFormat="1" ht="7.5" customHeight="1">
      <c r="G89" s="37"/>
      <c r="H89" s="36"/>
      <c r="I89" s="37"/>
      <c r="J89" s="36"/>
      <c r="K89" s="37"/>
      <c r="L89" s="36"/>
      <c r="M89" s="37"/>
      <c r="N89" s="36"/>
      <c r="O89" s="37"/>
      <c r="P89" s="36"/>
      <c r="Q89" s="37"/>
      <c r="R89" s="36"/>
      <c r="S89" s="37"/>
      <c r="T89" s="36"/>
      <c r="U89" s="37"/>
      <c r="V89" s="36"/>
      <c r="W89" s="37"/>
      <c r="X89" s="36"/>
      <c r="Y89" s="37"/>
      <c r="Z89" s="36"/>
      <c r="AA89" s="37"/>
      <c r="AB89" s="36"/>
      <c r="AC89" s="37"/>
      <c r="AD89" s="36"/>
      <c r="AE89" s="37"/>
      <c r="AF89" s="16"/>
    </row>
    <row r="90" spans="1:32" s="8" customFormat="1" ht="15" outlineLevel="1">
      <c r="G90" s="37"/>
      <c r="H90" s="36"/>
      <c r="I90" s="37"/>
      <c r="J90" s="36"/>
      <c r="K90" s="37"/>
      <c r="L90" s="36"/>
      <c r="M90" s="37"/>
      <c r="N90" s="36"/>
      <c r="O90" s="37"/>
      <c r="P90" s="36"/>
      <c r="Q90" s="37"/>
      <c r="R90" s="36"/>
      <c r="S90" s="37"/>
      <c r="T90" s="36"/>
      <c r="U90" s="37"/>
      <c r="V90" s="36"/>
      <c r="W90" s="37"/>
      <c r="X90" s="36"/>
      <c r="Y90" s="37"/>
      <c r="Z90" s="36"/>
      <c r="AA90" s="37"/>
      <c r="AB90" s="36"/>
      <c r="AC90" s="37"/>
      <c r="AD90" s="36"/>
      <c r="AE90" s="37"/>
      <c r="AF90" s="16"/>
    </row>
    <row r="91" spans="1:32" outlineLevel="1">
      <c r="A91" s="6">
        <v>50020</v>
      </c>
      <c r="B91" s="6" t="s">
        <v>42</v>
      </c>
      <c r="C91" s="7"/>
      <c r="D91" s="3"/>
      <c r="E91" s="8"/>
      <c r="F91" s="9"/>
      <c r="G91" s="10">
        <v>385535.17</v>
      </c>
      <c r="H91" s="9"/>
      <c r="I91" s="10">
        <v>412273.48</v>
      </c>
      <c r="J91" s="9"/>
      <c r="K91" s="10">
        <v>383959.5</v>
      </c>
      <c r="L91" s="9"/>
      <c r="M91" s="10">
        <v>354613.76000000001</v>
      </c>
      <c r="N91" s="9"/>
      <c r="O91" s="10">
        <v>390870.2</v>
      </c>
      <c r="P91" s="9"/>
      <c r="Q91" s="10">
        <v>437217.68</v>
      </c>
      <c r="R91" s="9"/>
      <c r="S91" s="10">
        <v>387988.43</v>
      </c>
      <c r="T91" s="9"/>
      <c r="U91" s="10">
        <v>442626.57</v>
      </c>
      <c r="V91" s="9"/>
      <c r="W91" s="10">
        <v>428791.17</v>
      </c>
      <c r="X91" s="9"/>
      <c r="Y91" s="10">
        <v>407142.33</v>
      </c>
      <c r="Z91" s="9"/>
      <c r="AA91" s="10">
        <v>456697.57</v>
      </c>
      <c r="AB91" s="9"/>
      <c r="AC91" s="10">
        <v>403305.5</v>
      </c>
      <c r="AD91" s="9"/>
      <c r="AE91" s="10">
        <f t="shared" ref="AE91:AE105" si="6">AC91+AA91+Y91+W91+U91+S91+Q91+O91+M91+K91+I91+G91</f>
        <v>4891021.3600000013</v>
      </c>
      <c r="AF91" s="11"/>
    </row>
    <row r="92" spans="1:32" outlineLevel="1">
      <c r="A92" s="6">
        <v>50025</v>
      </c>
      <c r="B92" s="6" t="s">
        <v>43</v>
      </c>
      <c r="C92" s="7"/>
      <c r="D92" s="3"/>
      <c r="E92" s="8"/>
      <c r="F92" s="9"/>
      <c r="G92" s="10">
        <v>119192.35</v>
      </c>
      <c r="H92" s="9"/>
      <c r="I92" s="10">
        <v>168982.71</v>
      </c>
      <c r="J92" s="9"/>
      <c r="K92" s="10">
        <v>159553.72</v>
      </c>
      <c r="L92" s="9"/>
      <c r="M92" s="10">
        <v>140674.88</v>
      </c>
      <c r="N92" s="9"/>
      <c r="O92" s="10">
        <v>92779.33</v>
      </c>
      <c r="P92" s="9"/>
      <c r="Q92" s="10">
        <v>113184.64</v>
      </c>
      <c r="R92" s="9"/>
      <c r="S92" s="10">
        <v>123903.95</v>
      </c>
      <c r="T92" s="9"/>
      <c r="U92" s="10">
        <v>189575.89</v>
      </c>
      <c r="V92" s="9"/>
      <c r="W92" s="10">
        <v>167145.60999999999</v>
      </c>
      <c r="X92" s="9"/>
      <c r="Y92" s="10">
        <v>187516.61</v>
      </c>
      <c r="Z92" s="9"/>
      <c r="AA92" s="10">
        <v>161462.19</v>
      </c>
      <c r="AB92" s="9"/>
      <c r="AC92" s="10">
        <v>169597.61</v>
      </c>
      <c r="AD92" s="9"/>
      <c r="AE92" s="10">
        <f t="shared" si="6"/>
        <v>1793569.49</v>
      </c>
      <c r="AF92" s="11"/>
    </row>
    <row r="93" spans="1:32" outlineLevel="1">
      <c r="A93" s="6">
        <v>50035</v>
      </c>
      <c r="B93" s="6" t="s">
        <v>44</v>
      </c>
      <c r="C93" s="7"/>
      <c r="D93" s="3"/>
      <c r="E93" s="8"/>
      <c r="F93" s="9"/>
      <c r="G93" s="10">
        <v>5692</v>
      </c>
      <c r="H93" s="9"/>
      <c r="I93" s="10">
        <v>8428.4</v>
      </c>
      <c r="J93" s="9"/>
      <c r="K93" s="10">
        <v>12655.87</v>
      </c>
      <c r="L93" s="9"/>
      <c r="M93" s="10">
        <v>11468.25</v>
      </c>
      <c r="N93" s="9"/>
      <c r="O93" s="10">
        <v>10857.09</v>
      </c>
      <c r="P93" s="9"/>
      <c r="Q93" s="10">
        <v>11505.66</v>
      </c>
      <c r="R93" s="9"/>
      <c r="S93" s="10">
        <v>11313</v>
      </c>
      <c r="T93" s="9"/>
      <c r="U93" s="10">
        <v>5435.25</v>
      </c>
      <c r="V93" s="9"/>
      <c r="W93" s="10">
        <v>6891.75</v>
      </c>
      <c r="X93" s="9"/>
      <c r="Y93" s="10">
        <v>9578.25</v>
      </c>
      <c r="Z93" s="9"/>
      <c r="AA93" s="10">
        <v>9578.25</v>
      </c>
      <c r="AB93" s="9"/>
      <c r="AC93" s="10">
        <v>-1246.5</v>
      </c>
      <c r="AD93" s="9"/>
      <c r="AE93" s="10">
        <f t="shared" si="6"/>
        <v>102157.26999999999</v>
      </c>
      <c r="AF93" s="11"/>
    </row>
    <row r="94" spans="1:32" outlineLevel="1">
      <c r="A94" s="6">
        <v>50036</v>
      </c>
      <c r="B94" s="6" t="s">
        <v>45</v>
      </c>
      <c r="C94" s="7"/>
      <c r="D94" s="3"/>
      <c r="E94" s="8"/>
      <c r="F94" s="9"/>
      <c r="G94" s="10">
        <v>-5282.51</v>
      </c>
      <c r="H94" s="9"/>
      <c r="I94" s="10">
        <v>0</v>
      </c>
      <c r="J94" s="9"/>
      <c r="K94" s="10">
        <v>0</v>
      </c>
      <c r="L94" s="9"/>
      <c r="M94" s="10">
        <v>200</v>
      </c>
      <c r="N94" s="9"/>
      <c r="O94" s="10">
        <v>0</v>
      </c>
      <c r="P94" s="9"/>
      <c r="Q94" s="10">
        <v>0</v>
      </c>
      <c r="R94" s="9"/>
      <c r="S94" s="10">
        <v>1006.54</v>
      </c>
      <c r="T94" s="9"/>
      <c r="U94" s="10">
        <v>0</v>
      </c>
      <c r="V94" s="9"/>
      <c r="W94" s="10">
        <v>0</v>
      </c>
      <c r="X94" s="9"/>
      <c r="Y94" s="10">
        <v>1785.81</v>
      </c>
      <c r="Z94" s="9"/>
      <c r="AA94" s="10">
        <v>0</v>
      </c>
      <c r="AB94" s="9"/>
      <c r="AC94" s="10">
        <v>0</v>
      </c>
      <c r="AD94" s="9"/>
      <c r="AE94" s="10">
        <f t="shared" si="6"/>
        <v>-2290.1600000000003</v>
      </c>
      <c r="AF94" s="11"/>
    </row>
    <row r="95" spans="1:32" outlineLevel="1">
      <c r="A95" s="6">
        <v>50045</v>
      </c>
      <c r="B95" s="6" t="s">
        <v>56</v>
      </c>
      <c r="C95" s="7"/>
      <c r="D95" s="3"/>
      <c r="E95" s="8"/>
      <c r="F95" s="9"/>
      <c r="G95" s="10">
        <v>1970.46</v>
      </c>
      <c r="H95" s="9"/>
      <c r="I95" s="10">
        <v>1164.2</v>
      </c>
      <c r="J95" s="9"/>
      <c r="K95" s="10">
        <v>0</v>
      </c>
      <c r="L95" s="9"/>
      <c r="M95" s="10">
        <v>7743.72</v>
      </c>
      <c r="N95" s="9"/>
      <c r="O95" s="10">
        <v>557.08000000000004</v>
      </c>
      <c r="P95" s="9"/>
      <c r="Q95" s="10">
        <v>0</v>
      </c>
      <c r="R95" s="9"/>
      <c r="S95" s="10">
        <v>0</v>
      </c>
      <c r="T95" s="9"/>
      <c r="U95" s="10">
        <v>0</v>
      </c>
      <c r="V95" s="9"/>
      <c r="W95" s="10">
        <v>0</v>
      </c>
      <c r="X95" s="9"/>
      <c r="Y95" s="10">
        <v>205.71</v>
      </c>
      <c r="Z95" s="9"/>
      <c r="AA95" s="10">
        <v>5727.49</v>
      </c>
      <c r="AB95" s="9"/>
      <c r="AC95" s="10">
        <v>3459.08</v>
      </c>
      <c r="AD95" s="9"/>
      <c r="AE95" s="10">
        <f t="shared" si="6"/>
        <v>20827.739999999998</v>
      </c>
      <c r="AF95" s="11"/>
    </row>
    <row r="96" spans="1:32" outlineLevel="1">
      <c r="A96" s="6">
        <v>50050</v>
      </c>
      <c r="B96" s="6" t="s">
        <v>190</v>
      </c>
      <c r="C96" s="7"/>
      <c r="D96" s="3"/>
      <c r="E96" s="8"/>
      <c r="F96" s="9"/>
      <c r="G96" s="10">
        <v>42390.61</v>
      </c>
      <c r="H96" s="9"/>
      <c r="I96" s="10">
        <v>47476.17</v>
      </c>
      <c r="J96" s="9"/>
      <c r="K96" s="10">
        <v>46147.72</v>
      </c>
      <c r="L96" s="9"/>
      <c r="M96" s="10">
        <v>50258.02</v>
      </c>
      <c r="N96" s="9"/>
      <c r="O96" s="10">
        <v>42146.36</v>
      </c>
      <c r="P96" s="9"/>
      <c r="Q96" s="10">
        <v>47720.21</v>
      </c>
      <c r="R96" s="9"/>
      <c r="S96" s="10">
        <v>44739.7</v>
      </c>
      <c r="T96" s="9"/>
      <c r="U96" s="10">
        <v>56117.43</v>
      </c>
      <c r="V96" s="9"/>
      <c r="W96" s="10">
        <v>52456.89</v>
      </c>
      <c r="X96" s="9"/>
      <c r="Y96" s="10">
        <v>52956.23</v>
      </c>
      <c r="Z96" s="9"/>
      <c r="AA96" s="10">
        <v>53920.88</v>
      </c>
      <c r="AB96" s="9"/>
      <c r="AC96" s="10">
        <v>50014.63</v>
      </c>
      <c r="AD96" s="9"/>
      <c r="AE96" s="10">
        <f t="shared" si="6"/>
        <v>586344.85000000009</v>
      </c>
      <c r="AF96" s="11"/>
    </row>
    <row r="97" spans="1:32" outlineLevel="1">
      <c r="A97" s="6">
        <v>50060</v>
      </c>
      <c r="B97" s="6" t="s">
        <v>138</v>
      </c>
      <c r="C97" s="7"/>
      <c r="D97" s="3"/>
      <c r="E97" s="8"/>
      <c r="F97" s="9"/>
      <c r="G97" s="10">
        <v>3450.78</v>
      </c>
      <c r="H97" s="9"/>
      <c r="I97" s="10">
        <v>3376.93</v>
      </c>
      <c r="J97" s="9"/>
      <c r="K97" s="10">
        <v>3861.1</v>
      </c>
      <c r="L97" s="9"/>
      <c r="M97" s="10">
        <v>6428.1</v>
      </c>
      <c r="N97" s="9"/>
      <c r="O97" s="10">
        <v>6599.38</v>
      </c>
      <c r="P97" s="9"/>
      <c r="Q97" s="10">
        <v>7711.08</v>
      </c>
      <c r="R97" s="9"/>
      <c r="S97" s="10">
        <v>3442.16</v>
      </c>
      <c r="T97" s="9"/>
      <c r="U97" s="10">
        <v>3186.98</v>
      </c>
      <c r="V97" s="9"/>
      <c r="W97" s="10">
        <v>5589.72</v>
      </c>
      <c r="X97" s="9"/>
      <c r="Y97" s="10">
        <v>3626</v>
      </c>
      <c r="Z97" s="9"/>
      <c r="AA97" s="10">
        <v>3748.48</v>
      </c>
      <c r="AB97" s="9"/>
      <c r="AC97" s="10">
        <v>4718.8999999999996</v>
      </c>
      <c r="AD97" s="9"/>
      <c r="AE97" s="10">
        <f t="shared" si="6"/>
        <v>55739.609999999993</v>
      </c>
      <c r="AF97" s="11"/>
    </row>
    <row r="98" spans="1:32" outlineLevel="1">
      <c r="A98" s="6">
        <v>50065</v>
      </c>
      <c r="B98" s="6" t="s">
        <v>39</v>
      </c>
      <c r="C98" s="7"/>
      <c r="D98" s="3"/>
      <c r="E98" s="8"/>
      <c r="F98" s="9"/>
      <c r="G98" s="10">
        <v>22123.45</v>
      </c>
      <c r="H98" s="9"/>
      <c r="I98" s="10">
        <v>20518.5</v>
      </c>
      <c r="J98" s="9"/>
      <c r="K98" s="10">
        <v>23112.82</v>
      </c>
      <c r="L98" s="9"/>
      <c r="M98" s="10">
        <v>21176.36</v>
      </c>
      <c r="N98" s="9"/>
      <c r="O98" s="10">
        <v>19011.580000000002</v>
      </c>
      <c r="P98" s="9"/>
      <c r="Q98" s="10">
        <v>22155.14</v>
      </c>
      <c r="R98" s="9"/>
      <c r="S98" s="10">
        <v>16582.82</v>
      </c>
      <c r="T98" s="9"/>
      <c r="U98" s="10">
        <v>23830.7</v>
      </c>
      <c r="V98" s="9"/>
      <c r="W98" s="10">
        <v>25102.32</v>
      </c>
      <c r="X98" s="9"/>
      <c r="Y98" s="10">
        <v>20727.86</v>
      </c>
      <c r="Z98" s="9"/>
      <c r="AA98" s="10">
        <v>21385.32</v>
      </c>
      <c r="AB98" s="9"/>
      <c r="AC98" s="10">
        <v>20861.96</v>
      </c>
      <c r="AD98" s="9"/>
      <c r="AE98" s="10">
        <f t="shared" si="6"/>
        <v>256588.83000000002</v>
      </c>
      <c r="AF98" s="11"/>
    </row>
    <row r="99" spans="1:32" outlineLevel="1">
      <c r="A99" s="6">
        <v>50070</v>
      </c>
      <c r="B99" s="6" t="s">
        <v>40</v>
      </c>
      <c r="C99" s="7"/>
      <c r="D99" s="3"/>
      <c r="E99" s="8"/>
      <c r="F99" s="9"/>
      <c r="G99" s="10">
        <v>-632.62</v>
      </c>
      <c r="H99" s="9"/>
      <c r="I99" s="10">
        <v>0</v>
      </c>
      <c r="J99" s="9"/>
      <c r="K99" s="10">
        <v>1165.48</v>
      </c>
      <c r="L99" s="9"/>
      <c r="M99" s="10">
        <v>2584</v>
      </c>
      <c r="N99" s="9"/>
      <c r="O99" s="10">
        <v>-813.49</v>
      </c>
      <c r="P99" s="9"/>
      <c r="Q99" s="10">
        <v>338.93</v>
      </c>
      <c r="R99" s="9"/>
      <c r="S99" s="10">
        <v>-147.36000000000001</v>
      </c>
      <c r="T99" s="9"/>
      <c r="U99" s="10">
        <v>108</v>
      </c>
      <c r="V99" s="9"/>
      <c r="W99" s="10">
        <v>0</v>
      </c>
      <c r="X99" s="9"/>
      <c r="Y99" s="10">
        <v>0</v>
      </c>
      <c r="Z99" s="9"/>
      <c r="AA99" s="10">
        <v>287.55</v>
      </c>
      <c r="AB99" s="9"/>
      <c r="AC99" s="10">
        <v>77.03</v>
      </c>
      <c r="AD99" s="9"/>
      <c r="AE99" s="10">
        <f t="shared" si="6"/>
        <v>2967.52</v>
      </c>
      <c r="AF99" s="11"/>
    </row>
    <row r="100" spans="1:32" outlineLevel="1">
      <c r="A100" s="6">
        <v>50086</v>
      </c>
      <c r="B100" s="6" t="s">
        <v>263</v>
      </c>
      <c r="C100" s="7"/>
      <c r="D100" s="3"/>
      <c r="E100" s="8"/>
      <c r="F100" s="9"/>
      <c r="G100" s="10">
        <v>4347.1099999999997</v>
      </c>
      <c r="H100" s="9"/>
      <c r="I100" s="10">
        <v>7364.54</v>
      </c>
      <c r="J100" s="9"/>
      <c r="K100" s="10">
        <v>857.3</v>
      </c>
      <c r="L100" s="9"/>
      <c r="M100" s="10">
        <v>5458.69</v>
      </c>
      <c r="N100" s="9"/>
      <c r="O100" s="10">
        <v>3532.5</v>
      </c>
      <c r="P100" s="9"/>
      <c r="Q100" s="10">
        <v>8632.57</v>
      </c>
      <c r="R100" s="9"/>
      <c r="S100" s="10">
        <v>5498.45</v>
      </c>
      <c r="T100" s="9"/>
      <c r="U100" s="10">
        <v>4685.53</v>
      </c>
      <c r="V100" s="9"/>
      <c r="W100" s="10">
        <v>14059.26</v>
      </c>
      <c r="X100" s="9"/>
      <c r="Y100" s="10">
        <v>7800.17</v>
      </c>
      <c r="Z100" s="9"/>
      <c r="AA100" s="10">
        <v>9222.27</v>
      </c>
      <c r="AB100" s="9"/>
      <c r="AC100" s="10">
        <v>8379.84</v>
      </c>
      <c r="AD100" s="9"/>
      <c r="AE100" s="10">
        <f t="shared" si="6"/>
        <v>79838.23</v>
      </c>
      <c r="AF100" s="11"/>
    </row>
    <row r="101" spans="1:32" outlineLevel="1">
      <c r="A101" s="6">
        <v>50087</v>
      </c>
      <c r="B101" s="6" t="s">
        <v>264</v>
      </c>
      <c r="C101" s="7"/>
      <c r="D101" s="3"/>
      <c r="E101" s="8"/>
      <c r="F101" s="9"/>
      <c r="G101" s="10">
        <v>0</v>
      </c>
      <c r="H101" s="9"/>
      <c r="I101" s="10">
        <v>0</v>
      </c>
      <c r="J101" s="9"/>
      <c r="K101" s="10">
        <v>0</v>
      </c>
      <c r="L101" s="9"/>
      <c r="M101" s="10">
        <v>0</v>
      </c>
      <c r="N101" s="9"/>
      <c r="O101" s="10">
        <v>190</v>
      </c>
      <c r="P101" s="9"/>
      <c r="Q101" s="10">
        <v>0</v>
      </c>
      <c r="R101" s="9"/>
      <c r="S101" s="10">
        <v>0</v>
      </c>
      <c r="T101" s="9"/>
      <c r="U101" s="10">
        <v>0</v>
      </c>
      <c r="V101" s="9"/>
      <c r="W101" s="10">
        <v>0</v>
      </c>
      <c r="X101" s="9"/>
      <c r="Y101" s="10">
        <v>0</v>
      </c>
      <c r="Z101" s="9"/>
      <c r="AA101" s="10">
        <v>0</v>
      </c>
      <c r="AB101" s="9"/>
      <c r="AC101" s="10">
        <v>0</v>
      </c>
      <c r="AD101" s="9"/>
      <c r="AE101" s="10">
        <f t="shared" si="6"/>
        <v>190</v>
      </c>
      <c r="AF101" s="11"/>
    </row>
    <row r="102" spans="1:32" outlineLevel="1">
      <c r="A102" s="6">
        <v>50090</v>
      </c>
      <c r="B102" s="6" t="s">
        <v>57</v>
      </c>
      <c r="C102" s="7"/>
      <c r="D102" s="3"/>
      <c r="E102" s="8"/>
      <c r="F102" s="9"/>
      <c r="G102" s="10">
        <v>12056.72</v>
      </c>
      <c r="H102" s="9"/>
      <c r="I102" s="10">
        <v>11797.37</v>
      </c>
      <c r="J102" s="9"/>
      <c r="K102" s="10">
        <v>15607.16</v>
      </c>
      <c r="L102" s="9"/>
      <c r="M102" s="10">
        <v>11739.48</v>
      </c>
      <c r="N102" s="9"/>
      <c r="O102" s="10">
        <v>9136.2099999999991</v>
      </c>
      <c r="P102" s="9"/>
      <c r="Q102" s="10">
        <v>10327.24</v>
      </c>
      <c r="R102" s="9"/>
      <c r="S102" s="10">
        <v>10795.14</v>
      </c>
      <c r="T102" s="9"/>
      <c r="U102" s="10">
        <v>11750.55</v>
      </c>
      <c r="V102" s="9"/>
      <c r="W102" s="10">
        <v>6504.21</v>
      </c>
      <c r="X102" s="9"/>
      <c r="Y102" s="10">
        <v>11167.66</v>
      </c>
      <c r="Z102" s="9"/>
      <c r="AA102" s="10">
        <v>22338.240000000002</v>
      </c>
      <c r="AB102" s="9"/>
      <c r="AC102" s="10">
        <v>8761.98</v>
      </c>
      <c r="AD102" s="9"/>
      <c r="AE102" s="10">
        <f t="shared" si="6"/>
        <v>141981.96</v>
      </c>
      <c r="AF102" s="11"/>
    </row>
    <row r="103" spans="1:32" outlineLevel="1">
      <c r="A103" s="6">
        <v>50115</v>
      </c>
      <c r="B103" s="6" t="s">
        <v>265</v>
      </c>
      <c r="C103" s="7"/>
      <c r="D103" s="3"/>
      <c r="E103" s="8"/>
      <c r="F103" s="9"/>
      <c r="G103" s="10">
        <v>271.82</v>
      </c>
      <c r="H103" s="9"/>
      <c r="I103" s="10">
        <v>367.08</v>
      </c>
      <c r="J103" s="9"/>
      <c r="K103" s="10">
        <v>269.14999999999998</v>
      </c>
      <c r="L103" s="9"/>
      <c r="M103" s="10">
        <v>206.08</v>
      </c>
      <c r="N103" s="9"/>
      <c r="O103" s="10">
        <v>237.68</v>
      </c>
      <c r="P103" s="9"/>
      <c r="Q103" s="10">
        <v>240.6</v>
      </c>
      <c r="R103" s="9"/>
      <c r="S103" s="10">
        <v>236.78</v>
      </c>
      <c r="T103" s="9"/>
      <c r="U103" s="10">
        <v>390.11</v>
      </c>
      <c r="V103" s="9"/>
      <c r="W103" s="10">
        <v>225.29</v>
      </c>
      <c r="X103" s="9"/>
      <c r="Y103" s="10">
        <v>250.79</v>
      </c>
      <c r="Z103" s="9"/>
      <c r="AA103" s="10">
        <v>164.97</v>
      </c>
      <c r="AB103" s="9"/>
      <c r="AC103" s="10">
        <v>178.75</v>
      </c>
      <c r="AD103" s="9"/>
      <c r="AE103" s="10">
        <f t="shared" si="6"/>
        <v>3039.1</v>
      </c>
      <c r="AF103" s="11"/>
    </row>
    <row r="104" spans="1:32" outlineLevel="1">
      <c r="A104" s="6">
        <v>50116</v>
      </c>
      <c r="B104" s="6" t="s">
        <v>266</v>
      </c>
      <c r="C104" s="7"/>
      <c r="D104" s="3"/>
      <c r="E104" s="8"/>
      <c r="F104" s="9"/>
      <c r="G104" s="10">
        <v>157917.57999999999</v>
      </c>
      <c r="H104" s="9"/>
      <c r="I104" s="10">
        <v>164918.06</v>
      </c>
      <c r="J104" s="9"/>
      <c r="K104" s="10">
        <v>159808.41</v>
      </c>
      <c r="L104" s="9"/>
      <c r="M104" s="10">
        <v>178255.54</v>
      </c>
      <c r="N104" s="9"/>
      <c r="O104" s="10">
        <v>172995.52</v>
      </c>
      <c r="P104" s="9"/>
      <c r="Q104" s="10">
        <v>174606.41</v>
      </c>
      <c r="R104" s="9"/>
      <c r="S104" s="10">
        <v>174506.42</v>
      </c>
      <c r="T104" s="9"/>
      <c r="U104" s="10">
        <v>171259.02</v>
      </c>
      <c r="V104" s="9"/>
      <c r="W104" s="10">
        <v>178375.33</v>
      </c>
      <c r="X104" s="9"/>
      <c r="Y104" s="10">
        <v>180369.83</v>
      </c>
      <c r="Z104" s="9"/>
      <c r="AA104" s="10">
        <v>176643.48</v>
      </c>
      <c r="AB104" s="9"/>
      <c r="AC104" s="10">
        <v>186425.13</v>
      </c>
      <c r="AD104" s="9"/>
      <c r="AE104" s="10">
        <f t="shared" si="6"/>
        <v>2076080.73</v>
      </c>
      <c r="AF104" s="11"/>
    </row>
    <row r="105" spans="1:32" outlineLevel="1">
      <c r="A105" s="6">
        <v>50117</v>
      </c>
      <c r="B105" s="6" t="s">
        <v>267</v>
      </c>
      <c r="C105" s="7"/>
      <c r="D105" s="3"/>
      <c r="E105" s="8"/>
      <c r="F105" s="9"/>
      <c r="G105" s="10">
        <v>57750.21</v>
      </c>
      <c r="H105" s="9"/>
      <c r="I105" s="10">
        <v>57854.400000000001</v>
      </c>
      <c r="J105" s="9"/>
      <c r="K105" s="10">
        <v>30626.32</v>
      </c>
      <c r="L105" s="9"/>
      <c r="M105" s="10">
        <v>54044.89</v>
      </c>
      <c r="N105" s="9"/>
      <c r="O105" s="10">
        <v>57112.7</v>
      </c>
      <c r="P105" s="9"/>
      <c r="Q105" s="10">
        <v>59680.43</v>
      </c>
      <c r="R105" s="9"/>
      <c r="S105" s="10">
        <v>57940.39</v>
      </c>
      <c r="T105" s="9"/>
      <c r="U105" s="10">
        <v>59374.43</v>
      </c>
      <c r="V105" s="9"/>
      <c r="W105" s="10">
        <v>59004.24</v>
      </c>
      <c r="X105" s="9"/>
      <c r="Y105" s="10">
        <v>59410.52</v>
      </c>
      <c r="Z105" s="9"/>
      <c r="AA105" s="10">
        <v>61484.53</v>
      </c>
      <c r="AB105" s="9"/>
      <c r="AC105" s="10">
        <v>63542.61</v>
      </c>
      <c r="AD105" s="9"/>
      <c r="AE105" s="10">
        <f t="shared" si="6"/>
        <v>677825.66999999993</v>
      </c>
      <c r="AF105" s="11"/>
    </row>
    <row r="106" spans="1:32" s="8" customFormat="1" ht="5.0999999999999996" customHeight="1" outlineLevel="1">
      <c r="A106" s="7"/>
      <c r="B106" s="7"/>
      <c r="C106" s="7"/>
      <c r="D106" s="7"/>
      <c r="G106" s="38"/>
      <c r="H106" s="36"/>
      <c r="I106" s="38"/>
      <c r="J106" s="36"/>
      <c r="K106" s="38"/>
      <c r="L106" s="36"/>
      <c r="M106" s="38"/>
      <c r="N106" s="36"/>
      <c r="O106" s="38"/>
      <c r="P106" s="36"/>
      <c r="Q106" s="38"/>
      <c r="R106" s="36"/>
      <c r="S106" s="38"/>
      <c r="T106" s="36"/>
      <c r="U106" s="38"/>
      <c r="V106" s="36"/>
      <c r="W106" s="38"/>
      <c r="X106" s="36"/>
      <c r="Y106" s="38"/>
      <c r="Z106" s="36"/>
      <c r="AA106" s="38"/>
      <c r="AB106" s="36"/>
      <c r="AC106" s="38"/>
      <c r="AD106" s="36"/>
      <c r="AE106" s="38"/>
      <c r="AF106" s="16"/>
    </row>
    <row r="107" spans="1:32" s="8" customFormat="1" ht="15">
      <c r="C107" s="7" t="s">
        <v>268</v>
      </c>
      <c r="G107" s="35">
        <f>SUM(G90:G106)</f>
        <v>806783.12999999989</v>
      </c>
      <c r="H107" s="36"/>
      <c r="I107" s="35">
        <f>SUM(I90:I106)</f>
        <v>904521.84</v>
      </c>
      <c r="J107" s="36"/>
      <c r="K107" s="35">
        <f>SUM(K90:K106)</f>
        <v>837624.54999999993</v>
      </c>
      <c r="L107" s="36"/>
      <c r="M107" s="35">
        <f>SUM(M90:M106)</f>
        <v>844851.7699999999</v>
      </c>
      <c r="N107" s="36"/>
      <c r="O107" s="35">
        <f>SUM(O90:O106)</f>
        <v>805212.14</v>
      </c>
      <c r="P107" s="36"/>
      <c r="Q107" s="35">
        <f>SUM(Q90:Q106)</f>
        <v>893320.59</v>
      </c>
      <c r="R107" s="36"/>
      <c r="S107" s="35">
        <f>SUM(S90:S106)</f>
        <v>837806.42</v>
      </c>
      <c r="T107" s="36"/>
      <c r="U107" s="35">
        <f>SUM(U90:U106)</f>
        <v>968340.46000000008</v>
      </c>
      <c r="V107" s="36"/>
      <c r="W107" s="35">
        <f>SUM(W90:W106)</f>
        <v>944145.78999999992</v>
      </c>
      <c r="X107" s="36"/>
      <c r="Y107" s="35">
        <f>SUM(Y90:Y106)</f>
        <v>942537.77</v>
      </c>
      <c r="Z107" s="36"/>
      <c r="AA107" s="35">
        <f>SUM(AA90:AA106)</f>
        <v>982661.22</v>
      </c>
      <c r="AB107" s="36"/>
      <c r="AC107" s="35">
        <f>SUM(AC90:AC106)</f>
        <v>918076.5199999999</v>
      </c>
      <c r="AD107" s="36"/>
      <c r="AE107" s="35">
        <f>SUM(AE90:AE106)</f>
        <v>10685882.200000001</v>
      </c>
      <c r="AF107" s="16"/>
    </row>
    <row r="108" spans="1:32" s="8" customFormat="1" ht="15" outlineLevel="1">
      <c r="G108" s="37"/>
      <c r="H108" s="36"/>
      <c r="I108" s="37"/>
      <c r="J108" s="36"/>
      <c r="K108" s="37"/>
      <c r="L108" s="36"/>
      <c r="M108" s="37"/>
      <c r="N108" s="36"/>
      <c r="O108" s="37"/>
      <c r="P108" s="36"/>
      <c r="Q108" s="37"/>
      <c r="R108" s="36"/>
      <c r="S108" s="37"/>
      <c r="T108" s="36"/>
      <c r="U108" s="37"/>
      <c r="V108" s="36"/>
      <c r="W108" s="37"/>
      <c r="X108" s="36"/>
      <c r="Y108" s="37"/>
      <c r="Z108" s="36"/>
      <c r="AA108" s="37"/>
      <c r="AB108" s="36"/>
      <c r="AC108" s="37"/>
      <c r="AD108" s="36"/>
      <c r="AE108" s="37"/>
      <c r="AF108" s="16"/>
    </row>
    <row r="109" spans="1:32" outlineLevel="1">
      <c r="A109" s="6">
        <v>51295</v>
      </c>
      <c r="B109" s="6" t="s">
        <v>188</v>
      </c>
      <c r="C109" s="7"/>
      <c r="D109" s="3"/>
      <c r="E109" s="8"/>
      <c r="F109" s="9"/>
      <c r="G109" s="10">
        <v>11644.82</v>
      </c>
      <c r="H109" s="9"/>
      <c r="I109" s="10">
        <v>10979.23</v>
      </c>
      <c r="J109" s="9"/>
      <c r="K109" s="10">
        <v>11964.14</v>
      </c>
      <c r="L109" s="9"/>
      <c r="M109" s="10">
        <v>10892.69</v>
      </c>
      <c r="N109" s="9"/>
      <c r="O109" s="10">
        <v>10878.8</v>
      </c>
      <c r="P109" s="9"/>
      <c r="Q109" s="10">
        <v>11196.05</v>
      </c>
      <c r="R109" s="9"/>
      <c r="S109" s="10">
        <v>11060.19</v>
      </c>
      <c r="T109" s="9"/>
      <c r="U109" s="10">
        <v>11154.6</v>
      </c>
      <c r="V109" s="9"/>
      <c r="W109" s="10">
        <v>11403.69</v>
      </c>
      <c r="X109" s="9"/>
      <c r="Y109" s="10">
        <v>11206.84</v>
      </c>
      <c r="Z109" s="9"/>
      <c r="AA109" s="10">
        <v>11037.68</v>
      </c>
      <c r="AB109" s="9"/>
      <c r="AC109" s="10">
        <v>11263.05</v>
      </c>
      <c r="AD109" s="9"/>
      <c r="AE109" s="10">
        <f>AC109+AA109+Y109+W109+U109+S109+Q109+O109+M109+K109+I109+G109</f>
        <v>134681.78</v>
      </c>
      <c r="AF109" s="11"/>
    </row>
    <row r="110" spans="1:32" s="8" customFormat="1" ht="5.0999999999999996" customHeight="1" outlineLevel="1">
      <c r="A110" s="7"/>
      <c r="B110" s="7"/>
      <c r="C110" s="7"/>
      <c r="D110" s="7"/>
      <c r="G110" s="38"/>
      <c r="H110" s="36"/>
      <c r="I110" s="38"/>
      <c r="J110" s="36"/>
      <c r="K110" s="38"/>
      <c r="L110" s="36"/>
      <c r="M110" s="38"/>
      <c r="N110" s="36"/>
      <c r="O110" s="38"/>
      <c r="P110" s="36"/>
      <c r="Q110" s="38"/>
      <c r="R110" s="36"/>
      <c r="S110" s="38"/>
      <c r="T110" s="36"/>
      <c r="U110" s="38"/>
      <c r="V110" s="36"/>
      <c r="W110" s="38"/>
      <c r="X110" s="36"/>
      <c r="Y110" s="38"/>
      <c r="Z110" s="36"/>
      <c r="AA110" s="38"/>
      <c r="AB110" s="36"/>
      <c r="AC110" s="38"/>
      <c r="AD110" s="36"/>
      <c r="AE110" s="38"/>
      <c r="AF110" s="16"/>
    </row>
    <row r="111" spans="1:32" s="8" customFormat="1" ht="15">
      <c r="C111" s="7" t="s">
        <v>269</v>
      </c>
      <c r="G111" s="35">
        <f>SUM(G109:G110)</f>
        <v>11644.82</v>
      </c>
      <c r="H111" s="36"/>
      <c r="I111" s="35">
        <f>SUM(I109:I110)</f>
        <v>10979.23</v>
      </c>
      <c r="J111" s="36"/>
      <c r="K111" s="35">
        <f>SUM(K109:K110)</f>
        <v>11964.14</v>
      </c>
      <c r="L111" s="36"/>
      <c r="M111" s="35">
        <f>SUM(M109:M110)</f>
        <v>10892.69</v>
      </c>
      <c r="N111" s="36"/>
      <c r="O111" s="35">
        <f>SUM(O109:O110)</f>
        <v>10878.8</v>
      </c>
      <c r="P111" s="36"/>
      <c r="Q111" s="35">
        <f>SUM(Q109:Q110)</f>
        <v>11196.05</v>
      </c>
      <c r="R111" s="36"/>
      <c r="S111" s="35">
        <f>SUM(S109:S110)</f>
        <v>11060.19</v>
      </c>
      <c r="T111" s="36"/>
      <c r="U111" s="35">
        <f>SUM(U109:U110)</f>
        <v>11154.6</v>
      </c>
      <c r="V111" s="36"/>
      <c r="W111" s="35">
        <f>SUM(W109:W110)</f>
        <v>11403.69</v>
      </c>
      <c r="X111" s="36"/>
      <c r="Y111" s="35">
        <f>SUM(Y109:Y110)</f>
        <v>11206.84</v>
      </c>
      <c r="Z111" s="36"/>
      <c r="AA111" s="35">
        <f>SUM(AA109:AA110)</f>
        <v>11037.68</v>
      </c>
      <c r="AB111" s="36"/>
      <c r="AC111" s="35">
        <f>SUM(AC109:AC110)</f>
        <v>11263.05</v>
      </c>
      <c r="AD111" s="36"/>
      <c r="AE111" s="35">
        <f>SUM(AE109:AE110)</f>
        <v>134681.78</v>
      </c>
      <c r="AF111" s="16"/>
    </row>
    <row r="112" spans="1:32" s="8" customFormat="1" ht="15" outlineLevel="1">
      <c r="G112" s="37"/>
      <c r="H112" s="36"/>
      <c r="I112" s="37"/>
      <c r="J112" s="36"/>
      <c r="K112" s="37"/>
      <c r="L112" s="36"/>
      <c r="M112" s="37"/>
      <c r="N112" s="36"/>
      <c r="O112" s="37"/>
      <c r="P112" s="36"/>
      <c r="Q112" s="37"/>
      <c r="R112" s="36"/>
      <c r="S112" s="37"/>
      <c r="T112" s="36"/>
      <c r="U112" s="37"/>
      <c r="V112" s="36"/>
      <c r="W112" s="37"/>
      <c r="X112" s="36"/>
      <c r="Y112" s="37"/>
      <c r="Z112" s="36"/>
      <c r="AA112" s="37"/>
      <c r="AB112" s="36"/>
      <c r="AC112" s="37"/>
      <c r="AD112" s="36"/>
      <c r="AE112" s="37"/>
      <c r="AF112" s="16"/>
    </row>
    <row r="113" spans="1:32" s="8" customFormat="1" ht="15" outlineLevel="1">
      <c r="G113" s="37"/>
      <c r="H113" s="36"/>
      <c r="I113" s="37"/>
      <c r="J113" s="36"/>
      <c r="K113" s="37"/>
      <c r="L113" s="36"/>
      <c r="M113" s="37"/>
      <c r="N113" s="36"/>
      <c r="O113" s="37"/>
      <c r="P113" s="36"/>
      <c r="Q113" s="37"/>
      <c r="R113" s="36"/>
      <c r="S113" s="37"/>
      <c r="T113" s="36"/>
      <c r="U113" s="37"/>
      <c r="V113" s="36"/>
      <c r="W113" s="37"/>
      <c r="X113" s="36"/>
      <c r="Y113" s="37"/>
      <c r="Z113" s="36"/>
      <c r="AA113" s="37"/>
      <c r="AB113" s="36"/>
      <c r="AC113" s="37"/>
      <c r="AD113" s="36"/>
      <c r="AE113" s="37"/>
      <c r="AF113" s="16"/>
    </row>
    <row r="114" spans="1:32" outlineLevel="1">
      <c r="A114" s="6">
        <v>52010</v>
      </c>
      <c r="B114" s="6" t="s">
        <v>33</v>
      </c>
      <c r="C114" s="7"/>
      <c r="D114" s="3"/>
      <c r="E114" s="8"/>
      <c r="F114" s="9"/>
      <c r="G114" s="10">
        <v>14638.14</v>
      </c>
      <c r="H114" s="9"/>
      <c r="I114" s="10">
        <v>15405.67</v>
      </c>
      <c r="J114" s="9"/>
      <c r="K114" s="10">
        <v>14704.29</v>
      </c>
      <c r="L114" s="9"/>
      <c r="M114" s="10">
        <v>16393.64</v>
      </c>
      <c r="N114" s="9"/>
      <c r="O114" s="10">
        <v>14018.34</v>
      </c>
      <c r="P114" s="9"/>
      <c r="Q114" s="10">
        <v>17044.62</v>
      </c>
      <c r="R114" s="9"/>
      <c r="S114" s="10">
        <v>16150.76</v>
      </c>
      <c r="T114" s="9"/>
      <c r="U114" s="10">
        <v>15505.94</v>
      </c>
      <c r="V114" s="9"/>
      <c r="W114" s="10">
        <v>18245.54</v>
      </c>
      <c r="X114" s="9"/>
      <c r="Y114" s="10">
        <v>14417.82</v>
      </c>
      <c r="Z114" s="9"/>
      <c r="AA114" s="10">
        <v>16464.22</v>
      </c>
      <c r="AB114" s="9"/>
      <c r="AC114" s="10">
        <v>18254.89</v>
      </c>
      <c r="AD114" s="9"/>
      <c r="AE114" s="10">
        <f t="shared" ref="AE114:AE144" si="7">AC114+AA114+Y114+W114+U114+S114+Q114+O114+M114+K114+I114+G114</f>
        <v>191243.87</v>
      </c>
      <c r="AF114" s="11"/>
    </row>
    <row r="115" spans="1:32" outlineLevel="1">
      <c r="A115" s="6">
        <v>52020</v>
      </c>
      <c r="B115" s="6" t="s">
        <v>42</v>
      </c>
      <c r="C115" s="7"/>
      <c r="D115" s="3"/>
      <c r="E115" s="8"/>
      <c r="F115" s="9"/>
      <c r="G115" s="10">
        <v>59272.46</v>
      </c>
      <c r="H115" s="9"/>
      <c r="I115" s="10">
        <v>59233.57</v>
      </c>
      <c r="J115" s="9"/>
      <c r="K115" s="10">
        <v>65162.27</v>
      </c>
      <c r="L115" s="9"/>
      <c r="M115" s="10">
        <v>60369.73</v>
      </c>
      <c r="N115" s="9"/>
      <c r="O115" s="10">
        <v>56679.8</v>
      </c>
      <c r="P115" s="9"/>
      <c r="Q115" s="10">
        <v>65922.91</v>
      </c>
      <c r="R115" s="9"/>
      <c r="S115" s="10">
        <v>56255.13</v>
      </c>
      <c r="T115" s="9"/>
      <c r="U115" s="10">
        <v>65133.58</v>
      </c>
      <c r="V115" s="9"/>
      <c r="W115" s="10">
        <v>62993.73</v>
      </c>
      <c r="X115" s="9"/>
      <c r="Y115" s="10">
        <v>57471.49</v>
      </c>
      <c r="Z115" s="9"/>
      <c r="AA115" s="10">
        <v>58931.8</v>
      </c>
      <c r="AB115" s="9"/>
      <c r="AC115" s="10">
        <v>59576.85</v>
      </c>
      <c r="AD115" s="9"/>
      <c r="AE115" s="10">
        <f t="shared" si="7"/>
        <v>727003.32</v>
      </c>
      <c r="AF115" s="11"/>
    </row>
    <row r="116" spans="1:32" outlineLevel="1">
      <c r="A116" s="6">
        <v>52025</v>
      </c>
      <c r="B116" s="6" t="s">
        <v>43</v>
      </c>
      <c r="C116" s="7"/>
      <c r="D116" s="3"/>
      <c r="E116" s="8"/>
      <c r="F116" s="9"/>
      <c r="G116" s="10">
        <v>5962.93</v>
      </c>
      <c r="H116" s="9"/>
      <c r="I116" s="10">
        <v>11377.08</v>
      </c>
      <c r="J116" s="9"/>
      <c r="K116" s="10">
        <v>10751.14</v>
      </c>
      <c r="L116" s="9"/>
      <c r="M116" s="10">
        <v>10412.74</v>
      </c>
      <c r="N116" s="9"/>
      <c r="O116" s="10">
        <v>9370.83</v>
      </c>
      <c r="P116" s="9"/>
      <c r="Q116" s="10">
        <v>6953.22</v>
      </c>
      <c r="R116" s="9"/>
      <c r="S116" s="10">
        <v>6547.87</v>
      </c>
      <c r="T116" s="9"/>
      <c r="U116" s="10">
        <v>15324.41</v>
      </c>
      <c r="V116" s="9"/>
      <c r="W116" s="10">
        <v>9529.69</v>
      </c>
      <c r="X116" s="9"/>
      <c r="Y116" s="10">
        <v>12992.56</v>
      </c>
      <c r="Z116" s="9"/>
      <c r="AA116" s="10">
        <v>7126.34</v>
      </c>
      <c r="AB116" s="9"/>
      <c r="AC116" s="10">
        <v>9176.99</v>
      </c>
      <c r="AD116" s="9"/>
      <c r="AE116" s="10">
        <f t="shared" si="7"/>
        <v>115525.80000000002</v>
      </c>
      <c r="AF116" s="11"/>
    </row>
    <row r="117" spans="1:32" outlineLevel="1">
      <c r="A117" s="6">
        <v>52035</v>
      </c>
      <c r="B117" s="6" t="s">
        <v>44</v>
      </c>
      <c r="C117" s="7"/>
      <c r="D117" s="3"/>
      <c r="E117" s="8"/>
      <c r="F117" s="9"/>
      <c r="G117" s="10">
        <v>2802.43</v>
      </c>
      <c r="H117" s="9"/>
      <c r="I117" s="10">
        <v>2776.26</v>
      </c>
      <c r="J117" s="9"/>
      <c r="K117" s="10">
        <v>1905.34</v>
      </c>
      <c r="L117" s="9"/>
      <c r="M117" s="10">
        <v>2769.15</v>
      </c>
      <c r="N117" s="9"/>
      <c r="O117" s="10">
        <v>2416.83</v>
      </c>
      <c r="P117" s="9"/>
      <c r="Q117" s="10">
        <v>3300.58</v>
      </c>
      <c r="R117" s="9"/>
      <c r="S117" s="10">
        <v>2593.58</v>
      </c>
      <c r="T117" s="9"/>
      <c r="U117" s="10">
        <v>2616.96</v>
      </c>
      <c r="V117" s="9"/>
      <c r="W117" s="10">
        <v>-1449.08</v>
      </c>
      <c r="X117" s="9"/>
      <c r="Y117" s="10">
        <v>2091.17</v>
      </c>
      <c r="Z117" s="9"/>
      <c r="AA117" s="10">
        <v>2091.17</v>
      </c>
      <c r="AB117" s="9"/>
      <c r="AC117" s="10">
        <v>7268.43</v>
      </c>
      <c r="AD117" s="9"/>
      <c r="AE117" s="10">
        <f t="shared" si="7"/>
        <v>31182.82</v>
      </c>
      <c r="AF117" s="11"/>
    </row>
    <row r="118" spans="1:32" outlineLevel="1">
      <c r="A118" s="6">
        <v>52036</v>
      </c>
      <c r="B118" s="6" t="s">
        <v>45</v>
      </c>
      <c r="C118" s="7"/>
      <c r="D118" s="3"/>
      <c r="E118" s="8"/>
      <c r="F118" s="9"/>
      <c r="G118" s="10">
        <v>0</v>
      </c>
      <c r="H118" s="9"/>
      <c r="I118" s="10">
        <v>0</v>
      </c>
      <c r="J118" s="9"/>
      <c r="K118" s="10">
        <v>0</v>
      </c>
      <c r="L118" s="9"/>
      <c r="M118" s="10">
        <v>0</v>
      </c>
      <c r="N118" s="9"/>
      <c r="O118" s="10">
        <v>0</v>
      </c>
      <c r="P118" s="9"/>
      <c r="Q118" s="10">
        <v>0</v>
      </c>
      <c r="R118" s="9"/>
      <c r="S118" s="10">
        <v>351.47</v>
      </c>
      <c r="T118" s="9"/>
      <c r="U118" s="10">
        <v>0</v>
      </c>
      <c r="V118" s="9"/>
      <c r="W118" s="10">
        <v>0</v>
      </c>
      <c r="X118" s="9"/>
      <c r="Y118" s="10">
        <v>0</v>
      </c>
      <c r="Z118" s="9"/>
      <c r="AA118" s="10">
        <v>0</v>
      </c>
      <c r="AB118" s="9"/>
      <c r="AC118" s="10">
        <v>0</v>
      </c>
      <c r="AD118" s="9"/>
      <c r="AE118" s="10">
        <f t="shared" si="7"/>
        <v>351.47</v>
      </c>
      <c r="AF118" s="11"/>
    </row>
    <row r="119" spans="1:32" outlineLevel="1">
      <c r="A119" s="6">
        <v>52050</v>
      </c>
      <c r="B119" s="6" t="s">
        <v>190</v>
      </c>
      <c r="C119" s="7"/>
      <c r="D119" s="3"/>
      <c r="E119" s="8"/>
      <c r="F119" s="9"/>
      <c r="G119" s="10">
        <v>6500.18</v>
      </c>
      <c r="H119" s="9"/>
      <c r="I119" s="10">
        <v>7180.19</v>
      </c>
      <c r="J119" s="9"/>
      <c r="K119" s="10">
        <v>6981.63</v>
      </c>
      <c r="L119" s="9"/>
      <c r="M119" s="10">
        <v>8128.21</v>
      </c>
      <c r="N119" s="9"/>
      <c r="O119" s="10">
        <v>6644.7</v>
      </c>
      <c r="P119" s="9"/>
      <c r="Q119" s="10">
        <v>7358.4</v>
      </c>
      <c r="R119" s="9"/>
      <c r="S119" s="10">
        <v>6475.99</v>
      </c>
      <c r="T119" s="9"/>
      <c r="U119" s="10">
        <v>8028.8</v>
      </c>
      <c r="V119" s="9"/>
      <c r="W119" s="10">
        <v>7385.55</v>
      </c>
      <c r="X119" s="9"/>
      <c r="Y119" s="10">
        <v>7101.87</v>
      </c>
      <c r="Z119" s="9"/>
      <c r="AA119" s="10">
        <v>6980.15</v>
      </c>
      <c r="AB119" s="9"/>
      <c r="AC119" s="10">
        <v>7188.46</v>
      </c>
      <c r="AD119" s="9"/>
      <c r="AE119" s="10">
        <f t="shared" si="7"/>
        <v>85954.13</v>
      </c>
      <c r="AF119" s="11"/>
    </row>
    <row r="120" spans="1:32" outlineLevel="1">
      <c r="A120" s="6">
        <v>52060</v>
      </c>
      <c r="B120" s="6" t="s">
        <v>138</v>
      </c>
      <c r="C120" s="7"/>
      <c r="D120" s="3"/>
      <c r="E120" s="8"/>
      <c r="F120" s="9"/>
      <c r="G120" s="10">
        <v>3166.48</v>
      </c>
      <c r="H120" s="9"/>
      <c r="I120" s="10">
        <v>2749.72</v>
      </c>
      <c r="J120" s="9"/>
      <c r="K120" s="10">
        <v>3090.88</v>
      </c>
      <c r="L120" s="9"/>
      <c r="M120" s="10">
        <v>3166.48</v>
      </c>
      <c r="N120" s="9"/>
      <c r="O120" s="10">
        <v>3166.48</v>
      </c>
      <c r="P120" s="9"/>
      <c r="Q120" s="10">
        <v>3166.48</v>
      </c>
      <c r="R120" s="9"/>
      <c r="S120" s="10">
        <v>3190.58</v>
      </c>
      <c r="T120" s="9"/>
      <c r="U120" s="10">
        <v>2785.87</v>
      </c>
      <c r="V120" s="9"/>
      <c r="W120" s="10">
        <v>3147.42</v>
      </c>
      <c r="X120" s="9"/>
      <c r="Y120" s="10">
        <v>3189.68</v>
      </c>
      <c r="Z120" s="9"/>
      <c r="AA120" s="10">
        <v>3146.78</v>
      </c>
      <c r="AB120" s="9"/>
      <c r="AC120" s="10">
        <v>3188.91</v>
      </c>
      <c r="AD120" s="9"/>
      <c r="AE120" s="10">
        <f t="shared" si="7"/>
        <v>37155.760000000002</v>
      </c>
      <c r="AF120" s="11"/>
    </row>
    <row r="121" spans="1:32" outlineLevel="1">
      <c r="A121" s="6">
        <v>52065</v>
      </c>
      <c r="B121" s="6" t="s">
        <v>39</v>
      </c>
      <c r="C121" s="7"/>
      <c r="D121" s="3"/>
      <c r="E121" s="8"/>
      <c r="F121" s="9"/>
      <c r="G121" s="10">
        <v>3901.94</v>
      </c>
      <c r="H121" s="9"/>
      <c r="I121" s="10">
        <v>3903.11</v>
      </c>
      <c r="J121" s="9"/>
      <c r="K121" s="10">
        <v>3394.43</v>
      </c>
      <c r="L121" s="9"/>
      <c r="M121" s="10">
        <v>4272.2</v>
      </c>
      <c r="N121" s="9"/>
      <c r="O121" s="10">
        <v>3043.47</v>
      </c>
      <c r="P121" s="9"/>
      <c r="Q121" s="10">
        <v>4559.76</v>
      </c>
      <c r="R121" s="9"/>
      <c r="S121" s="10">
        <v>4032.23</v>
      </c>
      <c r="T121" s="9"/>
      <c r="U121" s="10">
        <v>4537.5600000000004</v>
      </c>
      <c r="V121" s="9"/>
      <c r="W121" s="10">
        <v>4581.68</v>
      </c>
      <c r="X121" s="9"/>
      <c r="Y121" s="10">
        <v>4084.71</v>
      </c>
      <c r="Z121" s="9"/>
      <c r="AA121" s="10">
        <v>4133.2299999999996</v>
      </c>
      <c r="AB121" s="9"/>
      <c r="AC121" s="10">
        <v>3385.84</v>
      </c>
      <c r="AD121" s="9"/>
      <c r="AE121" s="10">
        <f t="shared" si="7"/>
        <v>47830.16</v>
      </c>
      <c r="AF121" s="11"/>
    </row>
    <row r="122" spans="1:32" outlineLevel="1">
      <c r="A122" s="6">
        <v>52070</v>
      </c>
      <c r="B122" s="6" t="s">
        <v>40</v>
      </c>
      <c r="C122" s="7"/>
      <c r="D122" s="3"/>
      <c r="E122" s="8"/>
      <c r="F122" s="9"/>
      <c r="G122" s="10">
        <v>242.31</v>
      </c>
      <c r="H122" s="9"/>
      <c r="I122" s="10">
        <v>-242.31</v>
      </c>
      <c r="J122" s="9"/>
      <c r="K122" s="10">
        <v>0</v>
      </c>
      <c r="L122" s="9"/>
      <c r="M122" s="10">
        <v>2304.16</v>
      </c>
      <c r="N122" s="9"/>
      <c r="O122" s="10">
        <v>-285.76</v>
      </c>
      <c r="P122" s="9"/>
      <c r="Q122" s="10">
        <v>150.4</v>
      </c>
      <c r="R122" s="9"/>
      <c r="S122" s="10">
        <v>0</v>
      </c>
      <c r="T122" s="9"/>
      <c r="U122" s="10">
        <v>4249.6499999999996</v>
      </c>
      <c r="V122" s="9"/>
      <c r="W122" s="10">
        <v>0</v>
      </c>
      <c r="X122" s="9"/>
      <c r="Y122" s="10">
        <v>387.71</v>
      </c>
      <c r="Z122" s="9"/>
      <c r="AA122" s="10">
        <v>-145.38999999999999</v>
      </c>
      <c r="AB122" s="9"/>
      <c r="AC122" s="10">
        <v>1284.8800000000001</v>
      </c>
      <c r="AD122" s="9"/>
      <c r="AE122" s="10">
        <f t="shared" si="7"/>
        <v>7945.65</v>
      </c>
      <c r="AF122" s="11"/>
    </row>
    <row r="123" spans="1:32" outlineLevel="1">
      <c r="A123" s="6">
        <v>52086</v>
      </c>
      <c r="B123" s="6" t="s">
        <v>263</v>
      </c>
      <c r="C123" s="7"/>
      <c r="D123" s="3"/>
      <c r="E123" s="8"/>
      <c r="F123" s="9"/>
      <c r="G123" s="10">
        <v>343.03</v>
      </c>
      <c r="H123" s="9"/>
      <c r="I123" s="10">
        <v>-0.73</v>
      </c>
      <c r="J123" s="9"/>
      <c r="K123" s="10">
        <v>0</v>
      </c>
      <c r="L123" s="9"/>
      <c r="M123" s="10">
        <v>2145.4499999999998</v>
      </c>
      <c r="N123" s="9"/>
      <c r="O123" s="10">
        <v>-1038.1400000000001</v>
      </c>
      <c r="P123" s="9"/>
      <c r="Q123" s="10">
        <v>59.63</v>
      </c>
      <c r="R123" s="9"/>
      <c r="S123" s="10">
        <v>31.44</v>
      </c>
      <c r="T123" s="9"/>
      <c r="U123" s="10">
        <v>1837.15</v>
      </c>
      <c r="V123" s="9"/>
      <c r="W123" s="10">
        <v>1135.05</v>
      </c>
      <c r="X123" s="9"/>
      <c r="Y123" s="10">
        <v>47.61</v>
      </c>
      <c r="Z123" s="9"/>
      <c r="AA123" s="10">
        <v>139.85</v>
      </c>
      <c r="AB123" s="9"/>
      <c r="AC123" s="10">
        <v>0</v>
      </c>
      <c r="AD123" s="9"/>
      <c r="AE123" s="10">
        <f t="shared" si="7"/>
        <v>4700.34</v>
      </c>
      <c r="AF123" s="11"/>
    </row>
    <row r="124" spans="1:32" outlineLevel="1">
      <c r="A124" s="6">
        <v>52090</v>
      </c>
      <c r="B124" s="6" t="s">
        <v>57</v>
      </c>
      <c r="C124" s="7"/>
      <c r="D124" s="3"/>
      <c r="E124" s="8"/>
      <c r="F124" s="9"/>
      <c r="G124" s="10">
        <v>6458.46</v>
      </c>
      <c r="H124" s="9"/>
      <c r="I124" s="10">
        <v>2941.61</v>
      </c>
      <c r="J124" s="9"/>
      <c r="K124" s="10">
        <v>1233.83</v>
      </c>
      <c r="L124" s="9"/>
      <c r="M124" s="10">
        <v>2312.5100000000002</v>
      </c>
      <c r="N124" s="9"/>
      <c r="O124" s="10">
        <v>2223.3000000000002</v>
      </c>
      <c r="P124" s="9"/>
      <c r="Q124" s="10">
        <v>6827.92</v>
      </c>
      <c r="R124" s="9"/>
      <c r="S124" s="10">
        <v>2162.12</v>
      </c>
      <c r="T124" s="9"/>
      <c r="U124" s="10">
        <v>3753.99</v>
      </c>
      <c r="V124" s="9"/>
      <c r="W124" s="10">
        <v>2983.31</v>
      </c>
      <c r="X124" s="9"/>
      <c r="Y124" s="10">
        <v>6141.5</v>
      </c>
      <c r="Z124" s="9"/>
      <c r="AA124" s="10">
        <v>4584.49</v>
      </c>
      <c r="AB124" s="9"/>
      <c r="AC124" s="10">
        <v>3015.79</v>
      </c>
      <c r="AD124" s="9"/>
      <c r="AE124" s="10">
        <f t="shared" si="7"/>
        <v>44638.83</v>
      </c>
      <c r="AF124" s="11"/>
    </row>
    <row r="125" spans="1:32" outlineLevel="1">
      <c r="A125" s="6">
        <v>52115</v>
      </c>
      <c r="B125" s="6" t="s">
        <v>265</v>
      </c>
      <c r="C125" s="7"/>
      <c r="D125" s="3"/>
      <c r="E125" s="8"/>
      <c r="F125" s="9"/>
      <c r="G125" s="10">
        <v>395.92</v>
      </c>
      <c r="H125" s="9"/>
      <c r="I125" s="10">
        <v>501.76</v>
      </c>
      <c r="J125" s="9"/>
      <c r="K125" s="10">
        <v>397.62</v>
      </c>
      <c r="L125" s="9"/>
      <c r="M125" s="10">
        <v>321.16000000000003</v>
      </c>
      <c r="N125" s="9"/>
      <c r="O125" s="10">
        <v>375.01</v>
      </c>
      <c r="P125" s="9"/>
      <c r="Q125" s="10">
        <v>281.98</v>
      </c>
      <c r="R125" s="9"/>
      <c r="S125" s="10">
        <v>371.32</v>
      </c>
      <c r="T125" s="9"/>
      <c r="U125" s="10">
        <v>418.44</v>
      </c>
      <c r="V125" s="9"/>
      <c r="W125" s="10">
        <v>288.57</v>
      </c>
      <c r="X125" s="9"/>
      <c r="Y125" s="10">
        <v>282.8</v>
      </c>
      <c r="Z125" s="9"/>
      <c r="AA125" s="10">
        <v>282.8</v>
      </c>
      <c r="AB125" s="9"/>
      <c r="AC125" s="10">
        <v>282.8</v>
      </c>
      <c r="AD125" s="9"/>
      <c r="AE125" s="10">
        <f t="shared" si="7"/>
        <v>4200.18</v>
      </c>
      <c r="AF125" s="11"/>
    </row>
    <row r="126" spans="1:32" outlineLevel="1">
      <c r="A126" s="6">
        <v>52116</v>
      </c>
      <c r="B126" s="6" t="s">
        <v>266</v>
      </c>
      <c r="C126" s="7"/>
      <c r="D126" s="3"/>
      <c r="E126" s="8"/>
      <c r="F126" s="9"/>
      <c r="G126" s="10">
        <v>18305.41</v>
      </c>
      <c r="H126" s="9"/>
      <c r="I126" s="10">
        <v>16997.810000000001</v>
      </c>
      <c r="J126" s="9"/>
      <c r="K126" s="10">
        <v>16997.810000000001</v>
      </c>
      <c r="L126" s="9"/>
      <c r="M126" s="10">
        <v>18217.009999999998</v>
      </c>
      <c r="N126" s="9"/>
      <c r="O126" s="10">
        <v>18217.009999999998</v>
      </c>
      <c r="P126" s="9"/>
      <c r="Q126" s="10">
        <v>18217.009999999998</v>
      </c>
      <c r="R126" s="9"/>
      <c r="S126" s="10">
        <v>18217.009999999998</v>
      </c>
      <c r="T126" s="9"/>
      <c r="U126" s="10">
        <v>18174.11</v>
      </c>
      <c r="V126" s="9"/>
      <c r="W126" s="10">
        <v>18217.009999999998</v>
      </c>
      <c r="X126" s="9"/>
      <c r="Y126" s="10">
        <v>18223.73</v>
      </c>
      <c r="Z126" s="9"/>
      <c r="AA126" s="10">
        <v>18267.189999999999</v>
      </c>
      <c r="AB126" s="9"/>
      <c r="AC126" s="10">
        <v>18224.29</v>
      </c>
      <c r="AD126" s="9"/>
      <c r="AE126" s="10">
        <f t="shared" si="7"/>
        <v>216275.4</v>
      </c>
      <c r="AF126" s="11"/>
    </row>
    <row r="127" spans="1:32" outlineLevel="1">
      <c r="A127" s="6">
        <v>52117</v>
      </c>
      <c r="B127" s="6" t="s">
        <v>267</v>
      </c>
      <c r="C127" s="7"/>
      <c r="D127" s="3"/>
      <c r="E127" s="8"/>
      <c r="F127" s="9"/>
      <c r="G127" s="10">
        <v>7875.03</v>
      </c>
      <c r="H127" s="9"/>
      <c r="I127" s="10">
        <v>7889.24</v>
      </c>
      <c r="J127" s="9"/>
      <c r="K127" s="10">
        <v>4176.32</v>
      </c>
      <c r="L127" s="9"/>
      <c r="M127" s="10">
        <v>7369.76</v>
      </c>
      <c r="N127" s="9"/>
      <c r="O127" s="10">
        <v>7736.24</v>
      </c>
      <c r="P127" s="9"/>
      <c r="Q127" s="10">
        <v>8138.24</v>
      </c>
      <c r="R127" s="9"/>
      <c r="S127" s="10">
        <v>7900.96</v>
      </c>
      <c r="T127" s="9"/>
      <c r="U127" s="10">
        <v>8096.51</v>
      </c>
      <c r="V127" s="9"/>
      <c r="W127" s="10">
        <v>8046.03</v>
      </c>
      <c r="X127" s="9"/>
      <c r="Y127" s="10">
        <v>8101.43</v>
      </c>
      <c r="Z127" s="9"/>
      <c r="AA127" s="10">
        <v>8384.25</v>
      </c>
      <c r="AB127" s="9"/>
      <c r="AC127" s="10">
        <v>7060.29</v>
      </c>
      <c r="AD127" s="9"/>
      <c r="AE127" s="10">
        <f t="shared" si="7"/>
        <v>90774.3</v>
      </c>
      <c r="AF127" s="11"/>
    </row>
    <row r="128" spans="1:32" outlineLevel="1">
      <c r="A128" s="6">
        <v>52120</v>
      </c>
      <c r="B128" s="6" t="s">
        <v>270</v>
      </c>
      <c r="C128" s="7"/>
      <c r="D128" s="3"/>
      <c r="E128" s="8"/>
      <c r="F128" s="9"/>
      <c r="G128" s="10">
        <v>65535.87</v>
      </c>
      <c r="H128" s="9"/>
      <c r="I128" s="10">
        <v>69434.42</v>
      </c>
      <c r="J128" s="9"/>
      <c r="K128" s="10">
        <v>70221.5</v>
      </c>
      <c r="L128" s="9"/>
      <c r="M128" s="10">
        <v>71777.77</v>
      </c>
      <c r="N128" s="9"/>
      <c r="O128" s="10">
        <v>57433.17</v>
      </c>
      <c r="P128" s="9"/>
      <c r="Q128" s="10">
        <v>66939.7</v>
      </c>
      <c r="R128" s="9"/>
      <c r="S128" s="10">
        <v>73538.850000000006</v>
      </c>
      <c r="T128" s="9"/>
      <c r="U128" s="10">
        <v>74241.61</v>
      </c>
      <c r="V128" s="9"/>
      <c r="W128" s="10">
        <v>92623.06</v>
      </c>
      <c r="X128" s="9"/>
      <c r="Y128" s="10">
        <v>76271.05</v>
      </c>
      <c r="Z128" s="9"/>
      <c r="AA128" s="10">
        <v>72491.02</v>
      </c>
      <c r="AB128" s="9"/>
      <c r="AC128" s="10">
        <v>65724.039999999994</v>
      </c>
      <c r="AD128" s="9"/>
      <c r="AE128" s="10">
        <f t="shared" si="7"/>
        <v>856232.06</v>
      </c>
      <c r="AF128" s="11"/>
    </row>
    <row r="129" spans="1:32" outlineLevel="1">
      <c r="A129" s="6">
        <v>52125</v>
      </c>
      <c r="B129" s="6" t="s">
        <v>48</v>
      </c>
      <c r="C129" s="7"/>
      <c r="D129" s="3"/>
      <c r="E129" s="8"/>
      <c r="F129" s="9"/>
      <c r="G129" s="10">
        <v>724.44</v>
      </c>
      <c r="H129" s="9"/>
      <c r="I129" s="10">
        <v>1204.28</v>
      </c>
      <c r="J129" s="9"/>
      <c r="K129" s="10">
        <v>1422.03</v>
      </c>
      <c r="L129" s="9"/>
      <c r="M129" s="10">
        <v>1728.24</v>
      </c>
      <c r="N129" s="9"/>
      <c r="O129" s="10">
        <v>947.61</v>
      </c>
      <c r="P129" s="9"/>
      <c r="Q129" s="10">
        <v>1048.3900000000001</v>
      </c>
      <c r="R129" s="9"/>
      <c r="S129" s="10">
        <v>1640.97</v>
      </c>
      <c r="T129" s="9"/>
      <c r="U129" s="10">
        <v>1070.03</v>
      </c>
      <c r="V129" s="9"/>
      <c r="W129" s="10">
        <v>1755.71</v>
      </c>
      <c r="X129" s="9"/>
      <c r="Y129" s="10">
        <v>1358.91</v>
      </c>
      <c r="Z129" s="9"/>
      <c r="AA129" s="10">
        <v>1412.43</v>
      </c>
      <c r="AB129" s="9"/>
      <c r="AC129" s="10">
        <v>1886.24</v>
      </c>
      <c r="AD129" s="9"/>
      <c r="AE129" s="10">
        <f t="shared" si="7"/>
        <v>16199.28</v>
      </c>
      <c r="AF129" s="11"/>
    </row>
    <row r="130" spans="1:32" outlineLevel="1">
      <c r="A130" s="6">
        <v>52135</v>
      </c>
      <c r="B130" s="6" t="s">
        <v>65</v>
      </c>
      <c r="C130" s="7"/>
      <c r="D130" s="3"/>
      <c r="E130" s="8"/>
      <c r="F130" s="9"/>
      <c r="G130" s="10">
        <v>376.09</v>
      </c>
      <c r="H130" s="9"/>
      <c r="I130" s="10">
        <v>1712.71</v>
      </c>
      <c r="J130" s="9"/>
      <c r="K130" s="10">
        <v>2034.92</v>
      </c>
      <c r="L130" s="9"/>
      <c r="M130" s="10">
        <v>0</v>
      </c>
      <c r="N130" s="9"/>
      <c r="O130" s="10">
        <v>197.32</v>
      </c>
      <c r="P130" s="9"/>
      <c r="Q130" s="10">
        <v>0</v>
      </c>
      <c r="R130" s="9"/>
      <c r="S130" s="10">
        <v>0</v>
      </c>
      <c r="T130" s="9"/>
      <c r="U130" s="10">
        <v>1731.32</v>
      </c>
      <c r="V130" s="9"/>
      <c r="W130" s="10">
        <v>695.02</v>
      </c>
      <c r="X130" s="9"/>
      <c r="Y130" s="10">
        <v>18.37</v>
      </c>
      <c r="Z130" s="9"/>
      <c r="AA130" s="10">
        <v>48.75</v>
      </c>
      <c r="AB130" s="9"/>
      <c r="AC130" s="10">
        <v>305.79000000000002</v>
      </c>
      <c r="AD130" s="9"/>
      <c r="AE130" s="10">
        <f t="shared" si="7"/>
        <v>7120.29</v>
      </c>
      <c r="AF130" s="11"/>
    </row>
    <row r="131" spans="1:32" outlineLevel="1">
      <c r="A131" s="6">
        <v>52140</v>
      </c>
      <c r="B131" s="6" t="s">
        <v>271</v>
      </c>
      <c r="C131" s="7"/>
      <c r="D131" s="3"/>
      <c r="E131" s="8"/>
      <c r="F131" s="9"/>
      <c r="G131" s="10">
        <v>23122.86</v>
      </c>
      <c r="H131" s="9"/>
      <c r="I131" s="10">
        <v>25502.54</v>
      </c>
      <c r="J131" s="9"/>
      <c r="K131" s="10">
        <v>27659.02</v>
      </c>
      <c r="L131" s="9"/>
      <c r="M131" s="10">
        <v>27695.08</v>
      </c>
      <c r="N131" s="9"/>
      <c r="O131" s="10">
        <v>24780.240000000002</v>
      </c>
      <c r="P131" s="9"/>
      <c r="Q131" s="10">
        <v>27833.61</v>
      </c>
      <c r="R131" s="9"/>
      <c r="S131" s="10">
        <v>28253.45</v>
      </c>
      <c r="T131" s="9"/>
      <c r="U131" s="10">
        <v>28903.78</v>
      </c>
      <c r="V131" s="9"/>
      <c r="W131" s="10">
        <v>32400.45</v>
      </c>
      <c r="X131" s="9"/>
      <c r="Y131" s="10">
        <v>26623.200000000001</v>
      </c>
      <c r="Z131" s="9"/>
      <c r="AA131" s="10">
        <v>22975.5</v>
      </c>
      <c r="AB131" s="9"/>
      <c r="AC131" s="10">
        <v>25344.639999999999</v>
      </c>
      <c r="AD131" s="9"/>
      <c r="AE131" s="10">
        <f t="shared" si="7"/>
        <v>321094.37</v>
      </c>
      <c r="AF131" s="11"/>
    </row>
    <row r="132" spans="1:32" outlineLevel="1">
      <c r="A132" s="6">
        <v>52142</v>
      </c>
      <c r="B132" s="6" t="s">
        <v>77</v>
      </c>
      <c r="C132" s="7"/>
      <c r="D132" s="3"/>
      <c r="E132" s="8"/>
      <c r="F132" s="9"/>
      <c r="G132" s="10">
        <v>136467.6</v>
      </c>
      <c r="H132" s="9"/>
      <c r="I132" s="10">
        <v>127034.72</v>
      </c>
      <c r="J132" s="9"/>
      <c r="K132" s="10">
        <v>136007.37</v>
      </c>
      <c r="L132" s="9"/>
      <c r="M132" s="10">
        <v>122451.47</v>
      </c>
      <c r="N132" s="9"/>
      <c r="O132" s="10">
        <v>123765.26</v>
      </c>
      <c r="P132" s="9"/>
      <c r="Q132" s="10">
        <v>143362.91</v>
      </c>
      <c r="R132" s="9"/>
      <c r="S132" s="10">
        <v>131903.60999999999</v>
      </c>
      <c r="T132" s="9"/>
      <c r="U132" s="10">
        <v>155782.57</v>
      </c>
      <c r="V132" s="9"/>
      <c r="W132" s="10">
        <v>145312.48000000001</v>
      </c>
      <c r="X132" s="9"/>
      <c r="Y132" s="10">
        <v>143712.73000000001</v>
      </c>
      <c r="Z132" s="9"/>
      <c r="AA132" s="10">
        <v>169219.86</v>
      </c>
      <c r="AB132" s="9"/>
      <c r="AC132" s="10">
        <v>165626.73000000001</v>
      </c>
      <c r="AD132" s="9"/>
      <c r="AE132" s="10">
        <f t="shared" si="7"/>
        <v>1700647.3099999998</v>
      </c>
      <c r="AF132" s="11"/>
    </row>
    <row r="133" spans="1:32" outlineLevel="1">
      <c r="A133" s="6">
        <v>52143</v>
      </c>
      <c r="B133" s="6" t="s">
        <v>272</v>
      </c>
      <c r="C133" s="7"/>
      <c r="D133" s="3"/>
      <c r="E133" s="8"/>
      <c r="F133" s="9"/>
      <c r="G133" s="10">
        <v>3924.3</v>
      </c>
      <c r="H133" s="9"/>
      <c r="I133" s="10">
        <v>3509.02</v>
      </c>
      <c r="J133" s="9"/>
      <c r="K133" s="10">
        <v>2964.99</v>
      </c>
      <c r="L133" s="9"/>
      <c r="M133" s="10">
        <v>4589.6499999999996</v>
      </c>
      <c r="N133" s="9"/>
      <c r="O133" s="10">
        <v>4840.8</v>
      </c>
      <c r="P133" s="9"/>
      <c r="Q133" s="10">
        <v>4828.63</v>
      </c>
      <c r="R133" s="9"/>
      <c r="S133" s="10">
        <v>4524.97</v>
      </c>
      <c r="T133" s="9"/>
      <c r="U133" s="10">
        <v>5581.79</v>
      </c>
      <c r="V133" s="9"/>
      <c r="W133" s="10">
        <v>2287.8000000000002</v>
      </c>
      <c r="X133" s="9"/>
      <c r="Y133" s="10">
        <v>5803.09</v>
      </c>
      <c r="Z133" s="9"/>
      <c r="AA133" s="10">
        <v>5379.11</v>
      </c>
      <c r="AB133" s="9"/>
      <c r="AC133" s="10">
        <v>5478.3</v>
      </c>
      <c r="AD133" s="9"/>
      <c r="AE133" s="10">
        <f t="shared" si="7"/>
        <v>53712.450000000004</v>
      </c>
      <c r="AF133" s="11"/>
    </row>
    <row r="134" spans="1:32" outlineLevel="1">
      <c r="A134" s="6">
        <v>52144</v>
      </c>
      <c r="B134" s="6" t="s">
        <v>273</v>
      </c>
      <c r="C134" s="7"/>
      <c r="D134" s="3"/>
      <c r="E134" s="8"/>
      <c r="F134" s="9"/>
      <c r="G134" s="10">
        <v>1125.22</v>
      </c>
      <c r="H134" s="9"/>
      <c r="I134" s="10">
        <v>564.51</v>
      </c>
      <c r="J134" s="9"/>
      <c r="K134" s="10">
        <v>1017.84</v>
      </c>
      <c r="L134" s="9"/>
      <c r="M134" s="10">
        <v>626.92999999999995</v>
      </c>
      <c r="N134" s="9"/>
      <c r="O134" s="10">
        <v>796</v>
      </c>
      <c r="P134" s="9"/>
      <c r="Q134" s="10">
        <v>748.67</v>
      </c>
      <c r="R134" s="9"/>
      <c r="S134" s="10">
        <v>959.18</v>
      </c>
      <c r="T134" s="9"/>
      <c r="U134" s="10">
        <v>1135.83</v>
      </c>
      <c r="V134" s="9"/>
      <c r="W134" s="10">
        <v>897.25</v>
      </c>
      <c r="X134" s="9"/>
      <c r="Y134" s="10">
        <v>793.64</v>
      </c>
      <c r="Z134" s="9"/>
      <c r="AA134" s="10">
        <v>1251.8499999999999</v>
      </c>
      <c r="AB134" s="9"/>
      <c r="AC134" s="10">
        <v>749.95</v>
      </c>
      <c r="AD134" s="9"/>
      <c r="AE134" s="10">
        <f t="shared" si="7"/>
        <v>10666.87</v>
      </c>
      <c r="AF134" s="11"/>
    </row>
    <row r="135" spans="1:32" outlineLevel="1">
      <c r="A135" s="6">
        <v>52146</v>
      </c>
      <c r="B135" s="6" t="s">
        <v>79</v>
      </c>
      <c r="C135" s="7"/>
      <c r="D135" s="3"/>
      <c r="E135" s="8"/>
      <c r="F135" s="9"/>
      <c r="G135" s="10">
        <v>10301.5</v>
      </c>
      <c r="H135" s="9"/>
      <c r="I135" s="10">
        <v>8678.98</v>
      </c>
      <c r="J135" s="9"/>
      <c r="K135" s="10">
        <v>8653.1299999999992</v>
      </c>
      <c r="L135" s="9"/>
      <c r="M135" s="10">
        <v>8958.7999999999993</v>
      </c>
      <c r="N135" s="9"/>
      <c r="O135" s="10">
        <v>10585.75</v>
      </c>
      <c r="P135" s="9"/>
      <c r="Q135" s="10">
        <v>9461.39</v>
      </c>
      <c r="R135" s="9"/>
      <c r="S135" s="10">
        <v>9340.25</v>
      </c>
      <c r="T135" s="9"/>
      <c r="U135" s="10">
        <v>11934.55</v>
      </c>
      <c r="V135" s="9"/>
      <c r="W135" s="10">
        <v>5809.38</v>
      </c>
      <c r="X135" s="9"/>
      <c r="Y135" s="10">
        <v>10687.64</v>
      </c>
      <c r="Z135" s="9"/>
      <c r="AA135" s="10">
        <v>14698.81</v>
      </c>
      <c r="AB135" s="9"/>
      <c r="AC135" s="10">
        <v>7066.58</v>
      </c>
      <c r="AD135" s="9"/>
      <c r="AE135" s="10">
        <f t="shared" si="7"/>
        <v>116176.76</v>
      </c>
      <c r="AF135" s="11"/>
    </row>
    <row r="136" spans="1:32" outlineLevel="1">
      <c r="A136" s="6">
        <v>52147</v>
      </c>
      <c r="B136" s="6" t="s">
        <v>66</v>
      </c>
      <c r="C136" s="7"/>
      <c r="D136" s="3"/>
      <c r="E136" s="8"/>
      <c r="F136" s="9"/>
      <c r="G136" s="10">
        <v>10813.79</v>
      </c>
      <c r="H136" s="9"/>
      <c r="I136" s="10">
        <v>4729.91</v>
      </c>
      <c r="J136" s="9"/>
      <c r="K136" s="10">
        <v>3449.12</v>
      </c>
      <c r="L136" s="9"/>
      <c r="M136" s="10">
        <v>3750.86</v>
      </c>
      <c r="N136" s="9"/>
      <c r="O136" s="10">
        <v>10739.84</v>
      </c>
      <c r="P136" s="9"/>
      <c r="Q136" s="10">
        <v>1441.79</v>
      </c>
      <c r="R136" s="9"/>
      <c r="S136" s="10">
        <v>10109.219999999999</v>
      </c>
      <c r="T136" s="9"/>
      <c r="U136" s="10">
        <v>1045.1300000000001</v>
      </c>
      <c r="V136" s="9"/>
      <c r="W136" s="10">
        <v>23987.72</v>
      </c>
      <c r="X136" s="9"/>
      <c r="Y136" s="10">
        <v>7062.14</v>
      </c>
      <c r="Z136" s="9"/>
      <c r="AA136" s="10">
        <v>7371.84</v>
      </c>
      <c r="AB136" s="9"/>
      <c r="AC136" s="10">
        <v>3850.52</v>
      </c>
      <c r="AD136" s="9"/>
      <c r="AE136" s="10">
        <f t="shared" si="7"/>
        <v>88351.88</v>
      </c>
      <c r="AF136" s="11"/>
    </row>
    <row r="137" spans="1:32" outlineLevel="1">
      <c r="A137" s="6">
        <v>52150</v>
      </c>
      <c r="B137" s="6" t="s">
        <v>135</v>
      </c>
      <c r="C137" s="7"/>
      <c r="D137" s="3"/>
      <c r="E137" s="8"/>
      <c r="F137" s="9"/>
      <c r="G137" s="10">
        <v>1565.14</v>
      </c>
      <c r="H137" s="9"/>
      <c r="I137" s="10">
        <v>1189.53</v>
      </c>
      <c r="J137" s="9"/>
      <c r="K137" s="10">
        <v>2294.62</v>
      </c>
      <c r="L137" s="9"/>
      <c r="M137" s="10">
        <v>2805.84</v>
      </c>
      <c r="N137" s="9"/>
      <c r="O137" s="10">
        <v>3215.13</v>
      </c>
      <c r="P137" s="9"/>
      <c r="Q137" s="10">
        <v>2295.5700000000002</v>
      </c>
      <c r="R137" s="9"/>
      <c r="S137" s="10">
        <v>1839.91</v>
      </c>
      <c r="T137" s="9"/>
      <c r="U137" s="10">
        <v>1517.29</v>
      </c>
      <c r="V137" s="9"/>
      <c r="W137" s="10">
        <v>1300.1500000000001</v>
      </c>
      <c r="X137" s="9"/>
      <c r="Y137" s="10">
        <v>1034.97</v>
      </c>
      <c r="Z137" s="9"/>
      <c r="AA137" s="10">
        <v>1034.55</v>
      </c>
      <c r="AB137" s="9"/>
      <c r="AC137" s="10">
        <v>1095.01</v>
      </c>
      <c r="AD137" s="9"/>
      <c r="AE137" s="10">
        <f t="shared" si="7"/>
        <v>21187.71</v>
      </c>
      <c r="AF137" s="11"/>
    </row>
    <row r="138" spans="1:32" outlineLevel="1">
      <c r="A138" s="6">
        <v>52165</v>
      </c>
      <c r="B138" s="6" t="s">
        <v>58</v>
      </c>
      <c r="C138" s="7"/>
      <c r="D138" s="3"/>
      <c r="E138" s="8"/>
      <c r="F138" s="9"/>
      <c r="G138" s="10">
        <v>-2421.13</v>
      </c>
      <c r="H138" s="9"/>
      <c r="I138" s="10">
        <v>3254.07</v>
      </c>
      <c r="J138" s="9"/>
      <c r="K138" s="10">
        <v>3254.07</v>
      </c>
      <c r="L138" s="9"/>
      <c r="M138" s="10">
        <v>3414.41</v>
      </c>
      <c r="N138" s="9"/>
      <c r="O138" s="10">
        <v>3254.03</v>
      </c>
      <c r="P138" s="9"/>
      <c r="Q138" s="10">
        <v>3254.03</v>
      </c>
      <c r="R138" s="9"/>
      <c r="S138" s="10">
        <v>3254.08</v>
      </c>
      <c r="T138" s="9"/>
      <c r="U138" s="10">
        <v>3254.93</v>
      </c>
      <c r="V138" s="9"/>
      <c r="W138" s="10">
        <v>3414.53</v>
      </c>
      <c r="X138" s="9"/>
      <c r="Y138" s="10">
        <v>3414.74</v>
      </c>
      <c r="Z138" s="9"/>
      <c r="AA138" s="10">
        <v>3454.52</v>
      </c>
      <c r="AB138" s="9"/>
      <c r="AC138" s="10">
        <v>3454.52</v>
      </c>
      <c r="AD138" s="9"/>
      <c r="AE138" s="10">
        <f t="shared" si="7"/>
        <v>34256.800000000003</v>
      </c>
      <c r="AF138" s="11"/>
    </row>
    <row r="139" spans="1:32" outlineLevel="1">
      <c r="A139" s="6">
        <v>52175</v>
      </c>
      <c r="B139" s="6" t="s">
        <v>59</v>
      </c>
      <c r="C139" s="7"/>
      <c r="D139" s="3"/>
      <c r="E139" s="8"/>
      <c r="F139" s="9"/>
      <c r="G139" s="10">
        <v>11150.67</v>
      </c>
      <c r="H139" s="9"/>
      <c r="I139" s="10">
        <v>11150.67</v>
      </c>
      <c r="J139" s="9"/>
      <c r="K139" s="10">
        <v>11150.67</v>
      </c>
      <c r="L139" s="9"/>
      <c r="M139" s="10">
        <v>11150.67</v>
      </c>
      <c r="N139" s="9"/>
      <c r="O139" s="10">
        <v>11150.67</v>
      </c>
      <c r="P139" s="9"/>
      <c r="Q139" s="10">
        <v>11150.67</v>
      </c>
      <c r="R139" s="9"/>
      <c r="S139" s="10">
        <v>11150.67</v>
      </c>
      <c r="T139" s="9"/>
      <c r="U139" s="10">
        <v>11150.67</v>
      </c>
      <c r="V139" s="9"/>
      <c r="W139" s="10">
        <v>11150.67</v>
      </c>
      <c r="X139" s="9"/>
      <c r="Y139" s="10">
        <v>11150.67</v>
      </c>
      <c r="Z139" s="9"/>
      <c r="AA139" s="10">
        <v>11150.67</v>
      </c>
      <c r="AB139" s="9"/>
      <c r="AC139" s="10">
        <v>11150.67</v>
      </c>
      <c r="AD139" s="9"/>
      <c r="AE139" s="10">
        <f t="shared" si="7"/>
        <v>133808.04</v>
      </c>
      <c r="AF139" s="11"/>
    </row>
    <row r="140" spans="1:32" outlineLevel="1">
      <c r="A140" s="6">
        <v>52181</v>
      </c>
      <c r="B140" s="6" t="s">
        <v>68</v>
      </c>
      <c r="C140" s="7"/>
      <c r="D140" s="3"/>
      <c r="E140" s="8"/>
      <c r="F140" s="9"/>
      <c r="G140" s="10">
        <v>0</v>
      </c>
      <c r="H140" s="9"/>
      <c r="I140" s="10">
        <v>0</v>
      </c>
      <c r="J140" s="9"/>
      <c r="K140" s="10">
        <v>0</v>
      </c>
      <c r="L140" s="9"/>
      <c r="M140" s="10">
        <v>0</v>
      </c>
      <c r="N140" s="9"/>
      <c r="O140" s="10">
        <v>541</v>
      </c>
      <c r="P140" s="9"/>
      <c r="Q140" s="10">
        <v>0</v>
      </c>
      <c r="R140" s="9"/>
      <c r="S140" s="10">
        <v>0</v>
      </c>
      <c r="T140" s="9"/>
      <c r="U140" s="10">
        <v>0</v>
      </c>
      <c r="V140" s="9"/>
      <c r="W140" s="10">
        <v>68.83</v>
      </c>
      <c r="X140" s="9"/>
      <c r="Y140" s="10">
        <v>0</v>
      </c>
      <c r="Z140" s="9"/>
      <c r="AA140" s="10">
        <v>0</v>
      </c>
      <c r="AB140" s="9"/>
      <c r="AC140" s="10">
        <v>634.71</v>
      </c>
      <c r="AD140" s="9"/>
      <c r="AE140" s="10">
        <f t="shared" si="7"/>
        <v>1244.54</v>
      </c>
      <c r="AF140" s="11"/>
    </row>
    <row r="141" spans="1:32" outlineLevel="1">
      <c r="A141" s="6">
        <v>52182</v>
      </c>
      <c r="B141" s="6" t="s">
        <v>274</v>
      </c>
      <c r="C141" s="7"/>
      <c r="D141" s="3"/>
      <c r="E141" s="8"/>
      <c r="F141" s="9"/>
      <c r="G141" s="10">
        <v>935.49</v>
      </c>
      <c r="H141" s="9"/>
      <c r="I141" s="10">
        <v>576.69000000000005</v>
      </c>
      <c r="J141" s="9"/>
      <c r="K141" s="10">
        <v>1502.42</v>
      </c>
      <c r="L141" s="9"/>
      <c r="M141" s="10">
        <v>1879.66</v>
      </c>
      <c r="N141" s="9"/>
      <c r="O141" s="10">
        <v>2434.67</v>
      </c>
      <c r="P141" s="9"/>
      <c r="Q141" s="10">
        <v>641.73</v>
      </c>
      <c r="R141" s="9"/>
      <c r="S141" s="10">
        <v>1699.7</v>
      </c>
      <c r="T141" s="9"/>
      <c r="U141" s="10">
        <v>2109.44</v>
      </c>
      <c r="V141" s="9"/>
      <c r="W141" s="10">
        <v>2159.13</v>
      </c>
      <c r="X141" s="9"/>
      <c r="Y141" s="10">
        <v>910.55</v>
      </c>
      <c r="Z141" s="9"/>
      <c r="AA141" s="10">
        <v>511.66</v>
      </c>
      <c r="AB141" s="9"/>
      <c r="AC141" s="10">
        <v>1567.46</v>
      </c>
      <c r="AD141" s="9"/>
      <c r="AE141" s="10">
        <f t="shared" si="7"/>
        <v>16928.600000000002</v>
      </c>
      <c r="AF141" s="11"/>
    </row>
    <row r="142" spans="1:32" outlineLevel="1">
      <c r="A142" s="6">
        <v>52200</v>
      </c>
      <c r="B142" s="6" t="s">
        <v>275</v>
      </c>
      <c r="C142" s="7"/>
      <c r="D142" s="3"/>
      <c r="E142" s="8"/>
      <c r="F142" s="9"/>
      <c r="G142" s="10">
        <v>311.25</v>
      </c>
      <c r="H142" s="9"/>
      <c r="I142" s="10">
        <v>233.77</v>
      </c>
      <c r="J142" s="9"/>
      <c r="K142" s="10">
        <v>48.58</v>
      </c>
      <c r="L142" s="9"/>
      <c r="M142" s="10">
        <v>372.13</v>
      </c>
      <c r="N142" s="9"/>
      <c r="O142" s="10">
        <v>175.5</v>
      </c>
      <c r="P142" s="9"/>
      <c r="Q142" s="10">
        <v>57.44</v>
      </c>
      <c r="R142" s="9"/>
      <c r="S142" s="10">
        <v>117.18</v>
      </c>
      <c r="T142" s="9"/>
      <c r="U142" s="10">
        <v>359.55</v>
      </c>
      <c r="V142" s="9"/>
      <c r="W142" s="10">
        <v>56.87</v>
      </c>
      <c r="X142" s="9"/>
      <c r="Y142" s="10">
        <v>162.16999999999999</v>
      </c>
      <c r="Z142" s="9"/>
      <c r="AA142" s="10">
        <v>51.36</v>
      </c>
      <c r="AB142" s="9"/>
      <c r="AC142" s="10">
        <v>60.68</v>
      </c>
      <c r="AD142" s="9"/>
      <c r="AE142" s="10">
        <f t="shared" si="7"/>
        <v>2006.48</v>
      </c>
      <c r="AF142" s="11"/>
    </row>
    <row r="143" spans="1:32" outlineLevel="1">
      <c r="A143" s="6">
        <v>52900</v>
      </c>
      <c r="B143" s="6" t="s">
        <v>62</v>
      </c>
      <c r="C143" s="7"/>
      <c r="D143" s="3"/>
      <c r="E143" s="8"/>
      <c r="F143" s="9"/>
      <c r="G143" s="10">
        <v>0</v>
      </c>
      <c r="H143" s="9"/>
      <c r="I143" s="10">
        <v>0</v>
      </c>
      <c r="J143" s="9"/>
      <c r="K143" s="10">
        <v>0</v>
      </c>
      <c r="L143" s="9"/>
      <c r="M143" s="10">
        <v>0</v>
      </c>
      <c r="N143" s="9"/>
      <c r="O143" s="10">
        <v>0</v>
      </c>
      <c r="P143" s="9"/>
      <c r="Q143" s="10">
        <v>0</v>
      </c>
      <c r="R143" s="9"/>
      <c r="S143" s="10">
        <v>0</v>
      </c>
      <c r="T143" s="9"/>
      <c r="U143" s="10">
        <v>-1400</v>
      </c>
      <c r="V143" s="9"/>
      <c r="W143" s="10">
        <v>0</v>
      </c>
      <c r="X143" s="9"/>
      <c r="Y143" s="10">
        <v>0</v>
      </c>
      <c r="Z143" s="9"/>
      <c r="AA143" s="10">
        <v>0</v>
      </c>
      <c r="AB143" s="9"/>
      <c r="AC143" s="10">
        <v>-1790.95</v>
      </c>
      <c r="AD143" s="9"/>
      <c r="AE143" s="10">
        <f t="shared" si="7"/>
        <v>-3190.95</v>
      </c>
      <c r="AF143" s="11"/>
    </row>
    <row r="144" spans="1:32" outlineLevel="1">
      <c r="A144" s="6">
        <v>52901</v>
      </c>
      <c r="B144" s="6" t="s">
        <v>63</v>
      </c>
      <c r="C144" s="7"/>
      <c r="D144" s="3"/>
      <c r="E144" s="8"/>
      <c r="F144" s="9"/>
      <c r="G144" s="10">
        <v>0</v>
      </c>
      <c r="H144" s="9"/>
      <c r="I144" s="10">
        <v>0</v>
      </c>
      <c r="J144" s="9"/>
      <c r="K144" s="10">
        <v>0</v>
      </c>
      <c r="L144" s="9"/>
      <c r="M144" s="10">
        <v>0</v>
      </c>
      <c r="N144" s="9"/>
      <c r="O144" s="10">
        <v>0</v>
      </c>
      <c r="P144" s="9"/>
      <c r="Q144" s="10">
        <v>0</v>
      </c>
      <c r="R144" s="9"/>
      <c r="S144" s="10">
        <v>0</v>
      </c>
      <c r="T144" s="9"/>
      <c r="U144" s="10">
        <v>0</v>
      </c>
      <c r="V144" s="9"/>
      <c r="W144" s="10">
        <v>0</v>
      </c>
      <c r="X144" s="9"/>
      <c r="Y144" s="10">
        <v>0</v>
      </c>
      <c r="Z144" s="9"/>
      <c r="AA144" s="10">
        <v>0</v>
      </c>
      <c r="AB144" s="9"/>
      <c r="AC144" s="10">
        <v>0</v>
      </c>
      <c r="AD144" s="9"/>
      <c r="AE144" s="10">
        <f t="shared" si="7"/>
        <v>0</v>
      </c>
      <c r="AF144" s="11"/>
    </row>
    <row r="145" spans="1:32" s="8" customFormat="1" ht="5.0999999999999996" customHeight="1" outlineLevel="1">
      <c r="A145" s="7"/>
      <c r="B145" s="7"/>
      <c r="C145" s="7"/>
      <c r="D145" s="7"/>
      <c r="G145" s="38"/>
      <c r="H145" s="36"/>
      <c r="I145" s="38"/>
      <c r="J145" s="36"/>
      <c r="K145" s="38"/>
      <c r="L145" s="36"/>
      <c r="M145" s="38"/>
      <c r="N145" s="36"/>
      <c r="O145" s="38"/>
      <c r="P145" s="36"/>
      <c r="Q145" s="38"/>
      <c r="R145" s="36"/>
      <c r="S145" s="38"/>
      <c r="T145" s="36"/>
      <c r="U145" s="38"/>
      <c r="V145" s="36"/>
      <c r="W145" s="38"/>
      <c r="X145" s="36"/>
      <c r="Y145" s="38"/>
      <c r="Z145" s="36"/>
      <c r="AA145" s="38"/>
      <c r="AB145" s="36"/>
      <c r="AC145" s="38"/>
      <c r="AD145" s="36"/>
      <c r="AE145" s="38"/>
      <c r="AF145" s="16"/>
    </row>
    <row r="146" spans="1:32" s="8" customFormat="1" ht="15">
      <c r="C146" s="7" t="s">
        <v>276</v>
      </c>
      <c r="G146" s="35">
        <f>SUM(G113:G145)</f>
        <v>393797.80999999988</v>
      </c>
      <c r="H146" s="36"/>
      <c r="I146" s="35">
        <f>SUM(I113:I145)</f>
        <v>389488.80000000005</v>
      </c>
      <c r="J146" s="36"/>
      <c r="K146" s="35">
        <f>SUM(K113:K145)</f>
        <v>400475.84</v>
      </c>
      <c r="L146" s="36"/>
      <c r="M146" s="35">
        <f>SUM(M113:M145)</f>
        <v>399383.70999999996</v>
      </c>
      <c r="N146" s="36"/>
      <c r="O146" s="35">
        <f>SUM(O113:O145)</f>
        <v>377425.1</v>
      </c>
      <c r="P146" s="36"/>
      <c r="Q146" s="35">
        <f>SUM(Q113:Q145)</f>
        <v>415045.68</v>
      </c>
      <c r="R146" s="36"/>
      <c r="S146" s="35">
        <f>SUM(S113:S145)</f>
        <v>402612.49999999988</v>
      </c>
      <c r="T146" s="36"/>
      <c r="U146" s="35">
        <f>SUM(U113:U145)</f>
        <v>448881.45999999996</v>
      </c>
      <c r="V146" s="36"/>
      <c r="W146" s="35">
        <f>SUM(W113:W145)</f>
        <v>459023.55000000005</v>
      </c>
      <c r="X146" s="36"/>
      <c r="Y146" s="35">
        <f>SUM(Y113:Y145)</f>
        <v>423537.95</v>
      </c>
      <c r="Z146" s="36"/>
      <c r="AA146" s="35">
        <f>SUM(AA113:AA145)</f>
        <v>441438.80999999994</v>
      </c>
      <c r="AB146" s="36"/>
      <c r="AC146" s="35">
        <f>SUM(AC113:AC145)</f>
        <v>430113.31000000006</v>
      </c>
      <c r="AD146" s="36"/>
      <c r="AE146" s="35">
        <f>SUM(AE113:AE145)</f>
        <v>4981224.5199999996</v>
      </c>
      <c r="AF146" s="16"/>
    </row>
    <row r="147" spans="1:32" s="8" customFormat="1" ht="15" outlineLevel="1">
      <c r="G147" s="37"/>
      <c r="H147" s="36"/>
      <c r="I147" s="37"/>
      <c r="J147" s="36"/>
      <c r="K147" s="37"/>
      <c r="L147" s="36"/>
      <c r="M147" s="37"/>
      <c r="N147" s="36"/>
      <c r="O147" s="37"/>
      <c r="P147" s="36"/>
      <c r="Q147" s="37"/>
      <c r="R147" s="36"/>
      <c r="S147" s="37"/>
      <c r="T147" s="36"/>
      <c r="U147" s="37"/>
      <c r="V147" s="36"/>
      <c r="W147" s="37"/>
      <c r="X147" s="36"/>
      <c r="Y147" s="37"/>
      <c r="Z147" s="36"/>
      <c r="AA147" s="37"/>
      <c r="AB147" s="36"/>
      <c r="AC147" s="37"/>
      <c r="AD147" s="36"/>
      <c r="AE147" s="37"/>
      <c r="AF147" s="16"/>
    </row>
    <row r="148" spans="1:32" s="8" customFormat="1" ht="15" outlineLevel="1">
      <c r="G148" s="37"/>
      <c r="H148" s="36"/>
      <c r="I148" s="37"/>
      <c r="J148" s="36"/>
      <c r="K148" s="37"/>
      <c r="L148" s="36"/>
      <c r="M148" s="37"/>
      <c r="N148" s="36"/>
      <c r="O148" s="37"/>
      <c r="P148" s="36"/>
      <c r="Q148" s="37"/>
      <c r="R148" s="36"/>
      <c r="S148" s="37"/>
      <c r="T148" s="36"/>
      <c r="U148" s="37"/>
      <c r="V148" s="36"/>
      <c r="W148" s="37"/>
      <c r="X148" s="36"/>
      <c r="Y148" s="37"/>
      <c r="Z148" s="36"/>
      <c r="AA148" s="37"/>
      <c r="AB148" s="36"/>
      <c r="AC148" s="37"/>
      <c r="AD148" s="36"/>
      <c r="AE148" s="37"/>
      <c r="AF148" s="16"/>
    </row>
    <row r="149" spans="1:32" outlineLevel="1">
      <c r="A149" s="6">
        <v>55020</v>
      </c>
      <c r="B149" s="6" t="s">
        <v>42</v>
      </c>
      <c r="C149" s="7"/>
      <c r="D149" s="3"/>
      <c r="E149" s="8"/>
      <c r="F149" s="9"/>
      <c r="G149" s="10">
        <v>24304.5</v>
      </c>
      <c r="H149" s="9"/>
      <c r="I149" s="10">
        <v>25702.959999999999</v>
      </c>
      <c r="J149" s="9"/>
      <c r="K149" s="10">
        <v>18070.93</v>
      </c>
      <c r="L149" s="9"/>
      <c r="M149" s="10">
        <v>21773.91</v>
      </c>
      <c r="N149" s="9"/>
      <c r="O149" s="10">
        <v>22122.6</v>
      </c>
      <c r="P149" s="9"/>
      <c r="Q149" s="10">
        <v>27472.98</v>
      </c>
      <c r="R149" s="9"/>
      <c r="S149" s="10">
        <v>26606.04</v>
      </c>
      <c r="T149" s="9"/>
      <c r="U149" s="10">
        <v>30727.43</v>
      </c>
      <c r="V149" s="9"/>
      <c r="W149" s="10">
        <v>26508.5</v>
      </c>
      <c r="X149" s="9"/>
      <c r="Y149" s="10">
        <v>24731.56</v>
      </c>
      <c r="Z149" s="9"/>
      <c r="AA149" s="10">
        <v>26861.45</v>
      </c>
      <c r="AB149" s="9"/>
      <c r="AC149" s="10">
        <v>22973.45</v>
      </c>
      <c r="AD149" s="9"/>
      <c r="AE149" s="10">
        <f t="shared" ref="AE149:AE163" si="8">AC149+AA149+Y149+W149+U149+S149+Q149+O149+M149+K149+I149+G149</f>
        <v>297856.31000000006</v>
      </c>
      <c r="AF149" s="11"/>
    </row>
    <row r="150" spans="1:32" outlineLevel="1">
      <c r="A150" s="6">
        <v>55025</v>
      </c>
      <c r="B150" s="6" t="s">
        <v>43</v>
      </c>
      <c r="C150" s="7"/>
      <c r="D150" s="3"/>
      <c r="E150" s="8"/>
      <c r="F150" s="9"/>
      <c r="G150" s="10">
        <v>2511.4</v>
      </c>
      <c r="H150" s="9"/>
      <c r="I150" s="10">
        <v>1083.8499999999999</v>
      </c>
      <c r="J150" s="9"/>
      <c r="K150" s="10">
        <v>854.2</v>
      </c>
      <c r="L150" s="9"/>
      <c r="M150" s="10">
        <v>1228.8499999999999</v>
      </c>
      <c r="N150" s="9"/>
      <c r="O150" s="10">
        <v>2106.02</v>
      </c>
      <c r="P150" s="9"/>
      <c r="Q150" s="10">
        <v>2272.65</v>
      </c>
      <c r="R150" s="9"/>
      <c r="S150" s="10">
        <v>2286.4699999999998</v>
      </c>
      <c r="T150" s="9"/>
      <c r="U150" s="10">
        <v>2079.5700000000002</v>
      </c>
      <c r="V150" s="9"/>
      <c r="W150" s="10">
        <v>2027.39</v>
      </c>
      <c r="X150" s="9"/>
      <c r="Y150" s="10">
        <v>1774.06</v>
      </c>
      <c r="Z150" s="9"/>
      <c r="AA150" s="10">
        <v>1308.3499999999999</v>
      </c>
      <c r="AB150" s="9"/>
      <c r="AC150" s="10">
        <v>824.91</v>
      </c>
      <c r="AD150" s="9"/>
      <c r="AE150" s="10">
        <f t="shared" si="8"/>
        <v>20357.72</v>
      </c>
      <c r="AF150" s="11"/>
    </row>
    <row r="151" spans="1:32" outlineLevel="1">
      <c r="A151" s="6">
        <v>55035</v>
      </c>
      <c r="B151" s="6" t="s">
        <v>44</v>
      </c>
      <c r="C151" s="7"/>
      <c r="D151" s="3"/>
      <c r="E151" s="8"/>
      <c r="F151" s="9"/>
      <c r="G151" s="10">
        <v>0</v>
      </c>
      <c r="H151" s="9"/>
      <c r="I151" s="10">
        <v>0</v>
      </c>
      <c r="J151" s="9"/>
      <c r="K151" s="10">
        <v>0</v>
      </c>
      <c r="L151" s="9"/>
      <c r="M151" s="10">
        <v>0</v>
      </c>
      <c r="N151" s="9"/>
      <c r="O151" s="10">
        <v>0</v>
      </c>
      <c r="P151" s="9"/>
      <c r="Q151" s="10">
        <v>0</v>
      </c>
      <c r="R151" s="9"/>
      <c r="S151" s="10">
        <v>0</v>
      </c>
      <c r="T151" s="9"/>
      <c r="U151" s="10">
        <v>0</v>
      </c>
      <c r="V151" s="9"/>
      <c r="W151" s="10">
        <v>0</v>
      </c>
      <c r="X151" s="9"/>
      <c r="Y151" s="10">
        <v>0</v>
      </c>
      <c r="Z151" s="9"/>
      <c r="AA151" s="10">
        <v>0</v>
      </c>
      <c r="AB151" s="9"/>
      <c r="AC151" s="10">
        <v>0</v>
      </c>
      <c r="AD151" s="9"/>
      <c r="AE151" s="10">
        <f t="shared" si="8"/>
        <v>0</v>
      </c>
      <c r="AF151" s="11"/>
    </row>
    <row r="152" spans="1:32" outlineLevel="1">
      <c r="A152" s="6">
        <v>55036</v>
      </c>
      <c r="B152" s="6" t="s">
        <v>45</v>
      </c>
      <c r="C152" s="7"/>
      <c r="D152" s="3"/>
      <c r="E152" s="8"/>
      <c r="F152" s="9"/>
      <c r="G152" s="10">
        <v>0</v>
      </c>
      <c r="H152" s="9"/>
      <c r="I152" s="10">
        <v>0</v>
      </c>
      <c r="J152" s="9"/>
      <c r="K152" s="10">
        <v>0</v>
      </c>
      <c r="L152" s="9"/>
      <c r="M152" s="10">
        <v>0</v>
      </c>
      <c r="N152" s="9"/>
      <c r="O152" s="10">
        <v>0</v>
      </c>
      <c r="P152" s="9"/>
      <c r="Q152" s="10">
        <v>0</v>
      </c>
      <c r="R152" s="9"/>
      <c r="S152" s="10">
        <v>90.77</v>
      </c>
      <c r="T152" s="9"/>
      <c r="U152" s="10">
        <v>0</v>
      </c>
      <c r="V152" s="9"/>
      <c r="W152" s="10">
        <v>0</v>
      </c>
      <c r="X152" s="9"/>
      <c r="Y152" s="10">
        <v>0</v>
      </c>
      <c r="Z152" s="9"/>
      <c r="AA152" s="10">
        <v>400</v>
      </c>
      <c r="AB152" s="9"/>
      <c r="AC152" s="10">
        <v>0</v>
      </c>
      <c r="AD152" s="9"/>
      <c r="AE152" s="10">
        <f t="shared" si="8"/>
        <v>490.77</v>
      </c>
      <c r="AF152" s="11"/>
    </row>
    <row r="153" spans="1:32" outlineLevel="1">
      <c r="A153" s="6">
        <v>55050</v>
      </c>
      <c r="B153" s="6" t="s">
        <v>190</v>
      </c>
      <c r="C153" s="7"/>
      <c r="D153" s="3"/>
      <c r="E153" s="8"/>
      <c r="F153" s="9"/>
      <c r="G153" s="10">
        <v>2350.75</v>
      </c>
      <c r="H153" s="9"/>
      <c r="I153" s="10">
        <v>2426.09</v>
      </c>
      <c r="J153" s="9"/>
      <c r="K153" s="10">
        <v>2136.65</v>
      </c>
      <c r="L153" s="9"/>
      <c r="M153" s="10">
        <v>1736.44</v>
      </c>
      <c r="N153" s="9"/>
      <c r="O153" s="10">
        <v>2196.6999999999998</v>
      </c>
      <c r="P153" s="9"/>
      <c r="Q153" s="10">
        <v>2691.7</v>
      </c>
      <c r="R153" s="9"/>
      <c r="S153" s="10">
        <v>2448.15</v>
      </c>
      <c r="T153" s="9"/>
      <c r="U153" s="10">
        <v>2846.54</v>
      </c>
      <c r="V153" s="9"/>
      <c r="W153" s="10">
        <v>1727.91</v>
      </c>
      <c r="X153" s="9"/>
      <c r="Y153" s="10">
        <v>3001.11</v>
      </c>
      <c r="Z153" s="9"/>
      <c r="AA153" s="10">
        <v>2488.5300000000002</v>
      </c>
      <c r="AB153" s="9"/>
      <c r="AC153" s="10">
        <v>2120.19</v>
      </c>
      <c r="AD153" s="9"/>
      <c r="AE153" s="10">
        <f t="shared" si="8"/>
        <v>28170.76</v>
      </c>
      <c r="AF153" s="11"/>
    </row>
    <row r="154" spans="1:32" outlineLevel="1">
      <c r="A154" s="6">
        <v>55060</v>
      </c>
      <c r="B154" s="6" t="s">
        <v>138</v>
      </c>
      <c r="C154" s="7"/>
      <c r="D154" s="3"/>
      <c r="E154" s="8"/>
      <c r="F154" s="9"/>
      <c r="G154" s="10">
        <v>8716.02</v>
      </c>
      <c r="H154" s="9"/>
      <c r="I154" s="10">
        <v>8074.03</v>
      </c>
      <c r="J154" s="9"/>
      <c r="K154" s="10">
        <v>7716.02</v>
      </c>
      <c r="L154" s="9"/>
      <c r="M154" s="10">
        <v>6976.32</v>
      </c>
      <c r="N154" s="9"/>
      <c r="O154" s="10">
        <v>7110.16</v>
      </c>
      <c r="P154" s="9"/>
      <c r="Q154" s="10">
        <v>9110.16</v>
      </c>
      <c r="R154" s="9"/>
      <c r="S154" s="10">
        <v>10144.08</v>
      </c>
      <c r="T154" s="9"/>
      <c r="U154" s="10">
        <v>9715.85</v>
      </c>
      <c r="V154" s="9"/>
      <c r="W154" s="10">
        <v>9878.85</v>
      </c>
      <c r="X154" s="9"/>
      <c r="Y154" s="10">
        <v>9085.9699999999993</v>
      </c>
      <c r="Z154" s="9"/>
      <c r="AA154" s="10">
        <v>9948.75</v>
      </c>
      <c r="AB154" s="9"/>
      <c r="AC154" s="10">
        <v>9030.9599999999991</v>
      </c>
      <c r="AD154" s="9"/>
      <c r="AE154" s="10">
        <f t="shared" si="8"/>
        <v>105507.17000000001</v>
      </c>
      <c r="AF154" s="11"/>
    </row>
    <row r="155" spans="1:32" outlineLevel="1">
      <c r="A155" s="6">
        <v>55065</v>
      </c>
      <c r="B155" s="6" t="s">
        <v>39</v>
      </c>
      <c r="C155" s="7"/>
      <c r="D155" s="3"/>
      <c r="E155" s="8"/>
      <c r="F155" s="9"/>
      <c r="G155" s="10">
        <v>1291.3699999999999</v>
      </c>
      <c r="H155" s="9"/>
      <c r="I155" s="10">
        <v>1468.94</v>
      </c>
      <c r="J155" s="9"/>
      <c r="K155" s="10">
        <v>2104.91</v>
      </c>
      <c r="L155" s="9"/>
      <c r="M155" s="10">
        <v>34.51</v>
      </c>
      <c r="N155" s="9"/>
      <c r="O155" s="10">
        <v>553.66</v>
      </c>
      <c r="P155" s="9"/>
      <c r="Q155" s="10">
        <v>1651.45</v>
      </c>
      <c r="R155" s="9"/>
      <c r="S155" s="10">
        <v>430.16</v>
      </c>
      <c r="T155" s="9"/>
      <c r="U155" s="10">
        <v>1711.64</v>
      </c>
      <c r="V155" s="9"/>
      <c r="W155" s="10">
        <v>1365.17</v>
      </c>
      <c r="X155" s="9"/>
      <c r="Y155" s="10">
        <v>1250.82</v>
      </c>
      <c r="Z155" s="9"/>
      <c r="AA155" s="10">
        <v>1218.8399999999999</v>
      </c>
      <c r="AB155" s="9"/>
      <c r="AC155" s="10">
        <v>1121.52</v>
      </c>
      <c r="AD155" s="9"/>
      <c r="AE155" s="10">
        <f t="shared" si="8"/>
        <v>14202.990000000002</v>
      </c>
      <c r="AF155" s="11"/>
    </row>
    <row r="156" spans="1:32" outlineLevel="1">
      <c r="A156" s="6">
        <v>55070</v>
      </c>
      <c r="B156" s="6" t="s">
        <v>40</v>
      </c>
      <c r="C156" s="7"/>
      <c r="D156" s="3"/>
      <c r="E156" s="8"/>
      <c r="F156" s="9"/>
      <c r="G156" s="10">
        <v>1354.82</v>
      </c>
      <c r="H156" s="9"/>
      <c r="I156" s="10">
        <v>860.8</v>
      </c>
      <c r="J156" s="9"/>
      <c r="K156" s="10">
        <v>0</v>
      </c>
      <c r="L156" s="9"/>
      <c r="M156" s="10">
        <v>1026.17</v>
      </c>
      <c r="N156" s="9"/>
      <c r="O156" s="10">
        <v>-599.72</v>
      </c>
      <c r="P156" s="9"/>
      <c r="Q156" s="10">
        <v>49.01</v>
      </c>
      <c r="R156" s="9"/>
      <c r="S156" s="10">
        <v>51.19</v>
      </c>
      <c r="T156" s="9"/>
      <c r="U156" s="10">
        <v>51.19</v>
      </c>
      <c r="V156" s="9"/>
      <c r="W156" s="10">
        <v>250.15</v>
      </c>
      <c r="X156" s="9"/>
      <c r="Y156" s="10">
        <v>-15.13</v>
      </c>
      <c r="Z156" s="9"/>
      <c r="AA156" s="10">
        <v>146.77000000000001</v>
      </c>
      <c r="AB156" s="9"/>
      <c r="AC156" s="10">
        <v>306.07</v>
      </c>
      <c r="AD156" s="9"/>
      <c r="AE156" s="10">
        <f t="shared" si="8"/>
        <v>3481.3199999999997</v>
      </c>
      <c r="AF156" s="11"/>
    </row>
    <row r="157" spans="1:32" outlineLevel="1">
      <c r="A157" s="6">
        <v>55090</v>
      </c>
      <c r="B157" s="6" t="s">
        <v>57</v>
      </c>
      <c r="C157" s="7"/>
      <c r="D157" s="3"/>
      <c r="E157" s="8"/>
      <c r="F157" s="9"/>
      <c r="G157" s="10">
        <v>1261.1199999999999</v>
      </c>
      <c r="H157" s="9"/>
      <c r="I157" s="10">
        <v>1043.3699999999999</v>
      </c>
      <c r="J157" s="9"/>
      <c r="K157" s="10">
        <v>980.61</v>
      </c>
      <c r="L157" s="9"/>
      <c r="M157" s="10">
        <v>672.4</v>
      </c>
      <c r="N157" s="9"/>
      <c r="O157" s="10">
        <v>827.74</v>
      </c>
      <c r="P157" s="9"/>
      <c r="Q157" s="10">
        <v>966.31</v>
      </c>
      <c r="R157" s="9"/>
      <c r="S157" s="10">
        <v>1498.89</v>
      </c>
      <c r="T157" s="9"/>
      <c r="U157" s="10">
        <v>774.25</v>
      </c>
      <c r="V157" s="9"/>
      <c r="W157" s="10">
        <v>1827.83</v>
      </c>
      <c r="X157" s="9"/>
      <c r="Y157" s="10">
        <v>2376.2800000000002</v>
      </c>
      <c r="Z157" s="9"/>
      <c r="AA157" s="10">
        <v>2650.1</v>
      </c>
      <c r="AB157" s="9"/>
      <c r="AC157" s="10">
        <v>1364.89</v>
      </c>
      <c r="AD157" s="9"/>
      <c r="AE157" s="10">
        <f t="shared" si="8"/>
        <v>16243.789999999997</v>
      </c>
      <c r="AF157" s="11"/>
    </row>
    <row r="158" spans="1:32" outlineLevel="1">
      <c r="A158" s="6">
        <v>55115</v>
      </c>
      <c r="B158" s="6" t="s">
        <v>265</v>
      </c>
      <c r="C158" s="7"/>
      <c r="D158" s="3"/>
      <c r="E158" s="8"/>
      <c r="F158" s="9"/>
      <c r="G158" s="10">
        <v>246.63</v>
      </c>
      <c r="H158" s="9"/>
      <c r="I158" s="10">
        <v>342.52</v>
      </c>
      <c r="J158" s="9"/>
      <c r="K158" s="10">
        <v>275.22000000000003</v>
      </c>
      <c r="L158" s="9"/>
      <c r="M158" s="10">
        <v>225.24</v>
      </c>
      <c r="N158" s="9"/>
      <c r="O158" s="10">
        <v>243.63</v>
      </c>
      <c r="P158" s="9"/>
      <c r="Q158" s="10">
        <v>250.4</v>
      </c>
      <c r="R158" s="9"/>
      <c r="S158" s="10">
        <v>223.79</v>
      </c>
      <c r="T158" s="9"/>
      <c r="U158" s="10">
        <v>370.12</v>
      </c>
      <c r="V158" s="9"/>
      <c r="W158" s="10">
        <v>205.22</v>
      </c>
      <c r="X158" s="9"/>
      <c r="Y158" s="10">
        <v>233.46</v>
      </c>
      <c r="Z158" s="9"/>
      <c r="AA158" s="10">
        <v>216.82</v>
      </c>
      <c r="AB158" s="9"/>
      <c r="AC158" s="10">
        <v>163.65</v>
      </c>
      <c r="AD158" s="9"/>
      <c r="AE158" s="10">
        <f t="shared" si="8"/>
        <v>2996.7000000000003</v>
      </c>
      <c r="AF158" s="11"/>
    </row>
    <row r="159" spans="1:32" outlineLevel="1">
      <c r="A159" s="6">
        <v>55120</v>
      </c>
      <c r="B159" s="6" t="s">
        <v>270</v>
      </c>
      <c r="C159" s="7"/>
      <c r="D159" s="3"/>
      <c r="E159" s="8"/>
      <c r="F159" s="9"/>
      <c r="G159" s="10">
        <v>17903.28</v>
      </c>
      <c r="H159" s="9"/>
      <c r="I159" s="10">
        <v>14787.07</v>
      </c>
      <c r="J159" s="9"/>
      <c r="K159" s="10">
        <v>14965.72</v>
      </c>
      <c r="L159" s="9"/>
      <c r="M159" s="10">
        <v>16561.34</v>
      </c>
      <c r="N159" s="9"/>
      <c r="O159" s="10">
        <v>16836.93</v>
      </c>
      <c r="P159" s="9"/>
      <c r="Q159" s="10">
        <v>15450.47</v>
      </c>
      <c r="R159" s="9"/>
      <c r="S159" s="10">
        <v>12139.63</v>
      </c>
      <c r="T159" s="9"/>
      <c r="U159" s="10">
        <v>17122.36</v>
      </c>
      <c r="V159" s="9"/>
      <c r="W159" s="10">
        <v>13792.25</v>
      </c>
      <c r="X159" s="9"/>
      <c r="Y159" s="10">
        <v>18379.240000000002</v>
      </c>
      <c r="Z159" s="9"/>
      <c r="AA159" s="10">
        <v>17460.5</v>
      </c>
      <c r="AB159" s="9"/>
      <c r="AC159" s="10">
        <v>16995.32</v>
      </c>
      <c r="AD159" s="9"/>
      <c r="AE159" s="10">
        <f t="shared" si="8"/>
        <v>192394.11000000002</v>
      </c>
      <c r="AF159" s="11"/>
    </row>
    <row r="160" spans="1:32" outlineLevel="1">
      <c r="A160" s="6">
        <v>55125</v>
      </c>
      <c r="B160" s="6" t="s">
        <v>48</v>
      </c>
      <c r="C160" s="7"/>
      <c r="D160" s="3"/>
      <c r="E160" s="8"/>
      <c r="F160" s="9"/>
      <c r="G160" s="10">
        <v>11.64</v>
      </c>
      <c r="H160" s="9"/>
      <c r="I160" s="10">
        <v>0</v>
      </c>
      <c r="J160" s="9"/>
      <c r="K160" s="10">
        <v>0</v>
      </c>
      <c r="L160" s="9"/>
      <c r="M160" s="10">
        <v>0</v>
      </c>
      <c r="N160" s="9"/>
      <c r="O160" s="10">
        <v>0</v>
      </c>
      <c r="P160" s="9"/>
      <c r="Q160" s="10">
        <v>2443.42</v>
      </c>
      <c r="R160" s="9"/>
      <c r="S160" s="10">
        <v>0</v>
      </c>
      <c r="T160" s="9"/>
      <c r="U160" s="10">
        <v>0</v>
      </c>
      <c r="V160" s="9"/>
      <c r="W160" s="10">
        <v>22.18</v>
      </c>
      <c r="X160" s="9"/>
      <c r="Y160" s="10">
        <v>3180.82</v>
      </c>
      <c r="Z160" s="9"/>
      <c r="AA160" s="10">
        <v>164.56</v>
      </c>
      <c r="AB160" s="9"/>
      <c r="AC160" s="10">
        <v>-5.82</v>
      </c>
      <c r="AD160" s="9"/>
      <c r="AE160" s="10">
        <f t="shared" si="8"/>
        <v>5816.8</v>
      </c>
      <c r="AF160" s="11"/>
    </row>
    <row r="161" spans="1:32" outlineLevel="1">
      <c r="A161" s="6">
        <v>55135</v>
      </c>
      <c r="B161" s="6" t="s">
        <v>65</v>
      </c>
      <c r="C161" s="7"/>
      <c r="D161" s="3"/>
      <c r="E161" s="8"/>
      <c r="F161" s="9"/>
      <c r="G161" s="10">
        <v>0</v>
      </c>
      <c r="H161" s="9"/>
      <c r="I161" s="10">
        <v>22.42</v>
      </c>
      <c r="J161" s="9"/>
      <c r="K161" s="10">
        <v>0</v>
      </c>
      <c r="L161" s="9"/>
      <c r="M161" s="10">
        <v>627.64</v>
      </c>
      <c r="N161" s="9"/>
      <c r="O161" s="10">
        <v>0</v>
      </c>
      <c r="P161" s="9"/>
      <c r="Q161" s="10">
        <v>0</v>
      </c>
      <c r="R161" s="9"/>
      <c r="S161" s="10">
        <v>3015.16</v>
      </c>
      <c r="T161" s="9"/>
      <c r="U161" s="10">
        <v>0</v>
      </c>
      <c r="V161" s="9"/>
      <c r="W161" s="10">
        <v>1500</v>
      </c>
      <c r="X161" s="9"/>
      <c r="Y161" s="10">
        <v>3748.25</v>
      </c>
      <c r="Z161" s="9"/>
      <c r="AA161" s="10">
        <v>285.39999999999998</v>
      </c>
      <c r="AB161" s="9"/>
      <c r="AC161" s="10">
        <v>0</v>
      </c>
      <c r="AD161" s="9"/>
      <c r="AE161" s="10">
        <f t="shared" si="8"/>
        <v>9198.869999999999</v>
      </c>
      <c r="AF161" s="11"/>
    </row>
    <row r="162" spans="1:32" outlineLevel="1">
      <c r="A162" s="6">
        <v>55146</v>
      </c>
      <c r="B162" s="6" t="s">
        <v>79</v>
      </c>
      <c r="C162" s="7"/>
      <c r="D162" s="3"/>
      <c r="E162" s="8"/>
      <c r="F162" s="9"/>
      <c r="G162" s="10">
        <v>381.72</v>
      </c>
      <c r="H162" s="9"/>
      <c r="I162" s="10">
        <v>381.72</v>
      </c>
      <c r="J162" s="9"/>
      <c r="K162" s="10">
        <v>381.72</v>
      </c>
      <c r="L162" s="9"/>
      <c r="M162" s="10">
        <v>376.4</v>
      </c>
      <c r="N162" s="9"/>
      <c r="O162" s="10">
        <v>376.4</v>
      </c>
      <c r="P162" s="9"/>
      <c r="Q162" s="10">
        <v>515.87</v>
      </c>
      <c r="R162" s="9"/>
      <c r="S162" s="10">
        <v>752.8</v>
      </c>
      <c r="T162" s="9"/>
      <c r="U162" s="10">
        <v>376.4</v>
      </c>
      <c r="V162" s="9"/>
      <c r="W162" s="10">
        <v>752.8</v>
      </c>
      <c r="X162" s="9"/>
      <c r="Y162" s="10">
        <v>756.4</v>
      </c>
      <c r="Z162" s="9"/>
      <c r="AA162" s="10">
        <v>749.2</v>
      </c>
      <c r="AB162" s="9"/>
      <c r="AC162" s="10">
        <v>376.4</v>
      </c>
      <c r="AD162" s="9"/>
      <c r="AE162" s="10">
        <f t="shared" si="8"/>
        <v>6177.83</v>
      </c>
      <c r="AF162" s="11"/>
    </row>
    <row r="163" spans="1:32" outlineLevel="1">
      <c r="A163" s="6">
        <v>55150</v>
      </c>
      <c r="B163" s="6" t="s">
        <v>135</v>
      </c>
      <c r="C163" s="7"/>
      <c r="D163" s="3"/>
      <c r="E163" s="8"/>
      <c r="F163" s="9"/>
      <c r="G163" s="10">
        <v>770.88</v>
      </c>
      <c r="H163" s="9"/>
      <c r="I163" s="10">
        <v>824.78</v>
      </c>
      <c r="J163" s="9"/>
      <c r="K163" s="10">
        <v>924.89</v>
      </c>
      <c r="L163" s="9"/>
      <c r="M163" s="10">
        <v>910.78</v>
      </c>
      <c r="N163" s="9"/>
      <c r="O163" s="10">
        <v>880.45</v>
      </c>
      <c r="P163" s="9"/>
      <c r="Q163" s="10">
        <v>647.23</v>
      </c>
      <c r="R163" s="9"/>
      <c r="S163" s="10">
        <v>799.16</v>
      </c>
      <c r="T163" s="9"/>
      <c r="U163" s="10">
        <v>697.78</v>
      </c>
      <c r="V163" s="9"/>
      <c r="W163" s="10">
        <v>637.34</v>
      </c>
      <c r="X163" s="9"/>
      <c r="Y163" s="10">
        <v>640.67999999999995</v>
      </c>
      <c r="Z163" s="9"/>
      <c r="AA163" s="10">
        <v>744.29</v>
      </c>
      <c r="AB163" s="9"/>
      <c r="AC163" s="10">
        <v>663.94</v>
      </c>
      <c r="AD163" s="9"/>
      <c r="AE163" s="10">
        <f t="shared" si="8"/>
        <v>9142.1999999999989</v>
      </c>
      <c r="AF163" s="11"/>
    </row>
    <row r="164" spans="1:32" s="8" customFormat="1" ht="5.0999999999999996" customHeight="1" outlineLevel="1">
      <c r="A164" s="7"/>
      <c r="B164" s="7"/>
      <c r="C164" s="7"/>
      <c r="D164" s="7"/>
      <c r="G164" s="38"/>
      <c r="H164" s="36"/>
      <c r="I164" s="38"/>
      <c r="J164" s="36"/>
      <c r="K164" s="38"/>
      <c r="L164" s="36"/>
      <c r="M164" s="38"/>
      <c r="N164" s="36"/>
      <c r="O164" s="38"/>
      <c r="P164" s="36"/>
      <c r="Q164" s="38"/>
      <c r="R164" s="36"/>
      <c r="S164" s="38"/>
      <c r="T164" s="36"/>
      <c r="U164" s="38"/>
      <c r="V164" s="36"/>
      <c r="W164" s="38"/>
      <c r="X164" s="36"/>
      <c r="Y164" s="38"/>
      <c r="Z164" s="36"/>
      <c r="AA164" s="38"/>
      <c r="AB164" s="36"/>
      <c r="AC164" s="38"/>
      <c r="AD164" s="36"/>
      <c r="AE164" s="38"/>
      <c r="AF164" s="16"/>
    </row>
    <row r="165" spans="1:32" s="8" customFormat="1" ht="15">
      <c r="C165" s="7" t="s">
        <v>277</v>
      </c>
      <c r="G165" s="35">
        <f>SUM(G148:G164)</f>
        <v>61104.13</v>
      </c>
      <c r="H165" s="36"/>
      <c r="I165" s="35">
        <f>SUM(I148:I164)</f>
        <v>57018.55</v>
      </c>
      <c r="J165" s="36"/>
      <c r="K165" s="35">
        <f>SUM(K148:K164)</f>
        <v>48410.87</v>
      </c>
      <c r="L165" s="36"/>
      <c r="M165" s="35">
        <f>SUM(M148:M164)</f>
        <v>52149.999999999993</v>
      </c>
      <c r="N165" s="36"/>
      <c r="O165" s="35">
        <f>SUM(O148:O164)</f>
        <v>52654.569999999992</v>
      </c>
      <c r="P165" s="36"/>
      <c r="Q165" s="35">
        <f>SUM(Q148:Q164)</f>
        <v>63521.650000000009</v>
      </c>
      <c r="R165" s="36"/>
      <c r="S165" s="35">
        <f>SUM(S148:S164)</f>
        <v>60486.290000000008</v>
      </c>
      <c r="T165" s="36"/>
      <c r="U165" s="35">
        <f>SUM(U148:U164)</f>
        <v>66473.13</v>
      </c>
      <c r="V165" s="36"/>
      <c r="W165" s="35">
        <f>SUM(W148:W164)</f>
        <v>60495.590000000004</v>
      </c>
      <c r="X165" s="36"/>
      <c r="Y165" s="35">
        <f>SUM(Y148:Y164)</f>
        <v>69143.51999999999</v>
      </c>
      <c r="Z165" s="36"/>
      <c r="AA165" s="35">
        <f>SUM(AA148:AA164)</f>
        <v>64643.55999999999</v>
      </c>
      <c r="AB165" s="36"/>
      <c r="AC165" s="35">
        <f>SUM(AC148:AC164)</f>
        <v>55935.479999999996</v>
      </c>
      <c r="AD165" s="36"/>
      <c r="AE165" s="35">
        <f>SUM(AE148:AE164)</f>
        <v>712037.34000000008</v>
      </c>
      <c r="AF165" s="16"/>
    </row>
    <row r="166" spans="1:32" s="8" customFormat="1" ht="15" outlineLevel="1">
      <c r="G166" s="37"/>
      <c r="H166" s="36"/>
      <c r="I166" s="37"/>
      <c r="J166" s="36"/>
      <c r="K166" s="37"/>
      <c r="L166" s="36"/>
      <c r="M166" s="37"/>
      <c r="N166" s="36"/>
      <c r="O166" s="37"/>
      <c r="P166" s="36"/>
      <c r="Q166" s="37"/>
      <c r="R166" s="36"/>
      <c r="S166" s="37"/>
      <c r="T166" s="36"/>
      <c r="U166" s="37"/>
      <c r="V166" s="36"/>
      <c r="W166" s="37"/>
      <c r="X166" s="36"/>
      <c r="Y166" s="37"/>
      <c r="Z166" s="36"/>
      <c r="AA166" s="37"/>
      <c r="AB166" s="36"/>
      <c r="AC166" s="37"/>
      <c r="AD166" s="36"/>
      <c r="AE166" s="37"/>
      <c r="AF166" s="16"/>
    </row>
    <row r="167" spans="1:32" s="8" customFormat="1" ht="15" outlineLevel="1">
      <c r="G167" s="37"/>
      <c r="H167" s="36"/>
      <c r="I167" s="37"/>
      <c r="J167" s="36"/>
      <c r="K167" s="37"/>
      <c r="L167" s="36"/>
      <c r="M167" s="37"/>
      <c r="N167" s="36"/>
      <c r="O167" s="37"/>
      <c r="P167" s="36"/>
      <c r="Q167" s="37"/>
      <c r="R167" s="36"/>
      <c r="S167" s="37"/>
      <c r="T167" s="36"/>
      <c r="U167" s="37"/>
      <c r="V167" s="36"/>
      <c r="W167" s="37"/>
      <c r="X167" s="36"/>
      <c r="Y167" s="37"/>
      <c r="Z167" s="36"/>
      <c r="AA167" s="37"/>
      <c r="AB167" s="36"/>
      <c r="AC167" s="37"/>
      <c r="AD167" s="36"/>
      <c r="AE167" s="37"/>
      <c r="AF167" s="16"/>
    </row>
    <row r="168" spans="1:32" outlineLevel="1">
      <c r="A168" s="6">
        <v>56010</v>
      </c>
      <c r="B168" s="6" t="s">
        <v>33</v>
      </c>
      <c r="C168" s="7"/>
      <c r="D168" s="3"/>
      <c r="E168" s="8"/>
      <c r="F168" s="9"/>
      <c r="G168" s="10">
        <v>31959.8</v>
      </c>
      <c r="H168" s="9"/>
      <c r="I168" s="10">
        <v>36704.9</v>
      </c>
      <c r="J168" s="9"/>
      <c r="K168" s="10">
        <v>43818.89</v>
      </c>
      <c r="L168" s="9"/>
      <c r="M168" s="10">
        <v>46285.68</v>
      </c>
      <c r="N168" s="9"/>
      <c r="O168" s="10">
        <v>42024.37</v>
      </c>
      <c r="P168" s="9"/>
      <c r="Q168" s="10">
        <v>22264.42</v>
      </c>
      <c r="R168" s="9"/>
      <c r="S168" s="10">
        <v>27756.55</v>
      </c>
      <c r="T168" s="9"/>
      <c r="U168" s="10">
        <v>36032.78</v>
      </c>
      <c r="V168" s="9"/>
      <c r="W168" s="10">
        <v>35327.449999999997</v>
      </c>
      <c r="X168" s="9"/>
      <c r="Y168" s="10">
        <v>38315.040000000001</v>
      </c>
      <c r="Z168" s="9"/>
      <c r="AA168" s="10">
        <v>36425.769999999997</v>
      </c>
      <c r="AB168" s="9"/>
      <c r="AC168" s="10">
        <v>40382.25</v>
      </c>
      <c r="AD168" s="9"/>
      <c r="AE168" s="10">
        <f t="shared" ref="AE168:AE183" si="9">AC168+AA168+Y168+W168+U168+S168+Q168+O168+M168+K168+I168+G168</f>
        <v>437297.9</v>
      </c>
      <c r="AF168" s="11"/>
    </row>
    <row r="169" spans="1:32" outlineLevel="1">
      <c r="A169" s="6">
        <v>56020</v>
      </c>
      <c r="B169" s="6" t="s">
        <v>42</v>
      </c>
      <c r="C169" s="7"/>
      <c r="D169" s="3"/>
      <c r="E169" s="8"/>
      <c r="F169" s="9"/>
      <c r="G169" s="10">
        <v>9150.2000000000007</v>
      </c>
      <c r="H169" s="9"/>
      <c r="I169" s="10">
        <v>9681.2800000000007</v>
      </c>
      <c r="J169" s="9"/>
      <c r="K169" s="10">
        <v>9646.3799999999992</v>
      </c>
      <c r="L169" s="9"/>
      <c r="M169" s="10">
        <v>8139.71</v>
      </c>
      <c r="N169" s="9"/>
      <c r="O169" s="10">
        <v>8536.49</v>
      </c>
      <c r="P169" s="9"/>
      <c r="Q169" s="10">
        <v>9620.64</v>
      </c>
      <c r="R169" s="9"/>
      <c r="S169" s="10">
        <v>8196.41</v>
      </c>
      <c r="T169" s="9"/>
      <c r="U169" s="10">
        <v>10446.879999999999</v>
      </c>
      <c r="V169" s="9"/>
      <c r="W169" s="10">
        <v>9339.9</v>
      </c>
      <c r="X169" s="9"/>
      <c r="Y169" s="10">
        <v>9765.08</v>
      </c>
      <c r="Z169" s="9"/>
      <c r="AA169" s="10">
        <v>9341.4</v>
      </c>
      <c r="AB169" s="9"/>
      <c r="AC169" s="10">
        <v>9358.2800000000007</v>
      </c>
      <c r="AD169" s="9"/>
      <c r="AE169" s="10">
        <f t="shared" si="9"/>
        <v>111222.65000000001</v>
      </c>
      <c r="AF169" s="11"/>
    </row>
    <row r="170" spans="1:32" outlineLevel="1">
      <c r="A170" s="6">
        <v>56025</v>
      </c>
      <c r="B170" s="6" t="s">
        <v>43</v>
      </c>
      <c r="C170" s="7"/>
      <c r="D170" s="3"/>
      <c r="E170" s="8"/>
      <c r="F170" s="9"/>
      <c r="G170" s="10">
        <v>646.83000000000004</v>
      </c>
      <c r="H170" s="9"/>
      <c r="I170" s="10">
        <v>470.88</v>
      </c>
      <c r="J170" s="9"/>
      <c r="K170" s="10">
        <v>543.27</v>
      </c>
      <c r="L170" s="9"/>
      <c r="M170" s="10">
        <v>995.85</v>
      </c>
      <c r="N170" s="9"/>
      <c r="O170" s="10">
        <v>227.1</v>
      </c>
      <c r="P170" s="9"/>
      <c r="Q170" s="10">
        <v>645.5</v>
      </c>
      <c r="R170" s="9"/>
      <c r="S170" s="10">
        <v>1268.1300000000001</v>
      </c>
      <c r="T170" s="9"/>
      <c r="U170" s="10">
        <v>763.73</v>
      </c>
      <c r="V170" s="9"/>
      <c r="W170" s="10">
        <v>998.88</v>
      </c>
      <c r="X170" s="9"/>
      <c r="Y170" s="10">
        <v>906.46</v>
      </c>
      <c r="Z170" s="9"/>
      <c r="AA170" s="10">
        <v>826.03</v>
      </c>
      <c r="AB170" s="9"/>
      <c r="AC170" s="10">
        <v>1548.3</v>
      </c>
      <c r="AD170" s="9"/>
      <c r="AE170" s="10">
        <f t="shared" si="9"/>
        <v>9840.9599999999991</v>
      </c>
      <c r="AF170" s="11"/>
    </row>
    <row r="171" spans="1:32" outlineLevel="1">
      <c r="A171" s="6">
        <v>56035</v>
      </c>
      <c r="B171" s="6" t="s">
        <v>44</v>
      </c>
      <c r="C171" s="7"/>
      <c r="D171" s="3"/>
      <c r="E171" s="8"/>
      <c r="F171" s="9"/>
      <c r="G171" s="10">
        <v>0</v>
      </c>
      <c r="H171" s="9"/>
      <c r="I171" s="10">
        <v>0</v>
      </c>
      <c r="J171" s="9"/>
      <c r="K171" s="10">
        <v>0</v>
      </c>
      <c r="L171" s="9"/>
      <c r="M171" s="10">
        <v>0</v>
      </c>
      <c r="N171" s="9"/>
      <c r="O171" s="10">
        <v>0</v>
      </c>
      <c r="P171" s="9"/>
      <c r="Q171" s="10">
        <v>0</v>
      </c>
      <c r="R171" s="9"/>
      <c r="S171" s="10">
        <v>0</v>
      </c>
      <c r="T171" s="9"/>
      <c r="U171" s="10">
        <v>0</v>
      </c>
      <c r="V171" s="9"/>
      <c r="W171" s="10">
        <v>0</v>
      </c>
      <c r="X171" s="9"/>
      <c r="Y171" s="10">
        <v>0</v>
      </c>
      <c r="Z171" s="9"/>
      <c r="AA171" s="10">
        <v>0</v>
      </c>
      <c r="AB171" s="9"/>
      <c r="AC171" s="10">
        <v>0</v>
      </c>
      <c r="AD171" s="9"/>
      <c r="AE171" s="10">
        <f t="shared" si="9"/>
        <v>0</v>
      </c>
      <c r="AF171" s="11"/>
    </row>
    <row r="172" spans="1:32" outlineLevel="1">
      <c r="A172" s="6">
        <v>56036</v>
      </c>
      <c r="B172" s="6" t="s">
        <v>45</v>
      </c>
      <c r="C172" s="7"/>
      <c r="D172" s="3"/>
      <c r="E172" s="8"/>
      <c r="F172" s="9"/>
      <c r="G172" s="10">
        <v>0</v>
      </c>
      <c r="H172" s="9"/>
      <c r="I172" s="10">
        <v>0</v>
      </c>
      <c r="J172" s="9"/>
      <c r="K172" s="10">
        <v>0</v>
      </c>
      <c r="L172" s="9"/>
      <c r="M172" s="10">
        <v>0</v>
      </c>
      <c r="N172" s="9"/>
      <c r="O172" s="10">
        <v>0</v>
      </c>
      <c r="P172" s="9"/>
      <c r="Q172" s="10">
        <v>-37.119999999999997</v>
      </c>
      <c r="R172" s="9"/>
      <c r="S172" s="10">
        <v>821.92</v>
      </c>
      <c r="T172" s="9"/>
      <c r="U172" s="10">
        <v>0</v>
      </c>
      <c r="V172" s="9"/>
      <c r="W172" s="10">
        <v>0</v>
      </c>
      <c r="X172" s="9"/>
      <c r="Y172" s="10">
        <v>0</v>
      </c>
      <c r="Z172" s="9"/>
      <c r="AA172" s="10">
        <v>0</v>
      </c>
      <c r="AB172" s="9"/>
      <c r="AC172" s="10">
        <v>0</v>
      </c>
      <c r="AD172" s="9"/>
      <c r="AE172" s="10">
        <f t="shared" si="9"/>
        <v>784.8</v>
      </c>
      <c r="AF172" s="11"/>
    </row>
    <row r="173" spans="1:32" outlineLevel="1">
      <c r="A173" s="6">
        <v>56050</v>
      </c>
      <c r="B173" s="6" t="s">
        <v>190</v>
      </c>
      <c r="C173" s="7"/>
      <c r="D173" s="3"/>
      <c r="E173" s="8"/>
      <c r="F173" s="9"/>
      <c r="G173" s="10">
        <v>2811.73</v>
      </c>
      <c r="H173" s="9"/>
      <c r="I173" s="10">
        <v>3237.56</v>
      </c>
      <c r="J173" s="9"/>
      <c r="K173" s="10">
        <v>4064.79</v>
      </c>
      <c r="L173" s="9"/>
      <c r="M173" s="10">
        <v>4849.18</v>
      </c>
      <c r="N173" s="9"/>
      <c r="O173" s="10">
        <v>3259.12</v>
      </c>
      <c r="P173" s="9"/>
      <c r="Q173" s="10">
        <v>1909.44</v>
      </c>
      <c r="R173" s="9"/>
      <c r="S173" s="10">
        <v>2819.34</v>
      </c>
      <c r="T173" s="9"/>
      <c r="U173" s="10">
        <v>3466.57</v>
      </c>
      <c r="V173" s="9"/>
      <c r="W173" s="10">
        <v>3160.89</v>
      </c>
      <c r="X173" s="9"/>
      <c r="Y173" s="10">
        <v>3388.44</v>
      </c>
      <c r="Z173" s="9"/>
      <c r="AA173" s="10">
        <v>6389.01</v>
      </c>
      <c r="AB173" s="9"/>
      <c r="AC173" s="10">
        <v>490.53</v>
      </c>
      <c r="AD173" s="9"/>
      <c r="AE173" s="10">
        <f t="shared" si="9"/>
        <v>39846.6</v>
      </c>
      <c r="AF173" s="11"/>
    </row>
    <row r="174" spans="1:32" outlineLevel="1">
      <c r="A174" s="6">
        <v>56060</v>
      </c>
      <c r="B174" s="6" t="s">
        <v>138</v>
      </c>
      <c r="C174" s="7"/>
      <c r="D174" s="3"/>
      <c r="E174" s="8"/>
      <c r="F174" s="9"/>
      <c r="G174" s="10">
        <v>7453.86</v>
      </c>
      <c r="H174" s="9"/>
      <c r="I174" s="10">
        <v>5439.55</v>
      </c>
      <c r="J174" s="9"/>
      <c r="K174" s="10">
        <v>7706.78</v>
      </c>
      <c r="L174" s="9"/>
      <c r="M174" s="10">
        <v>7450.81</v>
      </c>
      <c r="N174" s="9"/>
      <c r="O174" s="10">
        <v>8767.69</v>
      </c>
      <c r="P174" s="9"/>
      <c r="Q174" s="10">
        <v>5964.78</v>
      </c>
      <c r="R174" s="9"/>
      <c r="S174" s="10">
        <v>7637.81</v>
      </c>
      <c r="T174" s="9"/>
      <c r="U174" s="10">
        <v>6046.19</v>
      </c>
      <c r="V174" s="9"/>
      <c r="W174" s="10">
        <v>6620.8</v>
      </c>
      <c r="X174" s="9"/>
      <c r="Y174" s="10">
        <v>7529.42</v>
      </c>
      <c r="Z174" s="9"/>
      <c r="AA174" s="10">
        <v>7529.42</v>
      </c>
      <c r="AB174" s="9"/>
      <c r="AC174" s="10">
        <v>7530.22</v>
      </c>
      <c r="AD174" s="9"/>
      <c r="AE174" s="10">
        <f t="shared" si="9"/>
        <v>85677.33</v>
      </c>
      <c r="AF174" s="11"/>
    </row>
    <row r="175" spans="1:32" outlineLevel="1">
      <c r="A175" s="6">
        <v>56065</v>
      </c>
      <c r="B175" s="6" t="s">
        <v>39</v>
      </c>
      <c r="C175" s="7"/>
      <c r="D175" s="3"/>
      <c r="E175" s="8"/>
      <c r="F175" s="9"/>
      <c r="G175" s="10">
        <v>2310.04</v>
      </c>
      <c r="H175" s="9"/>
      <c r="I175" s="10">
        <v>4176.2700000000004</v>
      </c>
      <c r="J175" s="9"/>
      <c r="K175" s="10">
        <v>3126.93</v>
      </c>
      <c r="L175" s="9"/>
      <c r="M175" s="10">
        <v>3237.79</v>
      </c>
      <c r="N175" s="9"/>
      <c r="O175" s="10">
        <v>2081.1799999999998</v>
      </c>
      <c r="P175" s="9"/>
      <c r="Q175" s="10">
        <v>-4449.95</v>
      </c>
      <c r="R175" s="9"/>
      <c r="S175" s="10">
        <v>1997.18</v>
      </c>
      <c r="T175" s="9"/>
      <c r="U175" s="10">
        <v>2588.58</v>
      </c>
      <c r="V175" s="9"/>
      <c r="W175" s="10">
        <v>3722.43</v>
      </c>
      <c r="X175" s="9"/>
      <c r="Y175" s="10">
        <v>2471.33</v>
      </c>
      <c r="Z175" s="9"/>
      <c r="AA175" s="10">
        <v>3104.64</v>
      </c>
      <c r="AB175" s="9"/>
      <c r="AC175" s="10">
        <v>2588.38</v>
      </c>
      <c r="AD175" s="9"/>
      <c r="AE175" s="10">
        <f t="shared" si="9"/>
        <v>26954.800000000003</v>
      </c>
      <c r="AF175" s="11"/>
    </row>
    <row r="176" spans="1:32" outlineLevel="1">
      <c r="A176" s="6">
        <v>56070</v>
      </c>
      <c r="B176" s="6" t="s">
        <v>40</v>
      </c>
      <c r="C176" s="7"/>
      <c r="D176" s="3"/>
      <c r="E176" s="8"/>
      <c r="F176" s="9"/>
      <c r="G176" s="10">
        <v>0</v>
      </c>
      <c r="H176" s="9"/>
      <c r="I176" s="10">
        <v>0</v>
      </c>
      <c r="J176" s="9"/>
      <c r="K176" s="10">
        <v>0</v>
      </c>
      <c r="L176" s="9"/>
      <c r="M176" s="10">
        <v>1185.24</v>
      </c>
      <c r="N176" s="9"/>
      <c r="O176" s="10">
        <v>-488.04</v>
      </c>
      <c r="P176" s="9"/>
      <c r="Q176" s="10">
        <v>0</v>
      </c>
      <c r="R176" s="9"/>
      <c r="S176" s="10">
        <v>0</v>
      </c>
      <c r="T176" s="9"/>
      <c r="U176" s="10">
        <v>540.20000000000005</v>
      </c>
      <c r="V176" s="9"/>
      <c r="W176" s="10">
        <v>6161.73</v>
      </c>
      <c r="X176" s="9"/>
      <c r="Y176" s="10">
        <v>-62.24</v>
      </c>
      <c r="Z176" s="9"/>
      <c r="AA176" s="10">
        <v>230.8</v>
      </c>
      <c r="AB176" s="9"/>
      <c r="AC176" s="10">
        <v>5.76</v>
      </c>
      <c r="AD176" s="9"/>
      <c r="AE176" s="10">
        <f t="shared" si="9"/>
        <v>7573.4499999999989</v>
      </c>
      <c r="AF176" s="11"/>
    </row>
    <row r="177" spans="1:32" outlineLevel="1">
      <c r="A177" s="6">
        <v>56086</v>
      </c>
      <c r="B177" s="6" t="s">
        <v>263</v>
      </c>
      <c r="C177" s="7"/>
      <c r="D177" s="3"/>
      <c r="E177" s="8"/>
      <c r="F177" s="9"/>
      <c r="G177" s="10">
        <v>0</v>
      </c>
      <c r="H177" s="9"/>
      <c r="I177" s="10">
        <v>0</v>
      </c>
      <c r="J177" s="9"/>
      <c r="K177" s="10">
        <v>0</v>
      </c>
      <c r="L177" s="9"/>
      <c r="M177" s="10">
        <v>0</v>
      </c>
      <c r="N177" s="9"/>
      <c r="O177" s="10">
        <v>2030</v>
      </c>
      <c r="P177" s="9"/>
      <c r="Q177" s="10">
        <v>0</v>
      </c>
      <c r="R177" s="9"/>
      <c r="S177" s="10">
        <v>0</v>
      </c>
      <c r="T177" s="9"/>
      <c r="U177" s="10">
        <v>0</v>
      </c>
      <c r="V177" s="9"/>
      <c r="W177" s="10">
        <v>0</v>
      </c>
      <c r="X177" s="9"/>
      <c r="Y177" s="10">
        <v>0</v>
      </c>
      <c r="Z177" s="9"/>
      <c r="AA177" s="10">
        <v>0</v>
      </c>
      <c r="AB177" s="9"/>
      <c r="AC177" s="10">
        <v>0</v>
      </c>
      <c r="AD177" s="9"/>
      <c r="AE177" s="10">
        <f t="shared" si="9"/>
        <v>2030</v>
      </c>
      <c r="AF177" s="11"/>
    </row>
    <row r="178" spans="1:32" outlineLevel="1">
      <c r="A178" s="6">
        <v>56090</v>
      </c>
      <c r="B178" s="6" t="s">
        <v>57</v>
      </c>
      <c r="C178" s="7"/>
      <c r="D178" s="3"/>
      <c r="E178" s="8"/>
      <c r="F178" s="9"/>
      <c r="G178" s="10">
        <v>556.04</v>
      </c>
      <c r="H178" s="9"/>
      <c r="I178" s="10">
        <v>150</v>
      </c>
      <c r="J178" s="9"/>
      <c r="K178" s="10">
        <v>150</v>
      </c>
      <c r="L178" s="9"/>
      <c r="M178" s="10">
        <v>497.5</v>
      </c>
      <c r="N178" s="9"/>
      <c r="O178" s="10">
        <v>0</v>
      </c>
      <c r="P178" s="9"/>
      <c r="Q178" s="10">
        <v>0</v>
      </c>
      <c r="R178" s="9"/>
      <c r="S178" s="10">
        <v>0</v>
      </c>
      <c r="T178" s="9"/>
      <c r="U178" s="10">
        <v>0</v>
      </c>
      <c r="V178" s="9"/>
      <c r="W178" s="10">
        <v>117.06</v>
      </c>
      <c r="X178" s="9"/>
      <c r="Y178" s="10">
        <v>0</v>
      </c>
      <c r="Z178" s="9"/>
      <c r="AA178" s="10">
        <v>205.86</v>
      </c>
      <c r="AB178" s="9"/>
      <c r="AC178" s="10">
        <v>0</v>
      </c>
      <c r="AD178" s="9"/>
      <c r="AE178" s="10">
        <f t="shared" si="9"/>
        <v>1676.46</v>
      </c>
      <c r="AF178" s="11"/>
    </row>
    <row r="179" spans="1:32" outlineLevel="1">
      <c r="A179" s="6">
        <v>56115</v>
      </c>
      <c r="B179" s="6" t="s">
        <v>265</v>
      </c>
      <c r="C179" s="7"/>
      <c r="D179" s="3"/>
      <c r="E179" s="8"/>
      <c r="F179" s="9"/>
      <c r="G179" s="10">
        <v>908.43</v>
      </c>
      <c r="H179" s="9"/>
      <c r="I179" s="10">
        <v>1292.58</v>
      </c>
      <c r="J179" s="9"/>
      <c r="K179" s="10">
        <v>917.23</v>
      </c>
      <c r="L179" s="9"/>
      <c r="M179" s="10">
        <v>970.2</v>
      </c>
      <c r="N179" s="9"/>
      <c r="O179" s="10">
        <v>976.89</v>
      </c>
      <c r="P179" s="9"/>
      <c r="Q179" s="10">
        <v>44.55</v>
      </c>
      <c r="R179" s="9"/>
      <c r="S179" s="10">
        <v>626.25</v>
      </c>
      <c r="T179" s="9"/>
      <c r="U179" s="10">
        <v>653.20000000000005</v>
      </c>
      <c r="V179" s="9"/>
      <c r="W179" s="10">
        <v>368.72</v>
      </c>
      <c r="X179" s="9"/>
      <c r="Y179" s="10">
        <v>537.4</v>
      </c>
      <c r="Z179" s="9"/>
      <c r="AA179" s="10">
        <v>530.71</v>
      </c>
      <c r="AB179" s="9"/>
      <c r="AC179" s="10">
        <v>520.41</v>
      </c>
      <c r="AD179" s="9"/>
      <c r="AE179" s="10">
        <f t="shared" si="9"/>
        <v>8346.57</v>
      </c>
      <c r="AF179" s="11"/>
    </row>
    <row r="180" spans="1:32" outlineLevel="1">
      <c r="A180" s="6">
        <v>56125</v>
      </c>
      <c r="B180" s="6" t="s">
        <v>48</v>
      </c>
      <c r="C180" s="7"/>
      <c r="D180" s="3"/>
      <c r="E180" s="8"/>
      <c r="F180" s="9"/>
      <c r="G180" s="10">
        <v>5105.5</v>
      </c>
      <c r="H180" s="9"/>
      <c r="I180" s="10">
        <v>727.25</v>
      </c>
      <c r="J180" s="9"/>
      <c r="K180" s="10">
        <v>2811.84</v>
      </c>
      <c r="L180" s="9"/>
      <c r="M180" s="10">
        <v>2539.11</v>
      </c>
      <c r="N180" s="9"/>
      <c r="O180" s="10">
        <v>4214.51</v>
      </c>
      <c r="P180" s="9"/>
      <c r="Q180" s="10">
        <v>-42.52</v>
      </c>
      <c r="R180" s="9"/>
      <c r="S180" s="10">
        <v>3334.87</v>
      </c>
      <c r="T180" s="9"/>
      <c r="U180" s="10">
        <v>1374.25</v>
      </c>
      <c r="V180" s="9"/>
      <c r="W180" s="10">
        <v>3771.68</v>
      </c>
      <c r="X180" s="9"/>
      <c r="Y180" s="10">
        <v>6528.13</v>
      </c>
      <c r="Z180" s="9"/>
      <c r="AA180" s="10">
        <v>3548.81</v>
      </c>
      <c r="AB180" s="9"/>
      <c r="AC180" s="10">
        <v>301.74</v>
      </c>
      <c r="AD180" s="9"/>
      <c r="AE180" s="10">
        <f t="shared" si="9"/>
        <v>34215.17</v>
      </c>
      <c r="AF180" s="11"/>
    </row>
    <row r="181" spans="1:32" outlineLevel="1">
      <c r="A181" s="6">
        <v>56165</v>
      </c>
      <c r="B181" s="6" t="s">
        <v>58</v>
      </c>
      <c r="C181" s="7"/>
      <c r="D181" s="3"/>
      <c r="E181" s="8"/>
      <c r="F181" s="9"/>
      <c r="G181" s="10">
        <v>1135.2</v>
      </c>
      <c r="H181" s="9"/>
      <c r="I181" s="10">
        <v>1131.3499999999999</v>
      </c>
      <c r="J181" s="9"/>
      <c r="K181" s="10">
        <v>1130.8499999999999</v>
      </c>
      <c r="L181" s="9"/>
      <c r="M181" s="10">
        <v>1130.72</v>
      </c>
      <c r="N181" s="9"/>
      <c r="O181" s="10">
        <v>1130.72</v>
      </c>
      <c r="P181" s="9"/>
      <c r="Q181" s="10">
        <v>1130.72</v>
      </c>
      <c r="R181" s="9"/>
      <c r="S181" s="10">
        <v>1131.1099999999999</v>
      </c>
      <c r="T181" s="9"/>
      <c r="U181" s="10">
        <v>1131.98</v>
      </c>
      <c r="V181" s="9"/>
      <c r="W181" s="10">
        <v>1131.98</v>
      </c>
      <c r="X181" s="9"/>
      <c r="Y181" s="10">
        <v>1131.54</v>
      </c>
      <c r="Z181" s="9"/>
      <c r="AA181" s="10">
        <v>825.61</v>
      </c>
      <c r="AB181" s="9"/>
      <c r="AC181" s="10">
        <v>825.61</v>
      </c>
      <c r="AD181" s="9"/>
      <c r="AE181" s="10">
        <f t="shared" si="9"/>
        <v>12967.390000000001</v>
      </c>
      <c r="AF181" s="11"/>
    </row>
    <row r="182" spans="1:32" outlineLevel="1">
      <c r="A182" s="6">
        <v>56201</v>
      </c>
      <c r="B182" s="6" t="s">
        <v>278</v>
      </c>
      <c r="C182" s="7"/>
      <c r="D182" s="3"/>
      <c r="E182" s="8"/>
      <c r="F182" s="9"/>
      <c r="G182" s="10">
        <v>0</v>
      </c>
      <c r="H182" s="9"/>
      <c r="I182" s="10">
        <v>184.45</v>
      </c>
      <c r="J182" s="9"/>
      <c r="K182" s="10">
        <v>105.78</v>
      </c>
      <c r="L182" s="9"/>
      <c r="M182" s="10">
        <v>240</v>
      </c>
      <c r="N182" s="9"/>
      <c r="O182" s="10">
        <v>0</v>
      </c>
      <c r="P182" s="9"/>
      <c r="Q182" s="10">
        <v>0</v>
      </c>
      <c r="R182" s="9"/>
      <c r="S182" s="10">
        <v>0</v>
      </c>
      <c r="T182" s="9"/>
      <c r="U182" s="10">
        <v>0</v>
      </c>
      <c r="V182" s="9"/>
      <c r="W182" s="10">
        <v>0</v>
      </c>
      <c r="X182" s="9"/>
      <c r="Y182" s="10">
        <v>0</v>
      </c>
      <c r="Z182" s="9"/>
      <c r="AA182" s="10">
        <v>0</v>
      </c>
      <c r="AB182" s="9"/>
      <c r="AC182" s="10">
        <v>0</v>
      </c>
      <c r="AD182" s="9"/>
      <c r="AE182" s="10">
        <f t="shared" si="9"/>
        <v>530.23</v>
      </c>
      <c r="AF182" s="11"/>
    </row>
    <row r="183" spans="1:32" outlineLevel="1">
      <c r="A183" s="6">
        <v>56210</v>
      </c>
      <c r="B183" s="6" t="s">
        <v>275</v>
      </c>
      <c r="C183" s="7"/>
      <c r="D183" s="3"/>
      <c r="E183" s="8"/>
      <c r="F183" s="9"/>
      <c r="G183" s="10">
        <v>829.92</v>
      </c>
      <c r="H183" s="9"/>
      <c r="I183" s="10">
        <v>1248.58</v>
      </c>
      <c r="J183" s="9"/>
      <c r="K183" s="10">
        <v>1329.72</v>
      </c>
      <c r="L183" s="9"/>
      <c r="M183" s="10">
        <v>1312.18</v>
      </c>
      <c r="N183" s="9"/>
      <c r="O183" s="10">
        <v>976.64</v>
      </c>
      <c r="P183" s="9"/>
      <c r="Q183" s="10">
        <v>2502.7199999999998</v>
      </c>
      <c r="R183" s="9"/>
      <c r="S183" s="10">
        <v>361.29</v>
      </c>
      <c r="T183" s="9"/>
      <c r="U183" s="10">
        <v>28.23</v>
      </c>
      <c r="V183" s="9"/>
      <c r="W183" s="10">
        <v>0</v>
      </c>
      <c r="X183" s="9"/>
      <c r="Y183" s="10">
        <v>311.70999999999998</v>
      </c>
      <c r="Z183" s="9"/>
      <c r="AA183" s="10">
        <v>35.01</v>
      </c>
      <c r="AB183" s="9"/>
      <c r="AC183" s="10">
        <v>0</v>
      </c>
      <c r="AD183" s="9"/>
      <c r="AE183" s="10">
        <f t="shared" si="9"/>
        <v>8936</v>
      </c>
      <c r="AF183" s="11"/>
    </row>
    <row r="184" spans="1:32" s="8" customFormat="1" ht="5.0999999999999996" customHeight="1" outlineLevel="1">
      <c r="A184" s="7"/>
      <c r="B184" s="7"/>
      <c r="C184" s="7"/>
      <c r="D184" s="7"/>
      <c r="G184" s="38"/>
      <c r="H184" s="36"/>
      <c r="I184" s="38"/>
      <c r="J184" s="36"/>
      <c r="K184" s="38"/>
      <c r="L184" s="36"/>
      <c r="M184" s="38"/>
      <c r="N184" s="36"/>
      <c r="O184" s="38"/>
      <c r="P184" s="36"/>
      <c r="Q184" s="38"/>
      <c r="R184" s="36"/>
      <c r="S184" s="38"/>
      <c r="T184" s="36"/>
      <c r="U184" s="38"/>
      <c r="V184" s="36"/>
      <c r="W184" s="38"/>
      <c r="X184" s="36"/>
      <c r="Y184" s="38"/>
      <c r="Z184" s="36"/>
      <c r="AA184" s="38"/>
      <c r="AB184" s="36"/>
      <c r="AC184" s="38"/>
      <c r="AD184" s="36"/>
      <c r="AE184" s="38"/>
      <c r="AF184" s="16"/>
    </row>
    <row r="185" spans="1:32" s="8" customFormat="1" ht="15">
      <c r="C185" s="7" t="s">
        <v>279</v>
      </c>
      <c r="G185" s="35">
        <f>SUM(G167:G184)</f>
        <v>62867.55</v>
      </c>
      <c r="H185" s="36"/>
      <c r="I185" s="35">
        <f>SUM(I167:I184)</f>
        <v>64444.65</v>
      </c>
      <c r="J185" s="36"/>
      <c r="K185" s="35">
        <f>SUM(K167:K184)</f>
        <v>75352.459999999992</v>
      </c>
      <c r="L185" s="36"/>
      <c r="M185" s="35">
        <f>SUM(M167:M184)</f>
        <v>78833.969999999987</v>
      </c>
      <c r="N185" s="36"/>
      <c r="O185" s="35">
        <f>SUM(O167:O184)</f>
        <v>73736.67</v>
      </c>
      <c r="P185" s="36"/>
      <c r="Q185" s="35">
        <f>SUM(Q167:Q184)</f>
        <v>39553.180000000008</v>
      </c>
      <c r="R185" s="36"/>
      <c r="S185" s="35">
        <f>SUM(S167:S184)</f>
        <v>55950.859999999993</v>
      </c>
      <c r="T185" s="36"/>
      <c r="U185" s="35">
        <f>SUM(U167:U184)</f>
        <v>63072.590000000004</v>
      </c>
      <c r="V185" s="36"/>
      <c r="W185" s="35">
        <f>SUM(W167:W184)</f>
        <v>70721.51999999999</v>
      </c>
      <c r="X185" s="36"/>
      <c r="Y185" s="35">
        <f>SUM(Y167:Y184)</f>
        <v>70822.310000000012</v>
      </c>
      <c r="Z185" s="36"/>
      <c r="AA185" s="35">
        <f>SUM(AA167:AA184)</f>
        <v>68993.069999999992</v>
      </c>
      <c r="AB185" s="36"/>
      <c r="AC185" s="35">
        <f>SUM(AC167:AC184)</f>
        <v>63551.48</v>
      </c>
      <c r="AD185" s="36"/>
      <c r="AE185" s="35">
        <f>SUM(AE167:AE184)</f>
        <v>787900.30999999994</v>
      </c>
      <c r="AF185" s="16"/>
    </row>
    <row r="186" spans="1:32" s="8" customFormat="1" ht="15" outlineLevel="1">
      <c r="G186" s="37"/>
      <c r="H186" s="36"/>
      <c r="I186" s="37"/>
      <c r="J186" s="36"/>
      <c r="K186" s="37"/>
      <c r="L186" s="36"/>
      <c r="M186" s="37"/>
      <c r="N186" s="36"/>
      <c r="O186" s="37"/>
      <c r="P186" s="36"/>
      <c r="Q186" s="37"/>
      <c r="R186" s="36"/>
      <c r="S186" s="37"/>
      <c r="T186" s="36"/>
      <c r="U186" s="37"/>
      <c r="V186" s="36"/>
      <c r="W186" s="37"/>
      <c r="X186" s="36"/>
      <c r="Y186" s="37"/>
      <c r="Z186" s="36"/>
      <c r="AA186" s="37"/>
      <c r="AB186" s="36"/>
      <c r="AC186" s="37"/>
      <c r="AD186" s="36"/>
      <c r="AE186" s="37"/>
      <c r="AF186" s="16"/>
    </row>
    <row r="187" spans="1:32" s="8" customFormat="1" ht="15" outlineLevel="1">
      <c r="G187" s="37"/>
      <c r="H187" s="36"/>
      <c r="I187" s="37"/>
      <c r="J187" s="36"/>
      <c r="K187" s="37"/>
      <c r="L187" s="36"/>
      <c r="M187" s="37"/>
      <c r="N187" s="36"/>
      <c r="O187" s="37"/>
      <c r="P187" s="36"/>
      <c r="Q187" s="37"/>
      <c r="R187" s="36"/>
      <c r="S187" s="37"/>
      <c r="T187" s="36"/>
      <c r="U187" s="37"/>
      <c r="V187" s="36"/>
      <c r="W187" s="37"/>
      <c r="X187" s="36"/>
      <c r="Y187" s="37"/>
      <c r="Z187" s="36"/>
      <c r="AA187" s="37"/>
      <c r="AB187" s="36"/>
      <c r="AC187" s="37"/>
      <c r="AD187" s="36"/>
      <c r="AE187" s="37"/>
      <c r="AF187" s="16"/>
    </row>
    <row r="188" spans="1:32" outlineLevel="1">
      <c r="A188" s="6">
        <v>57125</v>
      </c>
      <c r="B188" s="6" t="s">
        <v>48</v>
      </c>
      <c r="C188" s="7"/>
      <c r="D188" s="3"/>
      <c r="E188" s="8"/>
      <c r="F188" s="9"/>
      <c r="G188" s="10">
        <v>0</v>
      </c>
      <c r="H188" s="9"/>
      <c r="I188" s="10">
        <v>0</v>
      </c>
      <c r="J188" s="9"/>
      <c r="K188" s="10">
        <v>0</v>
      </c>
      <c r="L188" s="9"/>
      <c r="M188" s="10">
        <v>0</v>
      </c>
      <c r="N188" s="9"/>
      <c r="O188" s="10">
        <v>16.239999999999998</v>
      </c>
      <c r="P188" s="9"/>
      <c r="Q188" s="10">
        <v>0</v>
      </c>
      <c r="R188" s="9"/>
      <c r="S188" s="10">
        <v>0</v>
      </c>
      <c r="T188" s="9"/>
      <c r="U188" s="10">
        <v>0</v>
      </c>
      <c r="V188" s="9"/>
      <c r="W188" s="10">
        <v>0</v>
      </c>
      <c r="X188" s="9"/>
      <c r="Y188" s="10">
        <v>0</v>
      </c>
      <c r="Z188" s="9"/>
      <c r="AA188" s="10">
        <v>0</v>
      </c>
      <c r="AB188" s="9"/>
      <c r="AC188" s="10">
        <v>0</v>
      </c>
      <c r="AD188" s="9"/>
      <c r="AE188" s="10">
        <f t="shared" ref="AE188:AE202" si="10">AC188+AA188+Y188+W188+U188+S188+Q188+O188+M188+K188+I188+G188</f>
        <v>16.239999999999998</v>
      </c>
      <c r="AF188" s="11"/>
    </row>
    <row r="189" spans="1:32" outlineLevel="1">
      <c r="A189" s="6">
        <v>57147</v>
      </c>
      <c r="B189" s="6" t="s">
        <v>280</v>
      </c>
      <c r="C189" s="7"/>
      <c r="D189" s="3"/>
      <c r="E189" s="8"/>
      <c r="F189" s="9"/>
      <c r="G189" s="10">
        <v>17735.34</v>
      </c>
      <c r="H189" s="9"/>
      <c r="I189" s="10">
        <v>19659.09</v>
      </c>
      <c r="J189" s="9"/>
      <c r="K189" s="10">
        <v>7156.76</v>
      </c>
      <c r="L189" s="9"/>
      <c r="M189" s="10">
        <v>9467.65</v>
      </c>
      <c r="N189" s="9"/>
      <c r="O189" s="10">
        <v>28410.99</v>
      </c>
      <c r="P189" s="9"/>
      <c r="Q189" s="10">
        <v>16323.31</v>
      </c>
      <c r="R189" s="9"/>
      <c r="S189" s="10">
        <v>31954.6</v>
      </c>
      <c r="T189" s="9"/>
      <c r="U189" s="10">
        <v>15288.77</v>
      </c>
      <c r="V189" s="9"/>
      <c r="W189" s="10">
        <v>25453.89</v>
      </c>
      <c r="X189" s="9"/>
      <c r="Y189" s="10">
        <v>14332.07</v>
      </c>
      <c r="Z189" s="9"/>
      <c r="AA189" s="10">
        <v>23819.4</v>
      </c>
      <c r="AB189" s="9"/>
      <c r="AC189" s="10">
        <v>12541.5</v>
      </c>
      <c r="AD189" s="9"/>
      <c r="AE189" s="10">
        <f t="shared" si="10"/>
        <v>222143.37</v>
      </c>
      <c r="AF189" s="11"/>
    </row>
    <row r="190" spans="1:32" outlineLevel="1">
      <c r="A190" s="6">
        <v>57150</v>
      </c>
      <c r="B190" s="6" t="s">
        <v>135</v>
      </c>
      <c r="C190" s="7"/>
      <c r="D190" s="3"/>
      <c r="E190" s="8"/>
      <c r="F190" s="9"/>
      <c r="G190" s="10">
        <v>1858.39</v>
      </c>
      <c r="H190" s="9"/>
      <c r="I190" s="10">
        <v>933.64</v>
      </c>
      <c r="J190" s="9"/>
      <c r="K190" s="10">
        <v>2025.2</v>
      </c>
      <c r="L190" s="9"/>
      <c r="M190" s="10">
        <v>1057.8499999999999</v>
      </c>
      <c r="N190" s="9"/>
      <c r="O190" s="10">
        <v>2080.0300000000002</v>
      </c>
      <c r="P190" s="9"/>
      <c r="Q190" s="10">
        <v>1120.68</v>
      </c>
      <c r="R190" s="9"/>
      <c r="S190" s="10">
        <v>1960.52</v>
      </c>
      <c r="T190" s="9"/>
      <c r="U190" s="10">
        <v>1045.93</v>
      </c>
      <c r="V190" s="9"/>
      <c r="W190" s="10">
        <v>1762.24</v>
      </c>
      <c r="X190" s="9"/>
      <c r="Y190" s="10">
        <v>1152.5</v>
      </c>
      <c r="Z190" s="9"/>
      <c r="AA190" s="10">
        <v>1981.53</v>
      </c>
      <c r="AB190" s="9"/>
      <c r="AC190" s="10">
        <v>1396.2</v>
      </c>
      <c r="AD190" s="9"/>
      <c r="AE190" s="10">
        <f t="shared" si="10"/>
        <v>18374.710000000003</v>
      </c>
      <c r="AF190" s="11"/>
    </row>
    <row r="191" spans="1:32" outlineLevel="1">
      <c r="A191" s="6">
        <v>57165</v>
      </c>
      <c r="B191" s="6" t="s">
        <v>58</v>
      </c>
      <c r="C191" s="7"/>
      <c r="D191" s="3"/>
      <c r="E191" s="8"/>
      <c r="F191" s="9"/>
      <c r="G191" s="10">
        <v>190.75</v>
      </c>
      <c r="H191" s="9"/>
      <c r="I191" s="10">
        <v>190.75</v>
      </c>
      <c r="J191" s="9"/>
      <c r="K191" s="10">
        <v>1325.25</v>
      </c>
      <c r="L191" s="9"/>
      <c r="M191" s="10">
        <v>1231.2</v>
      </c>
      <c r="N191" s="9"/>
      <c r="O191" s="10">
        <v>1379.8</v>
      </c>
      <c r="P191" s="9"/>
      <c r="Q191" s="10">
        <v>2428.04</v>
      </c>
      <c r="R191" s="9"/>
      <c r="S191" s="10">
        <v>1426.44</v>
      </c>
      <c r="T191" s="9"/>
      <c r="U191" s="10">
        <v>1443.24</v>
      </c>
      <c r="V191" s="9"/>
      <c r="W191" s="10">
        <v>1430.16</v>
      </c>
      <c r="X191" s="9"/>
      <c r="Y191" s="10">
        <v>1432.33</v>
      </c>
      <c r="Z191" s="9"/>
      <c r="AA191" s="10">
        <v>1432.33</v>
      </c>
      <c r="AB191" s="9"/>
      <c r="AC191" s="10">
        <v>1432.33</v>
      </c>
      <c r="AD191" s="9"/>
      <c r="AE191" s="10">
        <f t="shared" si="10"/>
        <v>15342.619999999999</v>
      </c>
      <c r="AF191" s="11"/>
    </row>
    <row r="192" spans="1:32" outlineLevel="1">
      <c r="A192" s="6">
        <v>57170</v>
      </c>
      <c r="B192" s="6" t="s">
        <v>281</v>
      </c>
      <c r="C192" s="7"/>
      <c r="D192" s="3"/>
      <c r="E192" s="8"/>
      <c r="F192" s="9"/>
      <c r="G192" s="10">
        <v>16838.71</v>
      </c>
      <c r="H192" s="9"/>
      <c r="I192" s="10">
        <v>16838.71</v>
      </c>
      <c r="J192" s="9"/>
      <c r="K192" s="10">
        <v>19846.09</v>
      </c>
      <c r="L192" s="9"/>
      <c r="M192" s="10">
        <v>17648.650000000001</v>
      </c>
      <c r="N192" s="9"/>
      <c r="O192" s="10">
        <v>17880.91</v>
      </c>
      <c r="P192" s="9"/>
      <c r="Q192" s="10">
        <v>17726.07</v>
      </c>
      <c r="R192" s="9"/>
      <c r="S192" s="10">
        <v>18963.12</v>
      </c>
      <c r="T192" s="9"/>
      <c r="U192" s="10">
        <v>17648.64</v>
      </c>
      <c r="V192" s="9"/>
      <c r="W192" s="10">
        <v>17726.07</v>
      </c>
      <c r="X192" s="9"/>
      <c r="Y192" s="10">
        <v>17726.07</v>
      </c>
      <c r="Z192" s="9"/>
      <c r="AA192" s="10">
        <v>18526.07</v>
      </c>
      <c r="AB192" s="9"/>
      <c r="AC192" s="10">
        <v>18526.07</v>
      </c>
      <c r="AD192" s="9"/>
      <c r="AE192" s="10">
        <f t="shared" si="10"/>
        <v>215895.17999999996</v>
      </c>
      <c r="AF192" s="11"/>
    </row>
    <row r="193" spans="1:32" outlineLevel="1">
      <c r="A193" s="6">
        <v>57175</v>
      </c>
      <c r="B193" s="6" t="s">
        <v>85</v>
      </c>
      <c r="C193" s="7"/>
      <c r="D193" s="3"/>
      <c r="E193" s="8"/>
      <c r="F193" s="9"/>
      <c r="G193" s="10">
        <v>0</v>
      </c>
      <c r="H193" s="9"/>
      <c r="I193" s="10">
        <v>0</v>
      </c>
      <c r="J193" s="9"/>
      <c r="K193" s="10">
        <v>0</v>
      </c>
      <c r="L193" s="9"/>
      <c r="M193" s="10">
        <v>0</v>
      </c>
      <c r="N193" s="9"/>
      <c r="O193" s="10">
        <v>0</v>
      </c>
      <c r="P193" s="9"/>
      <c r="Q193" s="10">
        <v>0</v>
      </c>
      <c r="R193" s="9"/>
      <c r="S193" s="10">
        <v>0</v>
      </c>
      <c r="T193" s="9"/>
      <c r="U193" s="10">
        <v>0</v>
      </c>
      <c r="V193" s="9"/>
      <c r="W193" s="10">
        <v>982.65</v>
      </c>
      <c r="X193" s="9"/>
      <c r="Y193" s="10">
        <v>0</v>
      </c>
      <c r="Z193" s="9"/>
      <c r="AA193" s="10">
        <v>0</v>
      </c>
      <c r="AB193" s="9"/>
      <c r="AC193" s="10">
        <v>0</v>
      </c>
      <c r="AD193" s="9"/>
      <c r="AE193" s="10">
        <f t="shared" si="10"/>
        <v>982.65</v>
      </c>
      <c r="AF193" s="11"/>
    </row>
    <row r="194" spans="1:32" outlineLevel="1">
      <c r="A194" s="6">
        <v>57254</v>
      </c>
      <c r="B194" s="6" t="s">
        <v>282</v>
      </c>
      <c r="C194" s="7"/>
      <c r="D194" s="3"/>
      <c r="E194" s="8"/>
      <c r="F194" s="9"/>
      <c r="G194" s="10">
        <v>7111.24</v>
      </c>
      <c r="H194" s="9"/>
      <c r="I194" s="10">
        <v>7472</v>
      </c>
      <c r="J194" s="9"/>
      <c r="K194" s="10">
        <v>7622</v>
      </c>
      <c r="L194" s="9"/>
      <c r="M194" s="10">
        <v>7481</v>
      </c>
      <c r="N194" s="9"/>
      <c r="O194" s="10">
        <v>7552</v>
      </c>
      <c r="P194" s="9"/>
      <c r="Q194" s="10">
        <v>7537</v>
      </c>
      <c r="R194" s="9"/>
      <c r="S194" s="10">
        <v>7663</v>
      </c>
      <c r="T194" s="9"/>
      <c r="U194" s="10">
        <v>7618</v>
      </c>
      <c r="V194" s="9"/>
      <c r="W194" s="10">
        <v>7985</v>
      </c>
      <c r="X194" s="9"/>
      <c r="Y194" s="10">
        <v>8073</v>
      </c>
      <c r="Z194" s="9"/>
      <c r="AA194" s="10">
        <v>7223</v>
      </c>
      <c r="AB194" s="9"/>
      <c r="AC194" s="10">
        <v>7687</v>
      </c>
      <c r="AD194" s="9"/>
      <c r="AE194" s="10">
        <f t="shared" si="10"/>
        <v>91024.24</v>
      </c>
      <c r="AF194" s="11"/>
    </row>
    <row r="195" spans="1:32" outlineLevel="1">
      <c r="A195" s="6">
        <v>57255</v>
      </c>
      <c r="B195" s="6" t="s">
        <v>86</v>
      </c>
      <c r="C195" s="7"/>
      <c r="D195" s="3"/>
      <c r="E195" s="8"/>
      <c r="F195" s="9"/>
      <c r="G195" s="10">
        <v>1351.3</v>
      </c>
      <c r="H195" s="9"/>
      <c r="I195" s="10">
        <v>1351.3</v>
      </c>
      <c r="J195" s="9"/>
      <c r="K195" s="10">
        <v>1351.3</v>
      </c>
      <c r="L195" s="9"/>
      <c r="M195" s="10">
        <v>1351.23</v>
      </c>
      <c r="N195" s="9"/>
      <c r="O195" s="10">
        <v>1351.31</v>
      </c>
      <c r="P195" s="9"/>
      <c r="Q195" s="10">
        <v>1351.31</v>
      </c>
      <c r="R195" s="9"/>
      <c r="S195" s="10">
        <v>1351.31</v>
      </c>
      <c r="T195" s="9"/>
      <c r="U195" s="10">
        <v>3543.23</v>
      </c>
      <c r="V195" s="9"/>
      <c r="W195" s="10">
        <v>1760.39</v>
      </c>
      <c r="X195" s="9"/>
      <c r="Y195" s="10">
        <v>1760.39</v>
      </c>
      <c r="Z195" s="9"/>
      <c r="AA195" s="10">
        <v>1760.39</v>
      </c>
      <c r="AB195" s="9"/>
      <c r="AC195" s="10">
        <v>1760.71</v>
      </c>
      <c r="AD195" s="9"/>
      <c r="AE195" s="10">
        <f t="shared" si="10"/>
        <v>20044.169999999998</v>
      </c>
      <c r="AF195" s="11"/>
    </row>
    <row r="196" spans="1:32" outlineLevel="1">
      <c r="A196" s="6">
        <v>57280</v>
      </c>
      <c r="B196" s="6" t="s">
        <v>183</v>
      </c>
      <c r="C196" s="7"/>
      <c r="D196" s="3"/>
      <c r="E196" s="8"/>
      <c r="F196" s="9"/>
      <c r="G196" s="10">
        <v>1838.81</v>
      </c>
      <c r="H196" s="9"/>
      <c r="I196" s="10">
        <v>1405.33</v>
      </c>
      <c r="J196" s="9"/>
      <c r="K196" s="10">
        <v>1405.33</v>
      </c>
      <c r="L196" s="9"/>
      <c r="M196" s="10">
        <v>1405.33</v>
      </c>
      <c r="N196" s="9"/>
      <c r="O196" s="10">
        <v>1405.33</v>
      </c>
      <c r="P196" s="9"/>
      <c r="Q196" s="10">
        <v>1527.35</v>
      </c>
      <c r="R196" s="9"/>
      <c r="S196" s="10">
        <v>1405.33</v>
      </c>
      <c r="T196" s="9"/>
      <c r="U196" s="10">
        <v>1405.34</v>
      </c>
      <c r="V196" s="9"/>
      <c r="W196" s="10">
        <v>1405.33</v>
      </c>
      <c r="X196" s="9"/>
      <c r="Y196" s="10">
        <v>1397.33</v>
      </c>
      <c r="Z196" s="9"/>
      <c r="AA196" s="10">
        <v>1397.33</v>
      </c>
      <c r="AB196" s="9"/>
      <c r="AC196" s="10">
        <v>1397.34</v>
      </c>
      <c r="AD196" s="9"/>
      <c r="AE196" s="10">
        <f t="shared" si="10"/>
        <v>17395.48</v>
      </c>
      <c r="AF196" s="11"/>
    </row>
    <row r="197" spans="1:32" outlineLevel="1">
      <c r="A197" s="6">
        <v>57324</v>
      </c>
      <c r="B197" s="6" t="s">
        <v>283</v>
      </c>
      <c r="C197" s="7"/>
      <c r="D197" s="3"/>
      <c r="E197" s="8"/>
      <c r="F197" s="9"/>
      <c r="G197" s="10">
        <v>0</v>
      </c>
      <c r="H197" s="9"/>
      <c r="I197" s="10">
        <v>0</v>
      </c>
      <c r="J197" s="9"/>
      <c r="K197" s="10">
        <v>0</v>
      </c>
      <c r="L197" s="9"/>
      <c r="M197" s="10">
        <v>0</v>
      </c>
      <c r="N197" s="9"/>
      <c r="O197" s="10">
        <v>15</v>
      </c>
      <c r="P197" s="9"/>
      <c r="Q197" s="10">
        <v>0</v>
      </c>
      <c r="R197" s="9"/>
      <c r="S197" s="10">
        <v>0</v>
      </c>
      <c r="T197" s="9"/>
      <c r="U197" s="10">
        <v>0</v>
      </c>
      <c r="V197" s="9"/>
      <c r="W197" s="10">
        <v>60</v>
      </c>
      <c r="X197" s="9"/>
      <c r="Y197" s="10">
        <v>200</v>
      </c>
      <c r="Z197" s="9"/>
      <c r="AA197" s="10">
        <v>0</v>
      </c>
      <c r="AB197" s="9"/>
      <c r="AC197" s="10">
        <v>0</v>
      </c>
      <c r="AD197" s="9"/>
      <c r="AE197" s="10">
        <f t="shared" si="10"/>
        <v>275</v>
      </c>
      <c r="AF197" s="11"/>
    </row>
    <row r="198" spans="1:32" outlineLevel="1">
      <c r="A198" s="6">
        <v>57335</v>
      </c>
      <c r="B198" s="6" t="s">
        <v>83</v>
      </c>
      <c r="C198" s="7"/>
      <c r="D198" s="3"/>
      <c r="E198" s="8"/>
      <c r="F198" s="9"/>
      <c r="G198" s="10">
        <v>0</v>
      </c>
      <c r="H198" s="9"/>
      <c r="I198" s="10">
        <v>0</v>
      </c>
      <c r="J198" s="9"/>
      <c r="K198" s="10">
        <v>0</v>
      </c>
      <c r="L198" s="9"/>
      <c r="M198" s="10">
        <v>0</v>
      </c>
      <c r="N198" s="9"/>
      <c r="O198" s="10">
        <v>22.19</v>
      </c>
      <c r="P198" s="9"/>
      <c r="Q198" s="10">
        <v>0</v>
      </c>
      <c r="R198" s="9"/>
      <c r="S198" s="10">
        <v>0</v>
      </c>
      <c r="T198" s="9"/>
      <c r="U198" s="10">
        <v>0</v>
      </c>
      <c r="V198" s="9"/>
      <c r="W198" s="10">
        <v>0</v>
      </c>
      <c r="X198" s="9"/>
      <c r="Y198" s="10">
        <v>0</v>
      </c>
      <c r="Z198" s="9"/>
      <c r="AA198" s="10">
        <v>0</v>
      </c>
      <c r="AB198" s="9"/>
      <c r="AC198" s="10">
        <v>0</v>
      </c>
      <c r="AD198" s="9"/>
      <c r="AE198" s="10">
        <f t="shared" si="10"/>
        <v>22.19</v>
      </c>
      <c r="AF198" s="11"/>
    </row>
    <row r="199" spans="1:32" outlineLevel="1">
      <c r="A199" s="6">
        <v>57345</v>
      </c>
      <c r="B199" s="6" t="s">
        <v>121</v>
      </c>
      <c r="C199" s="7"/>
      <c r="D199" s="3"/>
      <c r="E199" s="8"/>
      <c r="F199" s="9"/>
      <c r="G199" s="10">
        <v>1022.67</v>
      </c>
      <c r="H199" s="9"/>
      <c r="I199" s="10">
        <v>1293.8800000000001</v>
      </c>
      <c r="J199" s="9"/>
      <c r="K199" s="10">
        <v>1155.98</v>
      </c>
      <c r="L199" s="9"/>
      <c r="M199" s="10">
        <v>1168.52</v>
      </c>
      <c r="N199" s="9"/>
      <c r="O199" s="10">
        <v>647.48</v>
      </c>
      <c r="P199" s="9"/>
      <c r="Q199" s="10">
        <v>1333.25</v>
      </c>
      <c r="R199" s="9"/>
      <c r="S199" s="10">
        <v>1039.46</v>
      </c>
      <c r="T199" s="9"/>
      <c r="U199" s="10">
        <v>1039.46</v>
      </c>
      <c r="V199" s="9"/>
      <c r="W199" s="10">
        <v>1039.46</v>
      </c>
      <c r="X199" s="9"/>
      <c r="Y199" s="10">
        <v>1039.46</v>
      </c>
      <c r="Z199" s="9"/>
      <c r="AA199" s="10">
        <v>1197.1300000000001</v>
      </c>
      <c r="AB199" s="9"/>
      <c r="AC199" s="10">
        <v>1039.46</v>
      </c>
      <c r="AD199" s="9"/>
      <c r="AE199" s="10">
        <f t="shared" si="10"/>
        <v>13016.210000000001</v>
      </c>
      <c r="AF199" s="11"/>
    </row>
    <row r="200" spans="1:32" outlineLevel="1">
      <c r="A200" s="6">
        <v>57353</v>
      </c>
      <c r="B200" s="6" t="s">
        <v>122</v>
      </c>
      <c r="C200" s="7"/>
      <c r="D200" s="3"/>
      <c r="E200" s="8"/>
      <c r="F200" s="9"/>
      <c r="G200" s="10">
        <v>560</v>
      </c>
      <c r="H200" s="9"/>
      <c r="I200" s="10">
        <v>1662.5</v>
      </c>
      <c r="J200" s="9"/>
      <c r="K200" s="10">
        <v>0</v>
      </c>
      <c r="L200" s="9"/>
      <c r="M200" s="10">
        <v>750</v>
      </c>
      <c r="N200" s="9"/>
      <c r="O200" s="10">
        <v>1141.25</v>
      </c>
      <c r="P200" s="9"/>
      <c r="Q200" s="10">
        <v>635</v>
      </c>
      <c r="R200" s="9"/>
      <c r="S200" s="10">
        <v>-77.5</v>
      </c>
      <c r="T200" s="9"/>
      <c r="U200" s="10">
        <v>332.5</v>
      </c>
      <c r="V200" s="9"/>
      <c r="W200" s="10">
        <v>717</v>
      </c>
      <c r="X200" s="9"/>
      <c r="Y200" s="10">
        <v>817.5</v>
      </c>
      <c r="Z200" s="9"/>
      <c r="AA200" s="10">
        <v>598.75</v>
      </c>
      <c r="AB200" s="9"/>
      <c r="AC200" s="10">
        <v>365</v>
      </c>
      <c r="AD200" s="9"/>
      <c r="AE200" s="10">
        <f t="shared" si="10"/>
        <v>7502</v>
      </c>
      <c r="AF200" s="11"/>
    </row>
    <row r="201" spans="1:32" outlineLevel="1">
      <c r="A201" s="6">
        <v>57357</v>
      </c>
      <c r="B201" s="6" t="s">
        <v>169</v>
      </c>
      <c r="C201" s="7"/>
      <c r="D201" s="3"/>
      <c r="E201" s="8"/>
      <c r="F201" s="9"/>
      <c r="G201" s="10">
        <v>0</v>
      </c>
      <c r="H201" s="9"/>
      <c r="I201" s="10">
        <v>330</v>
      </c>
      <c r="J201" s="9"/>
      <c r="K201" s="10">
        <v>100</v>
      </c>
      <c r="L201" s="9"/>
      <c r="M201" s="10">
        <v>3307.26</v>
      </c>
      <c r="N201" s="9"/>
      <c r="O201" s="10">
        <v>241.15</v>
      </c>
      <c r="P201" s="9"/>
      <c r="Q201" s="10">
        <v>0</v>
      </c>
      <c r="R201" s="9"/>
      <c r="S201" s="10">
        <v>0</v>
      </c>
      <c r="T201" s="9"/>
      <c r="U201" s="10">
        <v>0</v>
      </c>
      <c r="V201" s="9"/>
      <c r="W201" s="10">
        <v>75</v>
      </c>
      <c r="X201" s="9"/>
      <c r="Y201" s="10">
        <v>10</v>
      </c>
      <c r="Z201" s="9"/>
      <c r="AA201" s="10">
        <v>0</v>
      </c>
      <c r="AB201" s="9"/>
      <c r="AC201" s="10">
        <v>0</v>
      </c>
      <c r="AD201" s="9"/>
      <c r="AE201" s="10">
        <f t="shared" si="10"/>
        <v>4063.4100000000003</v>
      </c>
      <c r="AF201" s="11"/>
    </row>
    <row r="202" spans="1:32" outlineLevel="1">
      <c r="A202" s="6">
        <v>57370</v>
      </c>
      <c r="B202" s="6" t="s">
        <v>284</v>
      </c>
      <c r="C202" s="7"/>
      <c r="D202" s="3"/>
      <c r="E202" s="8"/>
      <c r="F202" s="9"/>
      <c r="G202" s="10">
        <v>-3033.99</v>
      </c>
      <c r="H202" s="9"/>
      <c r="I202" s="10">
        <v>3876.98</v>
      </c>
      <c r="J202" s="9"/>
      <c r="K202" s="10">
        <v>3446.67</v>
      </c>
      <c r="L202" s="9"/>
      <c r="M202" s="10">
        <v>3478.34</v>
      </c>
      <c r="N202" s="9"/>
      <c r="O202" s="10">
        <v>3388.34</v>
      </c>
      <c r="P202" s="9"/>
      <c r="Q202" s="10">
        <v>3388.33</v>
      </c>
      <c r="R202" s="9"/>
      <c r="S202" s="10">
        <v>3888.33</v>
      </c>
      <c r="T202" s="9"/>
      <c r="U202" s="10">
        <v>3513.33</v>
      </c>
      <c r="V202" s="9"/>
      <c r="W202" s="10">
        <v>3302.66</v>
      </c>
      <c r="X202" s="9"/>
      <c r="Y202" s="10">
        <v>3346.43</v>
      </c>
      <c r="Z202" s="9"/>
      <c r="AA202" s="10">
        <v>3346.43</v>
      </c>
      <c r="AB202" s="9"/>
      <c r="AC202" s="10">
        <v>3346.42</v>
      </c>
      <c r="AD202" s="9"/>
      <c r="AE202" s="10">
        <f t="shared" si="10"/>
        <v>35288.270000000004</v>
      </c>
      <c r="AF202" s="11"/>
    </row>
    <row r="203" spans="1:32" s="8" customFormat="1" ht="5.0999999999999996" customHeight="1" outlineLevel="1">
      <c r="A203" s="7"/>
      <c r="B203" s="7"/>
      <c r="C203" s="7"/>
      <c r="D203" s="7"/>
      <c r="G203" s="38"/>
      <c r="H203" s="36"/>
      <c r="I203" s="38"/>
      <c r="J203" s="36"/>
      <c r="K203" s="38"/>
      <c r="L203" s="36"/>
      <c r="M203" s="38"/>
      <c r="N203" s="36"/>
      <c r="O203" s="38"/>
      <c r="P203" s="36"/>
      <c r="Q203" s="38"/>
      <c r="R203" s="36"/>
      <c r="S203" s="38"/>
      <c r="T203" s="36"/>
      <c r="U203" s="38"/>
      <c r="V203" s="36"/>
      <c r="W203" s="38"/>
      <c r="X203" s="36"/>
      <c r="Y203" s="38"/>
      <c r="Z203" s="36"/>
      <c r="AA203" s="38"/>
      <c r="AB203" s="36"/>
      <c r="AC203" s="38"/>
      <c r="AD203" s="36"/>
      <c r="AE203" s="38"/>
      <c r="AF203" s="16"/>
    </row>
    <row r="204" spans="1:32" s="8" customFormat="1" ht="15">
      <c r="C204" s="7" t="s">
        <v>285</v>
      </c>
      <c r="G204" s="35">
        <f>SUM(G187:G203)</f>
        <v>45473.22</v>
      </c>
      <c r="H204" s="36"/>
      <c r="I204" s="35">
        <f>SUM(I187:I203)</f>
        <v>55014.180000000008</v>
      </c>
      <c r="J204" s="36"/>
      <c r="K204" s="35">
        <f>SUM(K187:K203)</f>
        <v>45434.580000000009</v>
      </c>
      <c r="L204" s="36"/>
      <c r="M204" s="35">
        <f>SUM(M187:M203)</f>
        <v>48347.030000000013</v>
      </c>
      <c r="N204" s="36"/>
      <c r="O204" s="35">
        <f>SUM(O187:O203)</f>
        <v>65532.020000000004</v>
      </c>
      <c r="P204" s="36"/>
      <c r="Q204" s="35">
        <f>SUM(Q187:Q203)</f>
        <v>53370.34</v>
      </c>
      <c r="R204" s="36"/>
      <c r="S204" s="35">
        <f>SUM(S187:S203)</f>
        <v>69574.61</v>
      </c>
      <c r="T204" s="36"/>
      <c r="U204" s="35">
        <f>SUM(U187:U203)</f>
        <v>52878.44</v>
      </c>
      <c r="V204" s="36"/>
      <c r="W204" s="35">
        <f>SUM(W187:W203)</f>
        <v>63699.850000000006</v>
      </c>
      <c r="X204" s="36"/>
      <c r="Y204" s="35">
        <f>SUM(Y187:Y203)</f>
        <v>51287.08</v>
      </c>
      <c r="Z204" s="36"/>
      <c r="AA204" s="35">
        <f>SUM(AA187:AA203)</f>
        <v>61282.36</v>
      </c>
      <c r="AB204" s="36"/>
      <c r="AC204" s="35">
        <f>SUM(AC187:AC203)</f>
        <v>49492.029999999992</v>
      </c>
      <c r="AD204" s="36"/>
      <c r="AE204" s="35">
        <f>SUM(AE187:AE203)</f>
        <v>661385.74</v>
      </c>
      <c r="AF204" s="16"/>
    </row>
    <row r="205" spans="1:32" s="8" customFormat="1" ht="15" outlineLevel="1">
      <c r="G205" s="37"/>
      <c r="H205" s="36"/>
      <c r="I205" s="37"/>
      <c r="J205" s="36"/>
      <c r="K205" s="37"/>
      <c r="L205" s="36"/>
      <c r="M205" s="37"/>
      <c r="N205" s="36"/>
      <c r="O205" s="37"/>
      <c r="P205" s="36"/>
      <c r="Q205" s="37"/>
      <c r="R205" s="36"/>
      <c r="S205" s="37"/>
      <c r="T205" s="36"/>
      <c r="U205" s="37"/>
      <c r="V205" s="36"/>
      <c r="W205" s="37"/>
      <c r="X205" s="36"/>
      <c r="Y205" s="37"/>
      <c r="Z205" s="36"/>
      <c r="AA205" s="37"/>
      <c r="AB205" s="36"/>
      <c r="AC205" s="37"/>
      <c r="AD205" s="36"/>
      <c r="AE205" s="37"/>
      <c r="AF205" s="16"/>
    </row>
    <row r="206" spans="1:32" s="8" customFormat="1" ht="15" outlineLevel="1">
      <c r="A206" s="44"/>
      <c r="B206" s="44"/>
      <c r="C206" s="44"/>
      <c r="D206" s="44"/>
      <c r="E206" s="44"/>
      <c r="F206" s="44"/>
      <c r="G206" s="45"/>
      <c r="H206" s="46"/>
      <c r="I206" s="45"/>
      <c r="J206" s="46"/>
      <c r="K206" s="45"/>
      <c r="L206" s="46"/>
      <c r="M206" s="45"/>
      <c r="N206" s="46"/>
      <c r="O206" s="45"/>
      <c r="P206" s="46"/>
      <c r="Q206" s="45"/>
      <c r="R206" s="46"/>
      <c r="S206" s="45"/>
      <c r="T206" s="46"/>
      <c r="U206" s="45"/>
      <c r="V206" s="46"/>
      <c r="W206" s="45"/>
      <c r="X206" s="46"/>
      <c r="Y206" s="45"/>
      <c r="Z206" s="46"/>
      <c r="AA206" s="45"/>
      <c r="AB206" s="46"/>
      <c r="AC206" s="45"/>
      <c r="AD206" s="46"/>
      <c r="AE206" s="45"/>
      <c r="AF206" s="44"/>
    </row>
    <row r="207" spans="1:32" s="8" customFormat="1" ht="4.5" customHeight="1" outlineLevel="1">
      <c r="A207" s="39"/>
      <c r="G207" s="38"/>
      <c r="H207" s="36"/>
      <c r="I207" s="38"/>
      <c r="J207" s="36"/>
      <c r="K207" s="38"/>
      <c r="L207" s="36"/>
      <c r="M207" s="38"/>
      <c r="N207" s="36"/>
      <c r="O207" s="38"/>
      <c r="P207" s="36"/>
      <c r="Q207" s="38"/>
      <c r="R207" s="36"/>
      <c r="S207" s="38"/>
      <c r="T207" s="36"/>
      <c r="U207" s="38"/>
      <c r="V207" s="36"/>
      <c r="W207" s="38"/>
      <c r="X207" s="36"/>
      <c r="Y207" s="38"/>
      <c r="Z207" s="36"/>
      <c r="AA207" s="38"/>
      <c r="AB207" s="36"/>
      <c r="AC207" s="38"/>
      <c r="AD207" s="36"/>
      <c r="AE207" s="38"/>
      <c r="AF207" s="16"/>
    </row>
    <row r="208" spans="1:32" s="8" customFormat="1" ht="15">
      <c r="C208" s="8" t="s">
        <v>286</v>
      </c>
      <c r="G208" s="35">
        <f>SUM(G206:G207)</f>
        <v>0</v>
      </c>
      <c r="H208" s="36"/>
      <c r="I208" s="35">
        <f>SUM(I206:I207)</f>
        <v>0</v>
      </c>
      <c r="J208" s="36"/>
      <c r="K208" s="35">
        <f>SUM(K206:K207)</f>
        <v>0</v>
      </c>
      <c r="L208" s="36"/>
      <c r="M208" s="35">
        <f>SUM(M206:M207)</f>
        <v>0</v>
      </c>
      <c r="N208" s="36"/>
      <c r="O208" s="35">
        <f>SUM(O206:O207)</f>
        <v>0</v>
      </c>
      <c r="P208" s="36"/>
      <c r="Q208" s="35">
        <f>SUM(Q206:Q207)</f>
        <v>0</v>
      </c>
      <c r="R208" s="36"/>
      <c r="S208" s="35">
        <f>SUM(S206:S207)</f>
        <v>0</v>
      </c>
      <c r="T208" s="36"/>
      <c r="U208" s="35">
        <f>SUM(U206:U207)</f>
        <v>0</v>
      </c>
      <c r="V208" s="36"/>
      <c r="W208" s="35">
        <f>SUM(W206:W207)</f>
        <v>0</v>
      </c>
      <c r="X208" s="36"/>
      <c r="Y208" s="35">
        <f>SUM(Y206:Y207)</f>
        <v>0</v>
      </c>
      <c r="Z208" s="36"/>
      <c r="AA208" s="35">
        <f>SUM(AA206:AA207)</f>
        <v>0</v>
      </c>
      <c r="AB208" s="36"/>
      <c r="AC208" s="35">
        <f>SUM(AC206:AC207)</f>
        <v>0</v>
      </c>
      <c r="AD208" s="36"/>
      <c r="AE208" s="35">
        <f>SUM(AE206:AE207)</f>
        <v>0</v>
      </c>
      <c r="AF208" s="16"/>
    </row>
    <row r="209" spans="1:32" s="8" customFormat="1" ht="15" outlineLevel="1">
      <c r="G209" s="37"/>
      <c r="H209" s="36"/>
      <c r="I209" s="37"/>
      <c r="J209" s="36"/>
      <c r="K209" s="37"/>
      <c r="L209" s="36"/>
      <c r="M209" s="37"/>
      <c r="N209" s="36"/>
      <c r="O209" s="37"/>
      <c r="P209" s="36"/>
      <c r="Q209" s="37"/>
      <c r="R209" s="36"/>
      <c r="S209" s="37"/>
      <c r="T209" s="36"/>
      <c r="U209" s="37"/>
      <c r="V209" s="36"/>
      <c r="W209" s="37"/>
      <c r="X209" s="36"/>
      <c r="Y209" s="37"/>
      <c r="Z209" s="36"/>
      <c r="AA209" s="37"/>
      <c r="AB209" s="36"/>
      <c r="AC209" s="37"/>
      <c r="AD209" s="36"/>
      <c r="AE209" s="37"/>
      <c r="AF209" s="16"/>
    </row>
    <row r="210" spans="1:32" s="8" customFormat="1" ht="15" outlineLevel="1">
      <c r="G210" s="37"/>
      <c r="H210" s="36"/>
      <c r="I210" s="37"/>
      <c r="J210" s="36"/>
      <c r="K210" s="37"/>
      <c r="L210" s="36"/>
      <c r="M210" s="37"/>
      <c r="N210" s="36"/>
      <c r="O210" s="37"/>
      <c r="P210" s="36"/>
      <c r="Q210" s="37"/>
      <c r="R210" s="36"/>
      <c r="S210" s="37"/>
      <c r="T210" s="36"/>
      <c r="U210" s="37"/>
      <c r="V210" s="36"/>
      <c r="W210" s="37"/>
      <c r="X210" s="36"/>
      <c r="Y210" s="37"/>
      <c r="Z210" s="36"/>
      <c r="AA210" s="37"/>
      <c r="AB210" s="36"/>
      <c r="AC210" s="37"/>
      <c r="AD210" s="36"/>
      <c r="AE210" s="37"/>
      <c r="AF210" s="16"/>
    </row>
    <row r="211" spans="1:32" outlineLevel="1">
      <c r="A211" s="6">
        <v>59340</v>
      </c>
      <c r="B211" s="6" t="s">
        <v>102</v>
      </c>
      <c r="C211" s="7"/>
      <c r="D211" s="3"/>
      <c r="E211" s="8"/>
      <c r="F211" s="9"/>
      <c r="G211" s="10">
        <v>15579.88</v>
      </c>
      <c r="H211" s="9"/>
      <c r="I211" s="10">
        <v>15579.88</v>
      </c>
      <c r="J211" s="9"/>
      <c r="K211" s="10">
        <v>15579.88</v>
      </c>
      <c r="L211" s="9"/>
      <c r="M211" s="10">
        <v>16245.1</v>
      </c>
      <c r="N211" s="9"/>
      <c r="O211" s="10">
        <v>16245.1</v>
      </c>
      <c r="P211" s="9"/>
      <c r="Q211" s="10">
        <v>16245.1</v>
      </c>
      <c r="R211" s="9"/>
      <c r="S211" s="10">
        <v>16245.1</v>
      </c>
      <c r="T211" s="9"/>
      <c r="U211" s="10">
        <v>16245.1</v>
      </c>
      <c r="V211" s="9"/>
      <c r="W211" s="10">
        <v>16245.1</v>
      </c>
      <c r="X211" s="9"/>
      <c r="Y211" s="10">
        <v>16245.1</v>
      </c>
      <c r="Z211" s="9"/>
      <c r="AA211" s="10">
        <v>16245.1</v>
      </c>
      <c r="AB211" s="9"/>
      <c r="AC211" s="10">
        <v>16245.1</v>
      </c>
      <c r="AD211" s="9"/>
      <c r="AE211" s="10">
        <f t="shared" ref="AE211:AE217" si="11">AC211+AA211+Y211+W211+U211+S211+Q211+O211+M211+K211+I211+G211</f>
        <v>192945.54000000004</v>
      </c>
      <c r="AF211" s="11"/>
    </row>
    <row r="212" spans="1:32" outlineLevel="1">
      <c r="A212" s="6">
        <v>59341</v>
      </c>
      <c r="B212" s="6" t="s">
        <v>287</v>
      </c>
      <c r="C212" s="7"/>
      <c r="D212" s="3"/>
      <c r="E212" s="8"/>
      <c r="F212" s="9"/>
      <c r="G212" s="10">
        <v>0</v>
      </c>
      <c r="H212" s="9"/>
      <c r="I212" s="10">
        <v>-1479.5</v>
      </c>
      <c r="J212" s="9"/>
      <c r="K212" s="10">
        <v>5250</v>
      </c>
      <c r="L212" s="9"/>
      <c r="M212" s="10">
        <v>0</v>
      </c>
      <c r="N212" s="9"/>
      <c r="O212" s="10">
        <v>0</v>
      </c>
      <c r="P212" s="9"/>
      <c r="Q212" s="10">
        <v>0</v>
      </c>
      <c r="R212" s="9"/>
      <c r="S212" s="10">
        <v>22010</v>
      </c>
      <c r="T212" s="9"/>
      <c r="U212" s="10">
        <v>6446.1</v>
      </c>
      <c r="V212" s="9"/>
      <c r="W212" s="10">
        <v>11218.99</v>
      </c>
      <c r="X212" s="9"/>
      <c r="Y212" s="10">
        <v>3795.93</v>
      </c>
      <c r="Z212" s="9"/>
      <c r="AA212" s="10">
        <v>7077.44</v>
      </c>
      <c r="AB212" s="9"/>
      <c r="AC212" s="10">
        <v>2777.32</v>
      </c>
      <c r="AD212" s="9"/>
      <c r="AE212" s="10">
        <f t="shared" si="11"/>
        <v>57096.28</v>
      </c>
      <c r="AF212" s="11"/>
    </row>
    <row r="213" spans="1:32" outlineLevel="1">
      <c r="A213" s="6">
        <v>59342</v>
      </c>
      <c r="B213" s="6" t="s">
        <v>288</v>
      </c>
      <c r="C213" s="7"/>
      <c r="D213" s="3"/>
      <c r="E213" s="8"/>
      <c r="F213" s="9"/>
      <c r="G213" s="10">
        <v>0.06</v>
      </c>
      <c r="H213" s="9"/>
      <c r="I213" s="10">
        <v>74999.649999999994</v>
      </c>
      <c r="J213" s="9"/>
      <c r="K213" s="10">
        <v>0</v>
      </c>
      <c r="L213" s="9"/>
      <c r="M213" s="10">
        <v>414293.49</v>
      </c>
      <c r="N213" s="9"/>
      <c r="O213" s="10">
        <v>36120.69</v>
      </c>
      <c r="P213" s="9"/>
      <c r="Q213" s="10">
        <v>-385550.35</v>
      </c>
      <c r="R213" s="9"/>
      <c r="S213" s="10">
        <v>0.2</v>
      </c>
      <c r="T213" s="9"/>
      <c r="U213" s="10">
        <v>-1632.68</v>
      </c>
      <c r="V213" s="9"/>
      <c r="W213" s="10">
        <v>16.489999999999998</v>
      </c>
      <c r="X213" s="9"/>
      <c r="Y213" s="10">
        <v>-0.01</v>
      </c>
      <c r="Z213" s="9"/>
      <c r="AA213" s="10">
        <v>0.22</v>
      </c>
      <c r="AB213" s="9"/>
      <c r="AC213" s="10">
        <v>23000</v>
      </c>
      <c r="AD213" s="9"/>
      <c r="AE213" s="10">
        <f t="shared" si="11"/>
        <v>161247.76000000004</v>
      </c>
      <c r="AF213" s="11"/>
    </row>
    <row r="214" spans="1:32" outlineLevel="1">
      <c r="A214" s="6">
        <v>59343</v>
      </c>
      <c r="B214" s="6" t="s">
        <v>289</v>
      </c>
      <c r="C214" s="7"/>
      <c r="D214" s="3"/>
      <c r="E214" s="8"/>
      <c r="F214" s="9"/>
      <c r="G214" s="10">
        <v>4080</v>
      </c>
      <c r="H214" s="9"/>
      <c r="I214" s="10">
        <v>3577</v>
      </c>
      <c r="J214" s="9"/>
      <c r="K214" s="10">
        <v>3168</v>
      </c>
      <c r="L214" s="9"/>
      <c r="M214" s="10">
        <v>2800</v>
      </c>
      <c r="N214" s="9"/>
      <c r="O214" s="10">
        <v>17045</v>
      </c>
      <c r="P214" s="9"/>
      <c r="Q214" s="10">
        <v>0</v>
      </c>
      <c r="R214" s="9"/>
      <c r="S214" s="10">
        <v>2800</v>
      </c>
      <c r="T214" s="9"/>
      <c r="U214" s="10">
        <v>12750</v>
      </c>
      <c r="V214" s="9"/>
      <c r="W214" s="10">
        <v>5390</v>
      </c>
      <c r="X214" s="9"/>
      <c r="Y214" s="10">
        <v>22630</v>
      </c>
      <c r="Z214" s="9"/>
      <c r="AA214" s="10">
        <v>5995</v>
      </c>
      <c r="AB214" s="9"/>
      <c r="AC214" s="10">
        <v>-5797</v>
      </c>
      <c r="AD214" s="9"/>
      <c r="AE214" s="10">
        <f t="shared" si="11"/>
        <v>74438</v>
      </c>
      <c r="AF214" s="11"/>
    </row>
    <row r="215" spans="1:32" outlineLevel="1">
      <c r="A215" s="6">
        <v>59344</v>
      </c>
      <c r="B215" s="6" t="s">
        <v>290</v>
      </c>
      <c r="C215" s="7"/>
      <c r="D215" s="3"/>
      <c r="E215" s="8"/>
      <c r="F215" s="9"/>
      <c r="G215" s="10">
        <v>0</v>
      </c>
      <c r="H215" s="9"/>
      <c r="I215" s="10">
        <v>5674.96</v>
      </c>
      <c r="J215" s="9"/>
      <c r="K215" s="10">
        <v>-233.3</v>
      </c>
      <c r="L215" s="9"/>
      <c r="M215" s="10">
        <v>-15183.1</v>
      </c>
      <c r="N215" s="9"/>
      <c r="O215" s="10">
        <v>-22618.880000000001</v>
      </c>
      <c r="P215" s="9"/>
      <c r="Q215" s="10">
        <v>12386.65</v>
      </c>
      <c r="R215" s="9"/>
      <c r="S215" s="10">
        <v>7.8</v>
      </c>
      <c r="T215" s="9"/>
      <c r="U215" s="10">
        <v>-2216.0500000000002</v>
      </c>
      <c r="V215" s="9"/>
      <c r="W215" s="10">
        <v>0</v>
      </c>
      <c r="X215" s="9"/>
      <c r="Y215" s="10">
        <v>0</v>
      </c>
      <c r="Z215" s="9"/>
      <c r="AA215" s="10">
        <v>-13812.24</v>
      </c>
      <c r="AB215" s="9"/>
      <c r="AC215" s="10">
        <v>0</v>
      </c>
      <c r="AD215" s="9"/>
      <c r="AE215" s="10">
        <f t="shared" si="11"/>
        <v>-35994.160000000003</v>
      </c>
      <c r="AF215" s="11"/>
    </row>
    <row r="216" spans="1:32" outlineLevel="1">
      <c r="A216" s="6">
        <v>59400</v>
      </c>
      <c r="B216" s="6" t="s">
        <v>291</v>
      </c>
      <c r="C216" s="7"/>
      <c r="D216" s="3"/>
      <c r="E216" s="8"/>
      <c r="F216" s="9"/>
      <c r="G216" s="10">
        <v>-2028.16</v>
      </c>
      <c r="H216" s="9"/>
      <c r="I216" s="10">
        <v>10823.21</v>
      </c>
      <c r="J216" s="9"/>
      <c r="K216" s="10">
        <v>2000</v>
      </c>
      <c r="L216" s="9"/>
      <c r="M216" s="10">
        <v>186.69</v>
      </c>
      <c r="N216" s="9"/>
      <c r="O216" s="10">
        <v>0</v>
      </c>
      <c r="P216" s="9"/>
      <c r="Q216" s="10">
        <v>0</v>
      </c>
      <c r="R216" s="9"/>
      <c r="S216" s="10">
        <v>0</v>
      </c>
      <c r="T216" s="9"/>
      <c r="U216" s="10">
        <v>2278.5700000000002</v>
      </c>
      <c r="V216" s="9"/>
      <c r="W216" s="10">
        <v>0</v>
      </c>
      <c r="X216" s="9"/>
      <c r="Y216" s="10">
        <v>0</v>
      </c>
      <c r="Z216" s="9"/>
      <c r="AA216" s="10">
        <v>0</v>
      </c>
      <c r="AB216" s="9"/>
      <c r="AC216" s="10">
        <v>0</v>
      </c>
      <c r="AD216" s="9"/>
      <c r="AE216" s="10">
        <f t="shared" si="11"/>
        <v>13260.31</v>
      </c>
      <c r="AF216" s="11"/>
    </row>
    <row r="217" spans="1:32" outlineLevel="1">
      <c r="A217" s="6">
        <v>59500</v>
      </c>
      <c r="B217" s="6" t="s">
        <v>292</v>
      </c>
      <c r="C217" s="7"/>
      <c r="D217" s="3"/>
      <c r="E217" s="8"/>
      <c r="F217" s="9"/>
      <c r="G217" s="10">
        <v>2531.17</v>
      </c>
      <c r="H217" s="9"/>
      <c r="I217" s="10">
        <v>6161.99</v>
      </c>
      <c r="J217" s="9"/>
      <c r="K217" s="10">
        <v>2895.89</v>
      </c>
      <c r="L217" s="9"/>
      <c r="M217" s="10">
        <v>2895.89</v>
      </c>
      <c r="N217" s="9"/>
      <c r="O217" s="10">
        <v>5905.49</v>
      </c>
      <c r="P217" s="9"/>
      <c r="Q217" s="10">
        <v>3166.16</v>
      </c>
      <c r="R217" s="9"/>
      <c r="S217" s="10">
        <v>3300.39</v>
      </c>
      <c r="T217" s="9"/>
      <c r="U217" s="10">
        <v>3936.8</v>
      </c>
      <c r="V217" s="9"/>
      <c r="W217" s="10">
        <v>3416.1</v>
      </c>
      <c r="X217" s="9"/>
      <c r="Y217" s="10">
        <v>3403.9</v>
      </c>
      <c r="Z217" s="9"/>
      <c r="AA217" s="10">
        <v>4422.5600000000004</v>
      </c>
      <c r="AB217" s="9"/>
      <c r="AC217" s="10">
        <v>3642.9</v>
      </c>
      <c r="AD217" s="9"/>
      <c r="AE217" s="10">
        <f t="shared" si="11"/>
        <v>45679.24</v>
      </c>
      <c r="AF217" s="11"/>
    </row>
    <row r="218" spans="1:32" s="8" customFormat="1" ht="5.0999999999999996" customHeight="1" outlineLevel="1">
      <c r="A218" s="7"/>
      <c r="B218" s="7"/>
      <c r="C218" s="7"/>
      <c r="D218" s="7"/>
      <c r="G218" s="38"/>
      <c r="H218" s="36"/>
      <c r="I218" s="38"/>
      <c r="J218" s="36"/>
      <c r="K218" s="38"/>
      <c r="L218" s="36"/>
      <c r="M218" s="38"/>
      <c r="N218" s="36"/>
      <c r="O218" s="38"/>
      <c r="P218" s="36"/>
      <c r="Q218" s="38"/>
      <c r="R218" s="36"/>
      <c r="S218" s="38"/>
      <c r="T218" s="36"/>
      <c r="U218" s="38"/>
      <c r="V218" s="36"/>
      <c r="W218" s="38"/>
      <c r="X218" s="36"/>
      <c r="Y218" s="38"/>
      <c r="Z218" s="36"/>
      <c r="AA218" s="38"/>
      <c r="AB218" s="36"/>
      <c r="AC218" s="38"/>
      <c r="AD218" s="36"/>
      <c r="AE218" s="38"/>
      <c r="AF218" s="16"/>
    </row>
    <row r="219" spans="1:32" s="8" customFormat="1" ht="15">
      <c r="C219" s="7" t="s">
        <v>293</v>
      </c>
      <c r="G219" s="35">
        <f>SUM(G210:G218)</f>
        <v>20162.949999999997</v>
      </c>
      <c r="H219" s="36"/>
      <c r="I219" s="35">
        <f>SUM(I210:I218)</f>
        <v>115337.19000000002</v>
      </c>
      <c r="J219" s="36"/>
      <c r="K219" s="35">
        <f>SUM(K210:K218)</f>
        <v>28660.469999999998</v>
      </c>
      <c r="L219" s="36"/>
      <c r="M219" s="35">
        <f>SUM(M210:M218)</f>
        <v>421238.07</v>
      </c>
      <c r="N219" s="36"/>
      <c r="O219" s="35">
        <f>SUM(O210:O218)</f>
        <v>52697.4</v>
      </c>
      <c r="P219" s="36"/>
      <c r="Q219" s="35">
        <f>SUM(Q210:Q218)</f>
        <v>-353752.44</v>
      </c>
      <c r="R219" s="36"/>
      <c r="S219" s="35">
        <f>SUM(S210:S218)</f>
        <v>44363.49</v>
      </c>
      <c r="T219" s="36"/>
      <c r="U219" s="35">
        <f>SUM(U210:U218)</f>
        <v>37807.840000000011</v>
      </c>
      <c r="V219" s="36"/>
      <c r="W219" s="35">
        <f>SUM(W210:W218)</f>
        <v>36286.68</v>
      </c>
      <c r="X219" s="36"/>
      <c r="Y219" s="35">
        <f>SUM(Y210:Y218)</f>
        <v>46074.920000000006</v>
      </c>
      <c r="Z219" s="36"/>
      <c r="AA219" s="35">
        <f>SUM(AA210:AA218)</f>
        <v>19928.080000000002</v>
      </c>
      <c r="AB219" s="36"/>
      <c r="AC219" s="35">
        <f>SUM(AC210:AC218)</f>
        <v>39868.32</v>
      </c>
      <c r="AD219" s="36"/>
      <c r="AE219" s="35">
        <f>SUM(AE210:AE218)</f>
        <v>508672.97000000003</v>
      </c>
      <c r="AF219" s="16"/>
    </row>
    <row r="220" spans="1:32" s="8" customFormat="1" ht="15" outlineLevel="1">
      <c r="G220" s="37"/>
      <c r="H220" s="36"/>
      <c r="I220" s="37"/>
      <c r="J220" s="36"/>
      <c r="K220" s="37"/>
      <c r="L220" s="36"/>
      <c r="M220" s="37"/>
      <c r="N220" s="36"/>
      <c r="O220" s="37"/>
      <c r="P220" s="36"/>
      <c r="Q220" s="37"/>
      <c r="R220" s="36"/>
      <c r="S220" s="37"/>
      <c r="T220" s="36"/>
      <c r="U220" s="37"/>
      <c r="V220" s="36"/>
      <c r="W220" s="37"/>
      <c r="X220" s="36"/>
      <c r="Y220" s="37"/>
      <c r="Z220" s="36"/>
      <c r="AA220" s="37"/>
      <c r="AB220" s="36"/>
      <c r="AC220" s="37"/>
      <c r="AD220" s="36"/>
      <c r="AE220" s="37"/>
      <c r="AF220" s="16"/>
    </row>
    <row r="221" spans="1:32" outlineLevel="1">
      <c r="A221" s="6">
        <v>91010</v>
      </c>
      <c r="B221" s="6" t="s">
        <v>294</v>
      </c>
      <c r="C221" s="7"/>
      <c r="D221" s="3"/>
      <c r="E221" s="8"/>
      <c r="F221" s="9"/>
      <c r="G221" s="10">
        <v>0</v>
      </c>
      <c r="H221" s="9"/>
      <c r="I221" s="10">
        <v>0</v>
      </c>
      <c r="J221" s="9"/>
      <c r="K221" s="10">
        <v>0</v>
      </c>
      <c r="L221" s="9"/>
      <c r="M221" s="10">
        <v>0</v>
      </c>
      <c r="N221" s="9"/>
      <c r="O221" s="10">
        <v>-200</v>
      </c>
      <c r="P221" s="9"/>
      <c r="Q221" s="10">
        <v>-1403.1</v>
      </c>
      <c r="R221" s="9"/>
      <c r="S221" s="10">
        <v>-541.79999999999995</v>
      </c>
      <c r="T221" s="9"/>
      <c r="U221" s="10">
        <v>0</v>
      </c>
      <c r="V221" s="9"/>
      <c r="W221" s="10">
        <v>0</v>
      </c>
      <c r="X221" s="9"/>
      <c r="Y221" s="10">
        <v>0</v>
      </c>
      <c r="Z221" s="9"/>
      <c r="AA221" s="10">
        <v>0</v>
      </c>
      <c r="AB221" s="9"/>
      <c r="AC221" s="10">
        <v>0</v>
      </c>
      <c r="AD221" s="9"/>
      <c r="AE221" s="10">
        <f>AC221+AA221+Y221+W221+U221+S221+Q221+O221+M221+K221+I221+G221</f>
        <v>-2144.8999999999996</v>
      </c>
      <c r="AF221" s="11"/>
    </row>
    <row r="222" spans="1:32" s="8" customFormat="1" ht="5.0999999999999996" customHeight="1" outlineLevel="1">
      <c r="A222" s="7"/>
      <c r="B222" s="7"/>
      <c r="C222" s="7"/>
      <c r="D222" s="7"/>
      <c r="G222" s="38"/>
      <c r="H222" s="36"/>
      <c r="I222" s="38"/>
      <c r="J222" s="36"/>
      <c r="K222" s="38"/>
      <c r="L222" s="36"/>
      <c r="M222" s="38"/>
      <c r="N222" s="36"/>
      <c r="O222" s="38"/>
      <c r="P222" s="36"/>
      <c r="Q222" s="38"/>
      <c r="R222" s="36"/>
      <c r="S222" s="38"/>
      <c r="T222" s="36"/>
      <c r="U222" s="38"/>
      <c r="V222" s="36"/>
      <c r="W222" s="38"/>
      <c r="X222" s="36"/>
      <c r="Y222" s="38"/>
      <c r="Z222" s="36"/>
      <c r="AA222" s="38"/>
      <c r="AB222" s="36"/>
      <c r="AC222" s="38"/>
      <c r="AD222" s="36"/>
      <c r="AE222" s="38"/>
      <c r="AF222" s="16"/>
    </row>
    <row r="223" spans="1:32" s="8" customFormat="1" ht="15">
      <c r="C223" s="6" t="s">
        <v>295</v>
      </c>
      <c r="G223" s="35">
        <f>SUM(G221:G222)</f>
        <v>0</v>
      </c>
      <c r="H223" s="36"/>
      <c r="I223" s="35">
        <f>SUM(I221:I222)</f>
        <v>0</v>
      </c>
      <c r="J223" s="36"/>
      <c r="K223" s="35">
        <f>SUM(K221:K222)</f>
        <v>0</v>
      </c>
      <c r="L223" s="36"/>
      <c r="M223" s="35">
        <f>SUM(M221:M222)</f>
        <v>0</v>
      </c>
      <c r="N223" s="36"/>
      <c r="O223" s="35">
        <f>SUM(O221:O222)</f>
        <v>-200</v>
      </c>
      <c r="P223" s="36"/>
      <c r="Q223" s="35">
        <f>SUM(Q221:Q222)</f>
        <v>-1403.1</v>
      </c>
      <c r="R223" s="36"/>
      <c r="S223" s="35">
        <f>SUM(S221:S222)</f>
        <v>-541.79999999999995</v>
      </c>
      <c r="T223" s="36"/>
      <c r="U223" s="35">
        <f>SUM(U221:U222)</f>
        <v>0</v>
      </c>
      <c r="V223" s="36"/>
      <c r="W223" s="35">
        <f>SUM(W221:W222)</f>
        <v>0</v>
      </c>
      <c r="X223" s="36"/>
      <c r="Y223" s="35">
        <f>SUM(Y221:Y222)</f>
        <v>0</v>
      </c>
      <c r="Z223" s="36"/>
      <c r="AA223" s="35">
        <f>SUM(AA221:AA222)</f>
        <v>0</v>
      </c>
      <c r="AB223" s="36"/>
      <c r="AC223" s="35">
        <f>SUM(AC221:AC222)</f>
        <v>0</v>
      </c>
      <c r="AD223" s="36"/>
      <c r="AE223" s="35">
        <f>SUM(AE221:AE222)</f>
        <v>-2144.8999999999996</v>
      </c>
      <c r="AF223" s="16"/>
    </row>
    <row r="224" spans="1:32" s="8" customFormat="1" ht="7.5" customHeight="1">
      <c r="G224" s="37"/>
      <c r="H224" s="36"/>
      <c r="I224" s="37"/>
      <c r="J224" s="36"/>
      <c r="K224" s="37"/>
      <c r="L224" s="36"/>
      <c r="M224" s="37"/>
      <c r="N224" s="36"/>
      <c r="O224" s="37"/>
      <c r="P224" s="36"/>
      <c r="Q224" s="37"/>
      <c r="R224" s="36"/>
      <c r="S224" s="37"/>
      <c r="T224" s="36"/>
      <c r="U224" s="37"/>
      <c r="V224" s="36"/>
      <c r="W224" s="37"/>
      <c r="X224" s="36"/>
      <c r="Y224" s="37"/>
      <c r="Z224" s="36"/>
      <c r="AA224" s="37"/>
      <c r="AB224" s="36"/>
      <c r="AC224" s="37"/>
      <c r="AD224" s="36"/>
      <c r="AE224" s="37"/>
      <c r="AF224" s="16"/>
    </row>
    <row r="225" spans="1:32" s="8" customFormat="1" ht="15">
      <c r="B225" s="43" t="s">
        <v>296</v>
      </c>
      <c r="G225" s="41">
        <f>+G107+G111+G146+G165+G185+G204+G219+G208+G223</f>
        <v>1401833.6099999996</v>
      </c>
      <c r="H225" s="36"/>
      <c r="I225" s="41">
        <f>+I107+I111+I146+I165+I185+I204+I219+I208+I223</f>
        <v>1596804.44</v>
      </c>
      <c r="J225" s="36"/>
      <c r="K225" s="41">
        <f>+K107+K111+K146+K165+K185+K204+K219+K208+K223</f>
        <v>1447922.9100000001</v>
      </c>
      <c r="L225" s="36"/>
      <c r="M225" s="41">
        <f>+M107+M111+M146+M165+M185+M204+M219+M208+M223</f>
        <v>1855697.24</v>
      </c>
      <c r="N225" s="36"/>
      <c r="O225" s="41">
        <f>+O107+O111+O146+O165+O185+O204+O219+O208+O223</f>
        <v>1437936.7</v>
      </c>
      <c r="P225" s="36"/>
      <c r="Q225" s="41">
        <f>+Q107+Q111+Q146+Q165+Q185+Q204+Q219+Q208+Q223</f>
        <v>1120851.95</v>
      </c>
      <c r="R225" s="36"/>
      <c r="S225" s="41">
        <f>+S107+S111+S146+S165+S185+S204+S219+S208+S223</f>
        <v>1481312.56</v>
      </c>
      <c r="T225" s="36"/>
      <c r="U225" s="41">
        <f>+U107+U111+U146+U165+U185+U204+U219+U208+U223</f>
        <v>1648608.52</v>
      </c>
      <c r="V225" s="36"/>
      <c r="W225" s="41">
        <f>+W107+W111+W146+W165+W185+W204+W219+W208+W223</f>
        <v>1645776.67</v>
      </c>
      <c r="X225" s="36"/>
      <c r="Y225" s="41">
        <f>+Y107+Y111+Y146+Y165+Y185+Y204+Y219+Y208+Y223</f>
        <v>1614610.3900000001</v>
      </c>
      <c r="Z225" s="36"/>
      <c r="AA225" s="41">
        <f>+AA107+AA111+AA146+AA165+AA185+AA204+AA219+AA208+AA223</f>
        <v>1649984.7800000003</v>
      </c>
      <c r="AB225" s="36"/>
      <c r="AC225" s="41">
        <f>+AC107+AC111+AC146+AC165+AC185+AC204+AC219+AC208+AC223</f>
        <v>1568300.19</v>
      </c>
      <c r="AD225" s="36"/>
      <c r="AE225" s="41">
        <f>+AE107+AE111+AE146+AE165+AE185+AE204+AE219+AE208+AE223</f>
        <v>18469639.959999997</v>
      </c>
      <c r="AF225" s="16"/>
    </row>
    <row r="226" spans="1:32" s="8" customFormat="1" ht="7.5" customHeight="1">
      <c r="G226" s="37"/>
      <c r="H226" s="36"/>
      <c r="I226" s="37"/>
      <c r="J226" s="36"/>
      <c r="K226" s="37"/>
      <c r="L226" s="36"/>
      <c r="M226" s="37"/>
      <c r="N226" s="36"/>
      <c r="O226" s="37"/>
      <c r="P226" s="36"/>
      <c r="Q226" s="37"/>
      <c r="R226" s="36"/>
      <c r="S226" s="37"/>
      <c r="T226" s="36"/>
      <c r="U226" s="37"/>
      <c r="V226" s="36"/>
      <c r="W226" s="37"/>
      <c r="X226" s="36"/>
      <c r="Y226" s="37"/>
      <c r="Z226" s="36"/>
      <c r="AA226" s="37"/>
      <c r="AB226" s="36"/>
      <c r="AC226" s="37"/>
      <c r="AD226" s="36"/>
      <c r="AE226" s="37"/>
      <c r="AF226" s="16"/>
    </row>
    <row r="227" spans="1:32" s="8" customFormat="1" ht="15">
      <c r="B227" s="43" t="s">
        <v>297</v>
      </c>
      <c r="G227" s="41">
        <f>G88-G225</f>
        <v>1820840.47</v>
      </c>
      <c r="H227" s="36"/>
      <c r="I227" s="41">
        <f>I88-I225</f>
        <v>1587887.75</v>
      </c>
      <c r="J227" s="36"/>
      <c r="K227" s="41">
        <f>K88-K225</f>
        <v>1788362.5300000003</v>
      </c>
      <c r="L227" s="36"/>
      <c r="M227" s="41">
        <f>M88-M225</f>
        <v>1321228.5500000005</v>
      </c>
      <c r="N227" s="36"/>
      <c r="O227" s="41">
        <f>O88-O225</f>
        <v>1803401.26</v>
      </c>
      <c r="P227" s="36"/>
      <c r="Q227" s="41">
        <f>Q88-Q225</f>
        <v>2150361.2000000002</v>
      </c>
      <c r="R227" s="36"/>
      <c r="S227" s="41">
        <f>S88-S225</f>
        <v>1787293.04</v>
      </c>
      <c r="T227" s="36"/>
      <c r="U227" s="41">
        <f>U88-U225</f>
        <v>1562835.75</v>
      </c>
      <c r="V227" s="36"/>
      <c r="W227" s="41">
        <f>W88-W225</f>
        <v>1691001.37</v>
      </c>
      <c r="X227" s="36"/>
      <c r="Y227" s="41">
        <f>Y88-Y225</f>
        <v>1784288.0799999996</v>
      </c>
      <c r="Z227" s="36"/>
      <c r="AA227" s="41">
        <f>AA88-AA225</f>
        <v>1696022.58</v>
      </c>
      <c r="AB227" s="36"/>
      <c r="AC227" s="41">
        <f>AC88-AC225</f>
        <v>1789848.1600000006</v>
      </c>
      <c r="AD227" s="36"/>
      <c r="AE227" s="41">
        <f>AE88-AE225</f>
        <v>20783370.740000013</v>
      </c>
      <c r="AF227" s="16"/>
    </row>
    <row r="228" spans="1:32" s="8" customFormat="1" ht="7.5" customHeight="1">
      <c r="G228" s="37"/>
      <c r="H228" s="36"/>
      <c r="I228" s="37"/>
      <c r="J228" s="36"/>
      <c r="K228" s="37"/>
      <c r="L228" s="36"/>
      <c r="M228" s="37"/>
      <c r="N228" s="36"/>
      <c r="O228" s="37"/>
      <c r="P228" s="36"/>
      <c r="Q228" s="37"/>
      <c r="R228" s="36"/>
      <c r="S228" s="37"/>
      <c r="T228" s="36"/>
      <c r="U228" s="37"/>
      <c r="V228" s="36"/>
      <c r="W228" s="37"/>
      <c r="X228" s="36"/>
      <c r="Y228" s="37"/>
      <c r="Z228" s="36"/>
      <c r="AA228" s="37"/>
      <c r="AB228" s="36"/>
      <c r="AC228" s="37"/>
      <c r="AD228" s="36"/>
      <c r="AE228" s="37"/>
      <c r="AF228" s="16"/>
    </row>
    <row r="229" spans="1:32" s="8" customFormat="1" ht="15" outlineLevel="1">
      <c r="G229" s="37"/>
      <c r="H229" s="36"/>
      <c r="I229" s="37"/>
      <c r="J229" s="36"/>
      <c r="K229" s="37"/>
      <c r="L229" s="36"/>
      <c r="M229" s="37"/>
      <c r="N229" s="36"/>
      <c r="O229" s="37"/>
      <c r="P229" s="36"/>
      <c r="Q229" s="37"/>
      <c r="R229" s="36"/>
      <c r="S229" s="37"/>
      <c r="T229" s="36"/>
      <c r="U229" s="37"/>
      <c r="V229" s="36"/>
      <c r="W229" s="37"/>
      <c r="X229" s="36"/>
      <c r="Y229" s="37"/>
      <c r="Z229" s="36"/>
      <c r="AA229" s="37"/>
      <c r="AB229" s="36"/>
      <c r="AC229" s="37"/>
      <c r="AD229" s="36"/>
      <c r="AE229" s="37"/>
      <c r="AF229" s="16"/>
    </row>
    <row r="230" spans="1:32" outlineLevel="1">
      <c r="A230" s="6">
        <v>60010</v>
      </c>
      <c r="B230" s="6" t="s">
        <v>33</v>
      </c>
      <c r="C230" s="7"/>
      <c r="D230" s="3"/>
      <c r="E230" s="8"/>
      <c r="F230" s="9"/>
      <c r="G230" s="10">
        <v>0</v>
      </c>
      <c r="H230" s="9"/>
      <c r="I230" s="10">
        <v>0</v>
      </c>
      <c r="J230" s="9"/>
      <c r="K230" s="10">
        <v>0</v>
      </c>
      <c r="L230" s="9"/>
      <c r="M230" s="10">
        <v>6054.44</v>
      </c>
      <c r="N230" s="9"/>
      <c r="O230" s="10">
        <v>6054.44</v>
      </c>
      <c r="P230" s="9"/>
      <c r="Q230" s="10">
        <v>6054.44</v>
      </c>
      <c r="R230" s="9"/>
      <c r="S230" s="10">
        <v>6054.44</v>
      </c>
      <c r="T230" s="9"/>
      <c r="U230" s="10">
        <v>6054.44</v>
      </c>
      <c r="V230" s="9"/>
      <c r="W230" s="10">
        <v>6054.44</v>
      </c>
      <c r="X230" s="9"/>
      <c r="Y230" s="10">
        <v>9446.76</v>
      </c>
      <c r="Z230" s="9"/>
      <c r="AA230" s="10">
        <v>9769.84</v>
      </c>
      <c r="AB230" s="9"/>
      <c r="AC230" s="10">
        <v>9123.56</v>
      </c>
      <c r="AD230" s="9"/>
      <c r="AE230" s="10">
        <f t="shared" ref="AE230:AE242" si="12">AC230+AA230+Y230+W230+U230+S230+Q230+O230+M230+K230+I230+G230</f>
        <v>64666.800000000017</v>
      </c>
      <c r="AF230" s="11"/>
    </row>
    <row r="231" spans="1:32" outlineLevel="1">
      <c r="A231" s="6">
        <v>60030</v>
      </c>
      <c r="B231" s="6" t="s">
        <v>298</v>
      </c>
      <c r="C231" s="7"/>
      <c r="D231" s="3"/>
      <c r="E231" s="8"/>
      <c r="F231" s="9"/>
      <c r="G231" s="10">
        <v>0</v>
      </c>
      <c r="H231" s="9"/>
      <c r="I231" s="10">
        <v>216</v>
      </c>
      <c r="J231" s="9"/>
      <c r="K231" s="10">
        <v>0</v>
      </c>
      <c r="L231" s="9"/>
      <c r="M231" s="10">
        <v>0</v>
      </c>
      <c r="N231" s="9"/>
      <c r="O231" s="10">
        <v>0</v>
      </c>
      <c r="P231" s="9"/>
      <c r="Q231" s="10">
        <v>0</v>
      </c>
      <c r="R231" s="9"/>
      <c r="S231" s="10">
        <v>0</v>
      </c>
      <c r="T231" s="9"/>
      <c r="U231" s="10">
        <v>308.61</v>
      </c>
      <c r="V231" s="9"/>
      <c r="W231" s="10">
        <v>180</v>
      </c>
      <c r="X231" s="9"/>
      <c r="Y231" s="10">
        <v>200</v>
      </c>
      <c r="Z231" s="9"/>
      <c r="AA231" s="10">
        <v>750</v>
      </c>
      <c r="AB231" s="9"/>
      <c r="AC231" s="10">
        <v>-948.16</v>
      </c>
      <c r="AD231" s="9"/>
      <c r="AE231" s="10">
        <f t="shared" si="12"/>
        <v>706.45</v>
      </c>
      <c r="AF231" s="11"/>
    </row>
    <row r="232" spans="1:32" outlineLevel="1">
      <c r="A232" s="6">
        <v>60050</v>
      </c>
      <c r="B232" s="6" t="s">
        <v>190</v>
      </c>
      <c r="C232" s="7"/>
      <c r="D232" s="3"/>
      <c r="E232" s="8"/>
      <c r="F232" s="9"/>
      <c r="G232" s="10">
        <v>0</v>
      </c>
      <c r="H232" s="9"/>
      <c r="I232" s="10">
        <v>0</v>
      </c>
      <c r="J232" s="9"/>
      <c r="K232" s="10">
        <v>0</v>
      </c>
      <c r="L232" s="9"/>
      <c r="M232" s="10">
        <v>0</v>
      </c>
      <c r="N232" s="9"/>
      <c r="O232" s="10">
        <v>0</v>
      </c>
      <c r="P232" s="9"/>
      <c r="Q232" s="10">
        <v>0</v>
      </c>
      <c r="R232" s="9"/>
      <c r="S232" s="10">
        <v>0</v>
      </c>
      <c r="T232" s="9"/>
      <c r="U232" s="10">
        <v>41.49</v>
      </c>
      <c r="V232" s="9"/>
      <c r="W232" s="10">
        <v>0</v>
      </c>
      <c r="X232" s="9"/>
      <c r="Y232" s="10">
        <v>271.58</v>
      </c>
      <c r="Z232" s="9"/>
      <c r="AA232" s="10">
        <v>297.45999999999998</v>
      </c>
      <c r="AB232" s="9"/>
      <c r="AC232" s="10">
        <v>271.62</v>
      </c>
      <c r="AD232" s="9"/>
      <c r="AE232" s="10">
        <f t="shared" si="12"/>
        <v>882.14999999999986</v>
      </c>
      <c r="AF232" s="11"/>
    </row>
    <row r="233" spans="1:32" outlineLevel="1">
      <c r="A233" s="6">
        <v>60060</v>
      </c>
      <c r="B233" s="6" t="s">
        <v>138</v>
      </c>
      <c r="C233" s="7"/>
      <c r="D233" s="3"/>
      <c r="E233" s="8"/>
      <c r="F233" s="9"/>
      <c r="G233" s="10">
        <v>0</v>
      </c>
      <c r="H233" s="9"/>
      <c r="I233" s="10">
        <v>0</v>
      </c>
      <c r="J233" s="9"/>
      <c r="K233" s="10">
        <v>0</v>
      </c>
      <c r="L233" s="9"/>
      <c r="M233" s="10">
        <v>88.82</v>
      </c>
      <c r="N233" s="9"/>
      <c r="O233" s="10">
        <v>0</v>
      </c>
      <c r="P233" s="9"/>
      <c r="Q233" s="10">
        <v>0</v>
      </c>
      <c r="R233" s="9"/>
      <c r="S233" s="10">
        <v>0</v>
      </c>
      <c r="T233" s="9"/>
      <c r="U233" s="10">
        <v>0.16</v>
      </c>
      <c r="V233" s="9"/>
      <c r="W233" s="10">
        <v>0</v>
      </c>
      <c r="X233" s="9"/>
      <c r="Y233" s="10">
        <v>805.77</v>
      </c>
      <c r="Z233" s="9"/>
      <c r="AA233" s="10">
        <v>809.38</v>
      </c>
      <c r="AB233" s="9"/>
      <c r="AC233" s="10">
        <v>809.38</v>
      </c>
      <c r="AD233" s="9"/>
      <c r="AE233" s="10">
        <f t="shared" si="12"/>
        <v>2513.5099999999998</v>
      </c>
      <c r="AF233" s="11"/>
    </row>
    <row r="234" spans="1:32" outlineLevel="1">
      <c r="A234" s="6">
        <v>60065</v>
      </c>
      <c r="B234" s="6" t="s">
        <v>39</v>
      </c>
      <c r="C234" s="7"/>
      <c r="D234" s="3"/>
      <c r="E234" s="8"/>
      <c r="F234" s="9"/>
      <c r="G234" s="10">
        <v>0</v>
      </c>
      <c r="H234" s="9"/>
      <c r="I234" s="10">
        <v>0</v>
      </c>
      <c r="J234" s="9"/>
      <c r="K234" s="10">
        <v>0</v>
      </c>
      <c r="L234" s="9"/>
      <c r="M234" s="10">
        <v>0</v>
      </c>
      <c r="N234" s="9"/>
      <c r="O234" s="10">
        <v>0</v>
      </c>
      <c r="P234" s="9"/>
      <c r="Q234" s="10">
        <v>0</v>
      </c>
      <c r="R234" s="9"/>
      <c r="S234" s="10">
        <v>0</v>
      </c>
      <c r="T234" s="9"/>
      <c r="U234" s="10">
        <v>0</v>
      </c>
      <c r="V234" s="9"/>
      <c r="W234" s="10">
        <v>0</v>
      </c>
      <c r="X234" s="9"/>
      <c r="Y234" s="10">
        <v>1217.95</v>
      </c>
      <c r="Z234" s="9"/>
      <c r="AA234" s="10">
        <v>-126.25</v>
      </c>
      <c r="AB234" s="9"/>
      <c r="AC234" s="10">
        <v>537.59</v>
      </c>
      <c r="AD234" s="9"/>
      <c r="AE234" s="10">
        <f t="shared" si="12"/>
        <v>1629.29</v>
      </c>
      <c r="AF234" s="11"/>
    </row>
    <row r="235" spans="1:32" outlineLevel="1">
      <c r="A235" s="6">
        <v>60070</v>
      </c>
      <c r="B235" s="6" t="s">
        <v>40</v>
      </c>
      <c r="C235" s="7"/>
      <c r="D235" s="3"/>
      <c r="E235" s="8"/>
      <c r="F235" s="9"/>
      <c r="G235" s="10">
        <v>0</v>
      </c>
      <c r="H235" s="9"/>
      <c r="I235" s="10">
        <v>0</v>
      </c>
      <c r="J235" s="9"/>
      <c r="K235" s="10">
        <v>0</v>
      </c>
      <c r="L235" s="9"/>
      <c r="M235" s="10">
        <v>0</v>
      </c>
      <c r="N235" s="9"/>
      <c r="O235" s="10">
        <v>0</v>
      </c>
      <c r="P235" s="9"/>
      <c r="Q235" s="10">
        <v>0</v>
      </c>
      <c r="R235" s="9"/>
      <c r="S235" s="10">
        <v>0</v>
      </c>
      <c r="T235" s="9"/>
      <c r="U235" s="10">
        <v>0</v>
      </c>
      <c r="V235" s="9"/>
      <c r="W235" s="10">
        <v>0</v>
      </c>
      <c r="X235" s="9"/>
      <c r="Y235" s="10">
        <v>0</v>
      </c>
      <c r="Z235" s="9"/>
      <c r="AA235" s="10">
        <v>0</v>
      </c>
      <c r="AB235" s="9"/>
      <c r="AC235" s="10">
        <v>0</v>
      </c>
      <c r="AD235" s="9"/>
      <c r="AE235" s="10">
        <f t="shared" si="12"/>
        <v>0</v>
      </c>
      <c r="AF235" s="11"/>
    </row>
    <row r="236" spans="1:32" outlineLevel="1">
      <c r="A236" s="6">
        <v>60116</v>
      </c>
      <c r="B236" s="6" t="s">
        <v>265</v>
      </c>
      <c r="C236" s="7"/>
      <c r="D236" s="3"/>
      <c r="E236" s="8"/>
      <c r="F236" s="9"/>
      <c r="G236" s="10">
        <v>0</v>
      </c>
      <c r="H236" s="9"/>
      <c r="I236" s="10">
        <v>0</v>
      </c>
      <c r="J236" s="9"/>
      <c r="K236" s="10">
        <v>0</v>
      </c>
      <c r="L236" s="9"/>
      <c r="M236" s="10">
        <v>0</v>
      </c>
      <c r="N236" s="9"/>
      <c r="O236" s="10">
        <v>0</v>
      </c>
      <c r="P236" s="9"/>
      <c r="Q236" s="10">
        <v>0</v>
      </c>
      <c r="R236" s="9"/>
      <c r="S236" s="10">
        <v>0</v>
      </c>
      <c r="T236" s="9"/>
      <c r="U236" s="10">
        <v>9.74</v>
      </c>
      <c r="V236" s="9"/>
      <c r="W236" s="10">
        <v>0</v>
      </c>
      <c r="X236" s="9"/>
      <c r="Y236" s="10">
        <v>0</v>
      </c>
      <c r="Z236" s="9"/>
      <c r="AA236" s="10">
        <v>0</v>
      </c>
      <c r="AB236" s="9"/>
      <c r="AC236" s="10">
        <v>0</v>
      </c>
      <c r="AD236" s="9"/>
      <c r="AE236" s="10">
        <f t="shared" si="12"/>
        <v>9.74</v>
      </c>
      <c r="AF236" s="11"/>
    </row>
    <row r="237" spans="1:32" outlineLevel="1">
      <c r="A237" s="6">
        <v>60200</v>
      </c>
      <c r="B237" s="6" t="s">
        <v>61</v>
      </c>
      <c r="C237" s="7"/>
      <c r="D237" s="3"/>
      <c r="E237" s="8"/>
      <c r="F237" s="9"/>
      <c r="G237" s="10">
        <v>0</v>
      </c>
      <c r="H237" s="9"/>
      <c r="I237" s="10">
        <v>0</v>
      </c>
      <c r="J237" s="9"/>
      <c r="K237" s="10">
        <v>0</v>
      </c>
      <c r="L237" s="9"/>
      <c r="M237" s="10">
        <v>0</v>
      </c>
      <c r="N237" s="9"/>
      <c r="O237" s="10">
        <v>0</v>
      </c>
      <c r="P237" s="9"/>
      <c r="Q237" s="10">
        <v>0</v>
      </c>
      <c r="R237" s="9"/>
      <c r="S237" s="10">
        <v>0</v>
      </c>
      <c r="T237" s="9"/>
      <c r="U237" s="10">
        <v>0</v>
      </c>
      <c r="V237" s="9"/>
      <c r="W237" s="10">
        <v>0</v>
      </c>
      <c r="X237" s="9"/>
      <c r="Y237" s="10">
        <v>0</v>
      </c>
      <c r="Z237" s="9"/>
      <c r="AA237" s="10">
        <v>47.78</v>
      </c>
      <c r="AB237" s="9"/>
      <c r="AC237" s="10">
        <v>-47.78</v>
      </c>
      <c r="AD237" s="9"/>
      <c r="AE237" s="10">
        <f t="shared" si="12"/>
        <v>0</v>
      </c>
      <c r="AF237" s="11"/>
    </row>
    <row r="238" spans="1:32" outlineLevel="1">
      <c r="A238" s="6">
        <v>60201</v>
      </c>
      <c r="B238" s="6" t="s">
        <v>156</v>
      </c>
      <c r="C238" s="7"/>
      <c r="D238" s="3"/>
      <c r="E238" s="8"/>
      <c r="F238" s="9"/>
      <c r="G238" s="10">
        <v>0</v>
      </c>
      <c r="H238" s="9"/>
      <c r="I238" s="10">
        <v>0</v>
      </c>
      <c r="J238" s="9"/>
      <c r="K238" s="10">
        <v>0</v>
      </c>
      <c r="L238" s="9"/>
      <c r="M238" s="10">
        <v>0</v>
      </c>
      <c r="N238" s="9"/>
      <c r="O238" s="10">
        <v>0</v>
      </c>
      <c r="P238" s="9"/>
      <c r="Q238" s="10">
        <v>0</v>
      </c>
      <c r="R238" s="9"/>
      <c r="S238" s="10">
        <v>0</v>
      </c>
      <c r="T238" s="9"/>
      <c r="U238" s="10">
        <v>0</v>
      </c>
      <c r="V238" s="9"/>
      <c r="W238" s="10">
        <v>0</v>
      </c>
      <c r="X238" s="9"/>
      <c r="Y238" s="10">
        <v>0</v>
      </c>
      <c r="Z238" s="9"/>
      <c r="AA238" s="10">
        <v>0</v>
      </c>
      <c r="AB238" s="9"/>
      <c r="AC238" s="10">
        <v>0</v>
      </c>
      <c r="AD238" s="9"/>
      <c r="AE238" s="10">
        <f t="shared" si="12"/>
        <v>0</v>
      </c>
      <c r="AF238" s="11"/>
    </row>
    <row r="239" spans="1:32" outlineLevel="1">
      <c r="A239" s="6">
        <v>60205</v>
      </c>
      <c r="B239" s="6" t="s">
        <v>299</v>
      </c>
      <c r="C239" s="7"/>
      <c r="D239" s="3"/>
      <c r="E239" s="8"/>
      <c r="F239" s="9"/>
      <c r="G239" s="10">
        <v>0</v>
      </c>
      <c r="H239" s="9"/>
      <c r="I239" s="10">
        <v>0</v>
      </c>
      <c r="J239" s="9"/>
      <c r="K239" s="10">
        <v>27.65</v>
      </c>
      <c r="L239" s="9"/>
      <c r="M239" s="10">
        <v>0</v>
      </c>
      <c r="N239" s="9"/>
      <c r="O239" s="10">
        <v>0</v>
      </c>
      <c r="P239" s="9"/>
      <c r="Q239" s="10">
        <v>0</v>
      </c>
      <c r="R239" s="9"/>
      <c r="S239" s="10">
        <v>0</v>
      </c>
      <c r="T239" s="9"/>
      <c r="U239" s="10">
        <v>0</v>
      </c>
      <c r="V239" s="9"/>
      <c r="W239" s="10">
        <v>0</v>
      </c>
      <c r="X239" s="9"/>
      <c r="Y239" s="10">
        <v>0</v>
      </c>
      <c r="Z239" s="9"/>
      <c r="AA239" s="10">
        <v>0</v>
      </c>
      <c r="AB239" s="9"/>
      <c r="AC239" s="10">
        <v>47.78</v>
      </c>
      <c r="AD239" s="9"/>
      <c r="AE239" s="10">
        <f t="shared" si="12"/>
        <v>75.430000000000007</v>
      </c>
      <c r="AF239" s="11"/>
    </row>
    <row r="240" spans="1:32" outlineLevel="1">
      <c r="A240" s="6">
        <v>60210</v>
      </c>
      <c r="B240" s="6" t="s">
        <v>119</v>
      </c>
      <c r="C240" s="7"/>
      <c r="D240" s="3"/>
      <c r="E240" s="8"/>
      <c r="F240" s="9"/>
      <c r="G240" s="10">
        <v>0</v>
      </c>
      <c r="H240" s="9"/>
      <c r="I240" s="10">
        <v>0</v>
      </c>
      <c r="J240" s="9"/>
      <c r="K240" s="10">
        <v>0</v>
      </c>
      <c r="L240" s="9"/>
      <c r="M240" s="10">
        <v>0</v>
      </c>
      <c r="N240" s="9"/>
      <c r="O240" s="10">
        <v>0</v>
      </c>
      <c r="P240" s="9"/>
      <c r="Q240" s="10">
        <v>0</v>
      </c>
      <c r="R240" s="9"/>
      <c r="S240" s="10">
        <v>0</v>
      </c>
      <c r="T240" s="9"/>
      <c r="U240" s="10">
        <v>0</v>
      </c>
      <c r="V240" s="9"/>
      <c r="W240" s="10">
        <v>0</v>
      </c>
      <c r="X240" s="9"/>
      <c r="Y240" s="10">
        <v>0</v>
      </c>
      <c r="Z240" s="9"/>
      <c r="AA240" s="10">
        <v>0</v>
      </c>
      <c r="AB240" s="9"/>
      <c r="AC240" s="10">
        <v>0</v>
      </c>
      <c r="AD240" s="9"/>
      <c r="AE240" s="10">
        <f t="shared" si="12"/>
        <v>0</v>
      </c>
      <c r="AF240" s="11"/>
    </row>
    <row r="241" spans="1:32" outlineLevel="1">
      <c r="A241" s="6">
        <v>60225</v>
      </c>
      <c r="B241" s="6" t="s">
        <v>97</v>
      </c>
      <c r="C241" s="7"/>
      <c r="D241" s="3"/>
      <c r="E241" s="8"/>
      <c r="F241" s="9"/>
      <c r="G241" s="10">
        <v>51143.74</v>
      </c>
      <c r="H241" s="9"/>
      <c r="I241" s="10">
        <v>2788.3</v>
      </c>
      <c r="J241" s="9"/>
      <c r="K241" s="10">
        <v>31364.78</v>
      </c>
      <c r="L241" s="9"/>
      <c r="M241" s="10">
        <v>3241.32</v>
      </c>
      <c r="N241" s="9"/>
      <c r="O241" s="10">
        <v>7284</v>
      </c>
      <c r="P241" s="9"/>
      <c r="Q241" s="10">
        <v>4647.51</v>
      </c>
      <c r="R241" s="9"/>
      <c r="S241" s="10">
        <v>7989.91</v>
      </c>
      <c r="T241" s="9"/>
      <c r="U241" s="10">
        <v>7213.54</v>
      </c>
      <c r="V241" s="9"/>
      <c r="W241" s="10">
        <v>3355.7</v>
      </c>
      <c r="X241" s="9"/>
      <c r="Y241" s="10">
        <v>12423.16</v>
      </c>
      <c r="Z241" s="9"/>
      <c r="AA241" s="10">
        <v>7720.6</v>
      </c>
      <c r="AB241" s="9"/>
      <c r="AC241" s="10">
        <v>969.67</v>
      </c>
      <c r="AD241" s="9"/>
      <c r="AE241" s="10">
        <f t="shared" si="12"/>
        <v>140142.23000000001</v>
      </c>
      <c r="AF241" s="11"/>
    </row>
    <row r="242" spans="1:32" outlineLevel="1">
      <c r="A242" s="6">
        <v>60255</v>
      </c>
      <c r="B242" s="6" t="s">
        <v>86</v>
      </c>
      <c r="C242" s="7"/>
      <c r="D242" s="3"/>
      <c r="E242" s="8"/>
      <c r="F242" s="9"/>
      <c r="G242" s="10">
        <v>993.93</v>
      </c>
      <c r="H242" s="9"/>
      <c r="I242" s="10">
        <v>0</v>
      </c>
      <c r="J242" s="9"/>
      <c r="K242" s="10">
        <v>1059.83</v>
      </c>
      <c r="L242" s="9"/>
      <c r="M242" s="10">
        <v>813.12</v>
      </c>
      <c r="N242" s="9"/>
      <c r="O242" s="10">
        <v>0</v>
      </c>
      <c r="P242" s="9"/>
      <c r="Q242" s="10">
        <v>1896.24</v>
      </c>
      <c r="R242" s="9"/>
      <c r="S242" s="10">
        <v>1090.51</v>
      </c>
      <c r="T242" s="9"/>
      <c r="U242" s="10">
        <v>120.09</v>
      </c>
      <c r="V242" s="9"/>
      <c r="W242" s="10">
        <v>374.52</v>
      </c>
      <c r="X242" s="9"/>
      <c r="Y242" s="10">
        <v>0</v>
      </c>
      <c r="Z242" s="9"/>
      <c r="AA242" s="10">
        <v>571.59</v>
      </c>
      <c r="AB242" s="9"/>
      <c r="AC242" s="10">
        <v>434.91</v>
      </c>
      <c r="AD242" s="9"/>
      <c r="AE242" s="10">
        <f t="shared" si="12"/>
        <v>7354.74</v>
      </c>
      <c r="AF242" s="11"/>
    </row>
    <row r="243" spans="1:32" s="8" customFormat="1" ht="5.0999999999999996" customHeight="1" outlineLevel="1">
      <c r="A243" s="7"/>
      <c r="B243" s="7"/>
      <c r="C243" s="7"/>
      <c r="D243" s="7"/>
      <c r="G243" s="38"/>
      <c r="H243" s="36"/>
      <c r="I243" s="38"/>
      <c r="J243" s="36"/>
      <c r="K243" s="38"/>
      <c r="L243" s="36"/>
      <c r="M243" s="38"/>
      <c r="N243" s="36"/>
      <c r="O243" s="38"/>
      <c r="P243" s="36"/>
      <c r="Q243" s="38"/>
      <c r="R243" s="36"/>
      <c r="S243" s="38"/>
      <c r="T243" s="36"/>
      <c r="U243" s="38"/>
      <c r="V243" s="36"/>
      <c r="W243" s="38"/>
      <c r="X243" s="36"/>
      <c r="Y243" s="38"/>
      <c r="Z243" s="36"/>
      <c r="AA243" s="38"/>
      <c r="AB243" s="36"/>
      <c r="AC243" s="38"/>
      <c r="AD243" s="36"/>
      <c r="AE243" s="38"/>
      <c r="AF243" s="16"/>
    </row>
    <row r="244" spans="1:32" s="8" customFormat="1" ht="15">
      <c r="C244" s="7" t="s">
        <v>300</v>
      </c>
      <c r="G244" s="35">
        <f>SUM(G229:G243)</f>
        <v>52137.67</v>
      </c>
      <c r="H244" s="36"/>
      <c r="I244" s="35">
        <f>SUM(I229:I243)</f>
        <v>3004.3</v>
      </c>
      <c r="J244" s="36"/>
      <c r="K244" s="35">
        <f>SUM(K229:K243)</f>
        <v>32452.260000000002</v>
      </c>
      <c r="L244" s="36"/>
      <c r="M244" s="35">
        <f>SUM(M229:M243)</f>
        <v>10197.700000000001</v>
      </c>
      <c r="N244" s="36"/>
      <c r="O244" s="35">
        <f>SUM(O229:O243)</f>
        <v>13338.439999999999</v>
      </c>
      <c r="P244" s="36"/>
      <c r="Q244" s="35">
        <f>SUM(Q229:Q243)</f>
        <v>12598.19</v>
      </c>
      <c r="R244" s="36"/>
      <c r="S244" s="35">
        <f>SUM(S229:S243)</f>
        <v>15134.859999999999</v>
      </c>
      <c r="T244" s="36"/>
      <c r="U244" s="35">
        <f>SUM(U229:U243)</f>
        <v>13748.07</v>
      </c>
      <c r="V244" s="36"/>
      <c r="W244" s="35">
        <f>SUM(W229:W243)</f>
        <v>9964.66</v>
      </c>
      <c r="X244" s="36"/>
      <c r="Y244" s="35">
        <f>SUM(Y229:Y243)</f>
        <v>24365.22</v>
      </c>
      <c r="Z244" s="36"/>
      <c r="AA244" s="35">
        <f>SUM(AA229:AA243)</f>
        <v>19840.399999999998</v>
      </c>
      <c r="AB244" s="36"/>
      <c r="AC244" s="35">
        <f>SUM(AC229:AC243)</f>
        <v>11198.57</v>
      </c>
      <c r="AD244" s="36"/>
      <c r="AE244" s="35">
        <f>SUM(AE229:AE243)</f>
        <v>217980.34</v>
      </c>
      <c r="AF244" s="16"/>
    </row>
    <row r="245" spans="1:32" s="8" customFormat="1" ht="15" outlineLevel="1">
      <c r="G245" s="37"/>
      <c r="H245" s="36"/>
      <c r="I245" s="37"/>
      <c r="J245" s="36"/>
      <c r="K245" s="37"/>
      <c r="L245" s="36"/>
      <c r="M245" s="37"/>
      <c r="N245" s="36"/>
      <c r="O245" s="37"/>
      <c r="P245" s="36"/>
      <c r="Q245" s="37"/>
      <c r="R245" s="36"/>
      <c r="S245" s="37"/>
      <c r="T245" s="36"/>
      <c r="U245" s="37"/>
      <c r="V245" s="36"/>
      <c r="W245" s="37"/>
      <c r="X245" s="36"/>
      <c r="Y245" s="37"/>
      <c r="Z245" s="36"/>
      <c r="AA245" s="37"/>
      <c r="AB245" s="36"/>
      <c r="AC245" s="37"/>
      <c r="AD245" s="36"/>
      <c r="AE245" s="37"/>
      <c r="AF245" s="16"/>
    </row>
    <row r="246" spans="1:32" s="8" customFormat="1" ht="15" outlineLevel="1">
      <c r="G246" s="37"/>
      <c r="H246" s="36"/>
      <c r="I246" s="37"/>
      <c r="J246" s="36"/>
      <c r="K246" s="37"/>
      <c r="L246" s="36"/>
      <c r="M246" s="37"/>
      <c r="N246" s="36"/>
      <c r="O246" s="37"/>
      <c r="P246" s="36"/>
      <c r="Q246" s="37"/>
      <c r="R246" s="36"/>
      <c r="S246" s="37"/>
      <c r="T246" s="36"/>
      <c r="U246" s="37"/>
      <c r="V246" s="36"/>
      <c r="W246" s="37"/>
      <c r="X246" s="36"/>
      <c r="Y246" s="37"/>
      <c r="Z246" s="36"/>
      <c r="AA246" s="37"/>
      <c r="AB246" s="36"/>
      <c r="AC246" s="37"/>
      <c r="AD246" s="36"/>
      <c r="AE246" s="37"/>
      <c r="AF246" s="16"/>
    </row>
    <row r="247" spans="1:32" outlineLevel="1">
      <c r="A247" s="6">
        <v>70010</v>
      </c>
      <c r="B247" s="6" t="s">
        <v>33</v>
      </c>
      <c r="C247" s="7"/>
      <c r="D247" s="3"/>
      <c r="E247" s="8"/>
      <c r="F247" s="9"/>
      <c r="G247" s="10">
        <v>118529.02</v>
      </c>
      <c r="H247" s="9"/>
      <c r="I247" s="10">
        <v>123059.34</v>
      </c>
      <c r="J247" s="9"/>
      <c r="K247" s="10">
        <v>120476.42</v>
      </c>
      <c r="L247" s="9"/>
      <c r="M247" s="10">
        <v>131518.60999999999</v>
      </c>
      <c r="N247" s="9"/>
      <c r="O247" s="10">
        <v>121714.12</v>
      </c>
      <c r="P247" s="9"/>
      <c r="Q247" s="10">
        <v>154542.43</v>
      </c>
      <c r="R247" s="9"/>
      <c r="S247" s="10">
        <v>113999.7</v>
      </c>
      <c r="T247" s="9"/>
      <c r="U247" s="10">
        <v>139816.49</v>
      </c>
      <c r="V247" s="9"/>
      <c r="W247" s="10">
        <v>129598.49</v>
      </c>
      <c r="X247" s="9"/>
      <c r="Y247" s="10">
        <v>123204.94</v>
      </c>
      <c r="Z247" s="9"/>
      <c r="AA247" s="10">
        <v>131212.95000000001</v>
      </c>
      <c r="AB247" s="9"/>
      <c r="AC247" s="10">
        <v>173182.63</v>
      </c>
      <c r="AD247" s="9"/>
      <c r="AE247" s="10">
        <f t="shared" ref="AE247:AE291" si="13">AC247+AA247+Y247+W247+U247+S247+Q247+O247+M247+K247+I247+G247</f>
        <v>1580855.14</v>
      </c>
      <c r="AF247" s="11"/>
    </row>
    <row r="248" spans="1:32" outlineLevel="1">
      <c r="A248" s="6">
        <v>70020</v>
      </c>
      <c r="B248" s="6" t="s">
        <v>42</v>
      </c>
      <c r="C248" s="7"/>
      <c r="D248" s="3"/>
      <c r="E248" s="8"/>
      <c r="F248" s="9"/>
      <c r="G248" s="10">
        <v>105607.97</v>
      </c>
      <c r="H248" s="9"/>
      <c r="I248" s="10">
        <v>117654.11</v>
      </c>
      <c r="J248" s="9"/>
      <c r="K248" s="10">
        <v>105223.25</v>
      </c>
      <c r="L248" s="9"/>
      <c r="M248" s="10">
        <v>113195.25</v>
      </c>
      <c r="N248" s="9"/>
      <c r="O248" s="10">
        <v>103273.76</v>
      </c>
      <c r="P248" s="9"/>
      <c r="Q248" s="10">
        <v>107858.86</v>
      </c>
      <c r="R248" s="9"/>
      <c r="S248" s="10">
        <v>102767.66</v>
      </c>
      <c r="T248" s="9"/>
      <c r="U248" s="10">
        <v>121034.6</v>
      </c>
      <c r="V248" s="9"/>
      <c r="W248" s="10">
        <v>112120.18</v>
      </c>
      <c r="X248" s="9"/>
      <c r="Y248" s="10">
        <v>104306.99</v>
      </c>
      <c r="Z248" s="9"/>
      <c r="AA248" s="10">
        <v>117068.73</v>
      </c>
      <c r="AB248" s="9"/>
      <c r="AC248" s="10">
        <v>103128.04</v>
      </c>
      <c r="AD248" s="9"/>
      <c r="AE248" s="10">
        <f t="shared" si="13"/>
        <v>1313239.4000000001</v>
      </c>
      <c r="AF248" s="11"/>
    </row>
    <row r="249" spans="1:32" outlineLevel="1">
      <c r="A249" s="6">
        <v>70025</v>
      </c>
      <c r="B249" s="6" t="s">
        <v>43</v>
      </c>
      <c r="C249" s="7"/>
      <c r="D249" s="3"/>
      <c r="E249" s="8"/>
      <c r="F249" s="9"/>
      <c r="G249" s="10">
        <v>7198.29</v>
      </c>
      <c r="H249" s="9"/>
      <c r="I249" s="10">
        <v>6100.54</v>
      </c>
      <c r="J249" s="9"/>
      <c r="K249" s="10">
        <v>7110.21</v>
      </c>
      <c r="L249" s="9"/>
      <c r="M249" s="10">
        <v>3651.48</v>
      </c>
      <c r="N249" s="9"/>
      <c r="O249" s="10">
        <v>8372.5400000000009</v>
      </c>
      <c r="P249" s="9"/>
      <c r="Q249" s="10">
        <v>8045.35</v>
      </c>
      <c r="R249" s="9"/>
      <c r="S249" s="10">
        <v>8687.6200000000008</v>
      </c>
      <c r="T249" s="9"/>
      <c r="U249" s="10">
        <v>8870.7800000000007</v>
      </c>
      <c r="V249" s="9"/>
      <c r="W249" s="10">
        <v>11620.36</v>
      </c>
      <c r="X249" s="9"/>
      <c r="Y249" s="10">
        <v>8800.0300000000007</v>
      </c>
      <c r="Z249" s="9"/>
      <c r="AA249" s="10">
        <v>10796.09</v>
      </c>
      <c r="AB249" s="9"/>
      <c r="AC249" s="10">
        <v>8504.6299999999992</v>
      </c>
      <c r="AD249" s="9"/>
      <c r="AE249" s="10">
        <f t="shared" si="13"/>
        <v>97757.919999999984</v>
      </c>
      <c r="AF249" s="11"/>
    </row>
    <row r="250" spans="1:32" outlineLevel="1">
      <c r="A250" s="6">
        <v>70036</v>
      </c>
      <c r="B250" s="6" t="s">
        <v>45</v>
      </c>
      <c r="C250" s="7"/>
      <c r="D250" s="3"/>
      <c r="E250" s="8"/>
      <c r="F250" s="9"/>
      <c r="G250" s="10">
        <v>1894.5</v>
      </c>
      <c r="H250" s="9"/>
      <c r="I250" s="10">
        <v>3369.92</v>
      </c>
      <c r="J250" s="9"/>
      <c r="K250" s="10">
        <v>2490.39</v>
      </c>
      <c r="L250" s="9"/>
      <c r="M250" s="10">
        <v>3070.02</v>
      </c>
      <c r="N250" s="9"/>
      <c r="O250" s="10">
        <v>3435</v>
      </c>
      <c r="P250" s="9"/>
      <c r="Q250" s="10">
        <v>1367.18</v>
      </c>
      <c r="R250" s="9"/>
      <c r="S250" s="10">
        <v>3177.77</v>
      </c>
      <c r="T250" s="9"/>
      <c r="U250" s="10">
        <v>9077.91</v>
      </c>
      <c r="V250" s="9"/>
      <c r="W250" s="10">
        <v>2721.46</v>
      </c>
      <c r="X250" s="9"/>
      <c r="Y250" s="10">
        <v>3643.35</v>
      </c>
      <c r="Z250" s="9"/>
      <c r="AA250" s="10">
        <v>1113.8900000000001</v>
      </c>
      <c r="AB250" s="9"/>
      <c r="AC250" s="10">
        <v>1863</v>
      </c>
      <c r="AD250" s="9"/>
      <c r="AE250" s="10">
        <f t="shared" si="13"/>
        <v>37224.39</v>
      </c>
      <c r="AF250" s="11"/>
    </row>
    <row r="251" spans="1:32" outlineLevel="1">
      <c r="A251" s="6">
        <v>70050</v>
      </c>
      <c r="B251" s="6" t="s">
        <v>190</v>
      </c>
      <c r="C251" s="7"/>
      <c r="D251" s="3"/>
      <c r="E251" s="8"/>
      <c r="F251" s="9"/>
      <c r="G251" s="10">
        <v>11026.2</v>
      </c>
      <c r="H251" s="9"/>
      <c r="I251" s="10">
        <v>10512.96</v>
      </c>
      <c r="J251" s="9"/>
      <c r="K251" s="10">
        <v>11953.61</v>
      </c>
      <c r="L251" s="9"/>
      <c r="M251" s="10">
        <v>20055.66</v>
      </c>
      <c r="N251" s="9"/>
      <c r="O251" s="10">
        <v>15942.63</v>
      </c>
      <c r="P251" s="9"/>
      <c r="Q251" s="10">
        <v>17280.490000000002</v>
      </c>
      <c r="R251" s="9"/>
      <c r="S251" s="10">
        <v>13524.22</v>
      </c>
      <c r="T251" s="9"/>
      <c r="U251" s="10">
        <v>15499.59</v>
      </c>
      <c r="V251" s="9"/>
      <c r="W251" s="10">
        <v>13921.67</v>
      </c>
      <c r="X251" s="9"/>
      <c r="Y251" s="10">
        <v>13224.07</v>
      </c>
      <c r="Z251" s="9"/>
      <c r="AA251" s="10">
        <v>14161.55</v>
      </c>
      <c r="AB251" s="9"/>
      <c r="AC251" s="10">
        <v>15042.27</v>
      </c>
      <c r="AD251" s="9"/>
      <c r="AE251" s="10">
        <f t="shared" si="13"/>
        <v>172144.92</v>
      </c>
      <c r="AF251" s="11"/>
    </row>
    <row r="252" spans="1:32" outlineLevel="1">
      <c r="A252" s="6">
        <v>70060</v>
      </c>
      <c r="B252" s="6" t="s">
        <v>138</v>
      </c>
      <c r="C252" s="7"/>
      <c r="D252" s="3"/>
      <c r="E252" s="8"/>
      <c r="F252" s="9"/>
      <c r="G252" s="10">
        <v>45116.79</v>
      </c>
      <c r="H252" s="9"/>
      <c r="I252" s="10">
        <v>42829.33</v>
      </c>
      <c r="J252" s="9"/>
      <c r="K252" s="10">
        <v>46869.120000000003</v>
      </c>
      <c r="L252" s="9"/>
      <c r="M252" s="10">
        <v>47260.160000000003</v>
      </c>
      <c r="N252" s="9"/>
      <c r="O252" s="10">
        <v>45756.33</v>
      </c>
      <c r="P252" s="9"/>
      <c r="Q252" s="10">
        <v>42333.77</v>
      </c>
      <c r="R252" s="9"/>
      <c r="S252" s="10">
        <v>44922.02</v>
      </c>
      <c r="T252" s="9"/>
      <c r="U252" s="10">
        <v>43121.15</v>
      </c>
      <c r="V252" s="9"/>
      <c r="W252" s="10">
        <v>45414.06</v>
      </c>
      <c r="X252" s="9"/>
      <c r="Y252" s="10">
        <v>44545</v>
      </c>
      <c r="Z252" s="9"/>
      <c r="AA252" s="10">
        <v>45658.68</v>
      </c>
      <c r="AB252" s="9"/>
      <c r="AC252" s="10">
        <v>46875.32</v>
      </c>
      <c r="AD252" s="9"/>
      <c r="AE252" s="10">
        <f t="shared" si="13"/>
        <v>540701.73</v>
      </c>
      <c r="AF252" s="11"/>
    </row>
    <row r="253" spans="1:32" outlineLevel="1">
      <c r="A253" s="6">
        <v>70065</v>
      </c>
      <c r="B253" s="6" t="s">
        <v>39</v>
      </c>
      <c r="C253" s="7"/>
      <c r="D253" s="3"/>
      <c r="E253" s="8"/>
      <c r="F253" s="9"/>
      <c r="G253" s="10">
        <v>17135.98</v>
      </c>
      <c r="H253" s="9"/>
      <c r="I253" s="10">
        <v>16186.1</v>
      </c>
      <c r="J253" s="9"/>
      <c r="K253" s="10">
        <v>15119.37</v>
      </c>
      <c r="L253" s="9"/>
      <c r="M253" s="10">
        <v>6835.72</v>
      </c>
      <c r="N253" s="9"/>
      <c r="O253" s="10">
        <v>7624.07</v>
      </c>
      <c r="P253" s="9"/>
      <c r="Q253" s="10">
        <v>17063.259999999998</v>
      </c>
      <c r="R253" s="9"/>
      <c r="S253" s="10">
        <v>15630.5</v>
      </c>
      <c r="T253" s="9"/>
      <c r="U253" s="10">
        <v>14210.96</v>
      </c>
      <c r="V253" s="9"/>
      <c r="W253" s="10">
        <v>12912.49</v>
      </c>
      <c r="X253" s="9"/>
      <c r="Y253" s="10">
        <v>13376.87</v>
      </c>
      <c r="Z253" s="9"/>
      <c r="AA253" s="10">
        <v>13414.68</v>
      </c>
      <c r="AB253" s="9"/>
      <c r="AC253" s="10">
        <v>-14109.15</v>
      </c>
      <c r="AD253" s="9"/>
      <c r="AE253" s="10">
        <f t="shared" si="13"/>
        <v>135400.85</v>
      </c>
      <c r="AF253" s="11"/>
    </row>
    <row r="254" spans="1:32" outlineLevel="1">
      <c r="A254" s="6">
        <v>70070</v>
      </c>
      <c r="B254" s="6" t="s">
        <v>40</v>
      </c>
      <c r="C254" s="7"/>
      <c r="D254" s="3"/>
      <c r="E254" s="8"/>
      <c r="F254" s="9"/>
      <c r="G254" s="10">
        <v>-513.49</v>
      </c>
      <c r="H254" s="9"/>
      <c r="I254" s="10">
        <v>206.1</v>
      </c>
      <c r="J254" s="9"/>
      <c r="K254" s="10">
        <v>-65.62</v>
      </c>
      <c r="L254" s="9"/>
      <c r="M254" s="10">
        <v>6123.49</v>
      </c>
      <c r="N254" s="9"/>
      <c r="O254" s="10">
        <v>2534.79</v>
      </c>
      <c r="P254" s="9"/>
      <c r="Q254" s="10">
        <v>4311.9799999999996</v>
      </c>
      <c r="R254" s="9"/>
      <c r="S254" s="10">
        <v>710.74</v>
      </c>
      <c r="T254" s="9"/>
      <c r="U254" s="10">
        <v>1233.79</v>
      </c>
      <c r="V254" s="9"/>
      <c r="W254" s="10">
        <v>1780.23</v>
      </c>
      <c r="X254" s="9"/>
      <c r="Y254" s="10">
        <v>3023.27</v>
      </c>
      <c r="Z254" s="9"/>
      <c r="AA254" s="10">
        <v>4440.7</v>
      </c>
      <c r="AB254" s="9"/>
      <c r="AC254" s="10">
        <v>8752.2099999999991</v>
      </c>
      <c r="AD254" s="9"/>
      <c r="AE254" s="10">
        <f t="shared" si="13"/>
        <v>32538.19</v>
      </c>
      <c r="AF254" s="11"/>
    </row>
    <row r="255" spans="1:32" outlineLevel="1">
      <c r="A255" s="6">
        <v>70086</v>
      </c>
      <c r="B255" s="6" t="s">
        <v>263</v>
      </c>
      <c r="C255" s="7"/>
      <c r="D255" s="3"/>
      <c r="E255" s="8"/>
      <c r="F255" s="9"/>
      <c r="G255" s="10">
        <v>262.54000000000002</v>
      </c>
      <c r="H255" s="9"/>
      <c r="I255" s="10">
        <v>310.94</v>
      </c>
      <c r="J255" s="9"/>
      <c r="K255" s="10">
        <v>616.57000000000005</v>
      </c>
      <c r="L255" s="9"/>
      <c r="M255" s="10">
        <v>427.58</v>
      </c>
      <c r="N255" s="9"/>
      <c r="O255" s="10">
        <v>404.12</v>
      </c>
      <c r="P255" s="9"/>
      <c r="Q255" s="10">
        <v>0</v>
      </c>
      <c r="R255" s="9"/>
      <c r="S255" s="10">
        <v>492.52</v>
      </c>
      <c r="T255" s="9"/>
      <c r="U255" s="10">
        <v>422.43</v>
      </c>
      <c r="V255" s="9"/>
      <c r="W255" s="10">
        <v>847.8</v>
      </c>
      <c r="X255" s="9"/>
      <c r="Y255" s="10">
        <v>511.99</v>
      </c>
      <c r="Z255" s="9"/>
      <c r="AA255" s="10">
        <v>350.2</v>
      </c>
      <c r="AB255" s="9"/>
      <c r="AC255" s="10">
        <v>200.54</v>
      </c>
      <c r="AD255" s="9"/>
      <c r="AE255" s="10">
        <f t="shared" si="13"/>
        <v>4847.2299999999996</v>
      </c>
      <c r="AF255" s="11"/>
    </row>
    <row r="256" spans="1:32" outlineLevel="1">
      <c r="A256" s="6">
        <v>70095</v>
      </c>
      <c r="B256" s="6" t="s">
        <v>145</v>
      </c>
      <c r="C256" s="7"/>
      <c r="D256" s="3"/>
      <c r="E256" s="8"/>
      <c r="F256" s="9"/>
      <c r="G256" s="10">
        <v>7235.26</v>
      </c>
      <c r="H256" s="9"/>
      <c r="I256" s="10">
        <v>8580.24</v>
      </c>
      <c r="J256" s="9"/>
      <c r="K256" s="10">
        <v>28155.46</v>
      </c>
      <c r="L256" s="9"/>
      <c r="M256" s="10">
        <v>30169.77</v>
      </c>
      <c r="N256" s="9"/>
      <c r="O256" s="10">
        <v>1575.92</v>
      </c>
      <c r="P256" s="9"/>
      <c r="Q256" s="10">
        <v>4471.32</v>
      </c>
      <c r="R256" s="9"/>
      <c r="S256" s="10">
        <v>6289.37</v>
      </c>
      <c r="T256" s="9"/>
      <c r="U256" s="10">
        <v>3675.09</v>
      </c>
      <c r="V256" s="9"/>
      <c r="W256" s="10">
        <v>1929.11</v>
      </c>
      <c r="X256" s="9"/>
      <c r="Y256" s="10">
        <v>3756.06</v>
      </c>
      <c r="Z256" s="9"/>
      <c r="AA256" s="10">
        <v>29236.36</v>
      </c>
      <c r="AB256" s="9"/>
      <c r="AC256" s="10">
        <v>9687.67</v>
      </c>
      <c r="AD256" s="9"/>
      <c r="AE256" s="10">
        <f t="shared" si="13"/>
        <v>134761.63</v>
      </c>
      <c r="AF256" s="11"/>
    </row>
    <row r="257" spans="1:32" outlineLevel="1">
      <c r="A257" s="6">
        <v>70105</v>
      </c>
      <c r="B257" s="6" t="s">
        <v>149</v>
      </c>
      <c r="C257" s="7"/>
      <c r="D257" s="3"/>
      <c r="E257" s="8"/>
      <c r="F257" s="9"/>
      <c r="G257" s="10">
        <v>3985.57</v>
      </c>
      <c r="H257" s="9"/>
      <c r="I257" s="10">
        <v>278.77</v>
      </c>
      <c r="J257" s="9"/>
      <c r="K257" s="10">
        <v>278.77</v>
      </c>
      <c r="L257" s="9"/>
      <c r="M257" s="10">
        <v>278.77</v>
      </c>
      <c r="N257" s="9"/>
      <c r="O257" s="10">
        <v>278.77</v>
      </c>
      <c r="P257" s="9"/>
      <c r="Q257" s="10">
        <v>278.77</v>
      </c>
      <c r="R257" s="9"/>
      <c r="S257" s="10">
        <v>278.77</v>
      </c>
      <c r="T257" s="9"/>
      <c r="U257" s="10">
        <v>278.77</v>
      </c>
      <c r="V257" s="9"/>
      <c r="W257" s="10">
        <v>278.77999999999997</v>
      </c>
      <c r="X257" s="9"/>
      <c r="Y257" s="10">
        <v>278.77</v>
      </c>
      <c r="Z257" s="9"/>
      <c r="AA257" s="10">
        <v>278.77</v>
      </c>
      <c r="AB257" s="9"/>
      <c r="AC257" s="10">
        <v>278.77</v>
      </c>
      <c r="AD257" s="9"/>
      <c r="AE257" s="10">
        <f t="shared" si="13"/>
        <v>7052.05</v>
      </c>
      <c r="AF257" s="11"/>
    </row>
    <row r="258" spans="1:32" outlineLevel="1">
      <c r="A258" s="6">
        <v>70110</v>
      </c>
      <c r="B258" s="6" t="s">
        <v>150</v>
      </c>
      <c r="C258" s="7"/>
      <c r="D258" s="3"/>
      <c r="E258" s="8"/>
      <c r="F258" s="9"/>
      <c r="G258" s="10">
        <v>4576.9799999999996</v>
      </c>
      <c r="H258" s="9"/>
      <c r="I258" s="10">
        <v>5160.5</v>
      </c>
      <c r="J258" s="9"/>
      <c r="K258" s="10">
        <v>6858.92</v>
      </c>
      <c r="L258" s="9"/>
      <c r="M258" s="10">
        <v>5680</v>
      </c>
      <c r="N258" s="9"/>
      <c r="O258" s="10">
        <v>11342.5</v>
      </c>
      <c r="P258" s="9"/>
      <c r="Q258" s="10">
        <v>10005</v>
      </c>
      <c r="R258" s="9"/>
      <c r="S258" s="10">
        <v>11791</v>
      </c>
      <c r="T258" s="9"/>
      <c r="U258" s="10">
        <v>18131.900000000001</v>
      </c>
      <c r="V258" s="9"/>
      <c r="W258" s="10">
        <v>7959.27</v>
      </c>
      <c r="X258" s="9"/>
      <c r="Y258" s="10">
        <v>16599.349999999999</v>
      </c>
      <c r="Z258" s="9"/>
      <c r="AA258" s="10">
        <v>7980</v>
      </c>
      <c r="AB258" s="9"/>
      <c r="AC258" s="10">
        <v>4170</v>
      </c>
      <c r="AD258" s="9"/>
      <c r="AE258" s="10">
        <f t="shared" si="13"/>
        <v>110255.41999999998</v>
      </c>
      <c r="AF258" s="11"/>
    </row>
    <row r="259" spans="1:32" outlineLevel="1">
      <c r="A259" s="6">
        <v>70112</v>
      </c>
      <c r="B259" s="6" t="s">
        <v>301</v>
      </c>
      <c r="C259" s="7"/>
      <c r="D259" s="3"/>
      <c r="E259" s="8"/>
      <c r="F259" s="9"/>
      <c r="G259" s="10">
        <v>6250</v>
      </c>
      <c r="H259" s="9"/>
      <c r="I259" s="10">
        <v>0</v>
      </c>
      <c r="J259" s="9"/>
      <c r="K259" s="10">
        <v>0</v>
      </c>
      <c r="L259" s="9"/>
      <c r="M259" s="10">
        <v>0</v>
      </c>
      <c r="N259" s="9"/>
      <c r="O259" s="10">
        <v>0</v>
      </c>
      <c r="P259" s="9"/>
      <c r="Q259" s="10">
        <v>0</v>
      </c>
      <c r="R259" s="9"/>
      <c r="S259" s="10">
        <v>0</v>
      </c>
      <c r="T259" s="9"/>
      <c r="U259" s="10">
        <v>0</v>
      </c>
      <c r="V259" s="9"/>
      <c r="W259" s="10">
        <v>0</v>
      </c>
      <c r="X259" s="9"/>
      <c r="Y259" s="10">
        <v>0</v>
      </c>
      <c r="Z259" s="9"/>
      <c r="AA259" s="10">
        <v>0</v>
      </c>
      <c r="AB259" s="9"/>
      <c r="AC259" s="10">
        <v>0</v>
      </c>
      <c r="AD259" s="9"/>
      <c r="AE259" s="10">
        <f t="shared" si="13"/>
        <v>6250</v>
      </c>
      <c r="AF259" s="11"/>
    </row>
    <row r="260" spans="1:32" outlineLevel="1">
      <c r="A260" s="6">
        <v>70116</v>
      </c>
      <c r="B260" s="6" t="s">
        <v>265</v>
      </c>
      <c r="C260" s="7"/>
      <c r="D260" s="3"/>
      <c r="E260" s="8"/>
      <c r="F260" s="9"/>
      <c r="G260" s="10">
        <v>3797.51</v>
      </c>
      <c r="H260" s="9"/>
      <c r="I260" s="10">
        <v>5648.64</v>
      </c>
      <c r="J260" s="9"/>
      <c r="K260" s="10">
        <v>3816.41</v>
      </c>
      <c r="L260" s="9"/>
      <c r="M260" s="10">
        <v>3467.83</v>
      </c>
      <c r="N260" s="9"/>
      <c r="O260" s="10">
        <v>4137.12</v>
      </c>
      <c r="P260" s="9"/>
      <c r="Q260" s="10">
        <v>3928.11</v>
      </c>
      <c r="R260" s="9"/>
      <c r="S260" s="10">
        <v>5096.3900000000003</v>
      </c>
      <c r="T260" s="9"/>
      <c r="U260" s="10">
        <v>8123.94</v>
      </c>
      <c r="V260" s="9"/>
      <c r="W260" s="10">
        <v>5362.06</v>
      </c>
      <c r="X260" s="9"/>
      <c r="Y260" s="10">
        <v>5290.06</v>
      </c>
      <c r="Z260" s="9"/>
      <c r="AA260" s="10">
        <v>4520.92</v>
      </c>
      <c r="AB260" s="9"/>
      <c r="AC260" s="10">
        <v>9193.07</v>
      </c>
      <c r="AD260" s="9"/>
      <c r="AE260" s="10">
        <f t="shared" si="13"/>
        <v>62382.060000000005</v>
      </c>
      <c r="AF260" s="11"/>
    </row>
    <row r="261" spans="1:32" outlineLevel="1">
      <c r="A261" s="6">
        <v>70148</v>
      </c>
      <c r="B261" s="6" t="s">
        <v>67</v>
      </c>
      <c r="C261" s="7"/>
      <c r="D261" s="3"/>
      <c r="E261" s="8"/>
      <c r="F261" s="9"/>
      <c r="G261" s="10">
        <v>13463.85</v>
      </c>
      <c r="H261" s="9"/>
      <c r="I261" s="10">
        <v>12823.53</v>
      </c>
      <c r="J261" s="9"/>
      <c r="K261" s="10">
        <v>16490.990000000002</v>
      </c>
      <c r="L261" s="9"/>
      <c r="M261" s="10">
        <v>22723.49</v>
      </c>
      <c r="N261" s="9"/>
      <c r="O261" s="10">
        <v>34674.42</v>
      </c>
      <c r="P261" s="9"/>
      <c r="Q261" s="10">
        <v>24912.73</v>
      </c>
      <c r="R261" s="9"/>
      <c r="S261" s="10">
        <v>16347.83</v>
      </c>
      <c r="T261" s="9"/>
      <c r="U261" s="10">
        <v>26086.32</v>
      </c>
      <c r="V261" s="9"/>
      <c r="W261" s="10">
        <v>20810.89</v>
      </c>
      <c r="X261" s="9"/>
      <c r="Y261" s="10">
        <v>13747.95</v>
      </c>
      <c r="Z261" s="9"/>
      <c r="AA261" s="10">
        <v>11999.84</v>
      </c>
      <c r="AB261" s="9"/>
      <c r="AC261" s="10">
        <v>25948.12</v>
      </c>
      <c r="AD261" s="9"/>
      <c r="AE261" s="10">
        <f t="shared" si="13"/>
        <v>240029.95999999996</v>
      </c>
      <c r="AF261" s="11"/>
    </row>
    <row r="262" spans="1:32" outlineLevel="1">
      <c r="A262" s="6">
        <v>70150</v>
      </c>
      <c r="B262" s="6" t="s">
        <v>135</v>
      </c>
      <c r="C262" s="7"/>
      <c r="D262" s="3"/>
      <c r="E262" s="8"/>
      <c r="F262" s="9"/>
      <c r="G262" s="10">
        <v>2053.65</v>
      </c>
      <c r="H262" s="9"/>
      <c r="I262" s="10">
        <v>2118.65</v>
      </c>
      <c r="J262" s="9"/>
      <c r="K262" s="10">
        <v>2829.83</v>
      </c>
      <c r="L262" s="9"/>
      <c r="M262" s="10">
        <v>3260.26</v>
      </c>
      <c r="N262" s="9"/>
      <c r="O262" s="10">
        <v>3065.46</v>
      </c>
      <c r="P262" s="9"/>
      <c r="Q262" s="10">
        <v>2764.53</v>
      </c>
      <c r="R262" s="9"/>
      <c r="S262" s="10">
        <v>2265.06</v>
      </c>
      <c r="T262" s="9"/>
      <c r="U262" s="10">
        <v>2535.98</v>
      </c>
      <c r="V262" s="9"/>
      <c r="W262" s="10">
        <v>2223.9899999999998</v>
      </c>
      <c r="X262" s="9"/>
      <c r="Y262" s="10">
        <v>2124.2600000000002</v>
      </c>
      <c r="Z262" s="9"/>
      <c r="AA262" s="10">
        <v>2180.87</v>
      </c>
      <c r="AB262" s="9"/>
      <c r="AC262" s="10">
        <v>2374.5300000000002</v>
      </c>
      <c r="AD262" s="9"/>
      <c r="AE262" s="10">
        <f t="shared" si="13"/>
        <v>29797.07</v>
      </c>
      <c r="AF262" s="11"/>
    </row>
    <row r="263" spans="1:32" outlineLevel="1">
      <c r="A263" s="6">
        <v>70165</v>
      </c>
      <c r="B263" s="6" t="s">
        <v>58</v>
      </c>
      <c r="C263" s="7"/>
      <c r="D263" s="3"/>
      <c r="E263" s="8"/>
      <c r="F263" s="9"/>
      <c r="G263" s="10">
        <v>4921.01</v>
      </c>
      <c r="H263" s="9"/>
      <c r="I263" s="10">
        <v>4736.63</v>
      </c>
      <c r="J263" s="9"/>
      <c r="K263" s="10">
        <v>5353.89</v>
      </c>
      <c r="L263" s="9"/>
      <c r="M263" s="10">
        <v>4543.45</v>
      </c>
      <c r="N263" s="9"/>
      <c r="O263" s="10">
        <v>5117.03</v>
      </c>
      <c r="P263" s="9"/>
      <c r="Q263" s="10">
        <v>4846.93</v>
      </c>
      <c r="R263" s="9"/>
      <c r="S263" s="10">
        <v>4970.1099999999997</v>
      </c>
      <c r="T263" s="9"/>
      <c r="U263" s="10">
        <v>4935.18</v>
      </c>
      <c r="V263" s="9"/>
      <c r="W263" s="10">
        <v>4980.22</v>
      </c>
      <c r="X263" s="9"/>
      <c r="Y263" s="10">
        <v>5335.79</v>
      </c>
      <c r="Z263" s="9"/>
      <c r="AA263" s="10">
        <v>4982.92</v>
      </c>
      <c r="AB263" s="9"/>
      <c r="AC263" s="10">
        <v>5270.61</v>
      </c>
      <c r="AD263" s="9"/>
      <c r="AE263" s="10">
        <f t="shared" si="13"/>
        <v>59993.77</v>
      </c>
      <c r="AF263" s="11"/>
    </row>
    <row r="264" spans="1:32" outlineLevel="1">
      <c r="A264" s="6">
        <v>70167</v>
      </c>
      <c r="B264" s="6" t="s">
        <v>302</v>
      </c>
      <c r="C264" s="7"/>
      <c r="D264" s="3"/>
      <c r="E264" s="8"/>
      <c r="F264" s="9"/>
      <c r="G264" s="10">
        <v>2895.61</v>
      </c>
      <c r="H264" s="9"/>
      <c r="I264" s="10">
        <v>3144.58</v>
      </c>
      <c r="J264" s="9"/>
      <c r="K264" s="10">
        <v>1990.05</v>
      </c>
      <c r="L264" s="9"/>
      <c r="M264" s="10">
        <v>1488.15</v>
      </c>
      <c r="N264" s="9"/>
      <c r="O264" s="10">
        <v>1848.97</v>
      </c>
      <c r="P264" s="9"/>
      <c r="Q264" s="10">
        <v>1820.87</v>
      </c>
      <c r="R264" s="9"/>
      <c r="S264" s="10">
        <v>1664.83</v>
      </c>
      <c r="T264" s="9"/>
      <c r="U264" s="10">
        <v>1971.29</v>
      </c>
      <c r="V264" s="9"/>
      <c r="W264" s="10">
        <v>1788.4</v>
      </c>
      <c r="X264" s="9"/>
      <c r="Y264" s="10">
        <v>1887.79</v>
      </c>
      <c r="Z264" s="9"/>
      <c r="AA264" s="10">
        <v>1823.49</v>
      </c>
      <c r="AB264" s="9"/>
      <c r="AC264" s="10">
        <v>2143.42</v>
      </c>
      <c r="AD264" s="9"/>
      <c r="AE264" s="10">
        <f t="shared" si="13"/>
        <v>24467.449999999997</v>
      </c>
      <c r="AF264" s="11"/>
    </row>
    <row r="265" spans="1:32" outlineLevel="1">
      <c r="A265" s="6">
        <v>70171</v>
      </c>
      <c r="B265" s="6" t="s">
        <v>303</v>
      </c>
      <c r="C265" s="7"/>
      <c r="D265" s="3"/>
      <c r="E265" s="8"/>
      <c r="F265" s="9"/>
      <c r="G265" s="10">
        <v>0</v>
      </c>
      <c r="H265" s="9"/>
      <c r="I265" s="10">
        <v>0</v>
      </c>
      <c r="J265" s="9"/>
      <c r="K265" s="10">
        <v>0</v>
      </c>
      <c r="L265" s="9"/>
      <c r="M265" s="10">
        <v>0</v>
      </c>
      <c r="N265" s="9"/>
      <c r="O265" s="10">
        <v>0</v>
      </c>
      <c r="P265" s="9"/>
      <c r="Q265" s="10">
        <v>4122.46</v>
      </c>
      <c r="R265" s="9"/>
      <c r="S265" s="10">
        <v>0</v>
      </c>
      <c r="T265" s="9"/>
      <c r="U265" s="10">
        <v>0</v>
      </c>
      <c r="V265" s="9"/>
      <c r="W265" s="10">
        <v>0</v>
      </c>
      <c r="X265" s="9"/>
      <c r="Y265" s="10">
        <v>0</v>
      </c>
      <c r="Z265" s="9"/>
      <c r="AA265" s="10">
        <v>0</v>
      </c>
      <c r="AB265" s="9"/>
      <c r="AC265" s="10">
        <v>0</v>
      </c>
      <c r="AD265" s="9"/>
      <c r="AE265" s="10">
        <f t="shared" si="13"/>
        <v>4122.46</v>
      </c>
      <c r="AF265" s="11"/>
    </row>
    <row r="266" spans="1:32" outlineLevel="1">
      <c r="A266" s="6">
        <v>70175</v>
      </c>
      <c r="B266" s="6" t="s">
        <v>59</v>
      </c>
      <c r="C266" s="7"/>
      <c r="D266" s="3"/>
      <c r="E266" s="8"/>
      <c r="F266" s="9"/>
      <c r="G266" s="10">
        <v>0</v>
      </c>
      <c r="H266" s="9"/>
      <c r="I266" s="10">
        <v>66.61</v>
      </c>
      <c r="J266" s="9"/>
      <c r="K266" s="10">
        <v>480.3</v>
      </c>
      <c r="L266" s="9"/>
      <c r="M266" s="10">
        <v>0</v>
      </c>
      <c r="N266" s="9"/>
      <c r="O266" s="10">
        <v>0</v>
      </c>
      <c r="P266" s="9"/>
      <c r="Q266" s="10">
        <v>0</v>
      </c>
      <c r="R266" s="9"/>
      <c r="S266" s="10">
        <v>0</v>
      </c>
      <c r="T266" s="9"/>
      <c r="U266" s="10">
        <v>0</v>
      </c>
      <c r="V266" s="9"/>
      <c r="W266" s="10">
        <v>0</v>
      </c>
      <c r="X266" s="9"/>
      <c r="Y266" s="10">
        <v>5509.1</v>
      </c>
      <c r="Z266" s="9"/>
      <c r="AA266" s="10">
        <v>0</v>
      </c>
      <c r="AB266" s="9"/>
      <c r="AC266" s="10">
        <v>372.01</v>
      </c>
      <c r="AD266" s="9"/>
      <c r="AE266" s="10">
        <f t="shared" si="13"/>
        <v>6428.02</v>
      </c>
      <c r="AF266" s="11"/>
    </row>
    <row r="267" spans="1:32" outlineLevel="1">
      <c r="A267" s="6">
        <v>70185</v>
      </c>
      <c r="B267" s="6" t="s">
        <v>120</v>
      </c>
      <c r="C267" s="7"/>
      <c r="D267" s="3"/>
      <c r="E267" s="8"/>
      <c r="F267" s="9"/>
      <c r="G267" s="10">
        <v>1674.9</v>
      </c>
      <c r="H267" s="9"/>
      <c r="I267" s="10">
        <v>3299.83</v>
      </c>
      <c r="J267" s="9"/>
      <c r="K267" s="10">
        <v>2253.9499999999998</v>
      </c>
      <c r="L267" s="9"/>
      <c r="M267" s="10">
        <v>2978.75</v>
      </c>
      <c r="N267" s="9"/>
      <c r="O267" s="10">
        <v>1899.8</v>
      </c>
      <c r="P267" s="9"/>
      <c r="Q267" s="10">
        <v>2615.37</v>
      </c>
      <c r="R267" s="9"/>
      <c r="S267" s="10">
        <v>1834.08</v>
      </c>
      <c r="T267" s="9"/>
      <c r="U267" s="10">
        <v>2890.41</v>
      </c>
      <c r="V267" s="9"/>
      <c r="W267" s="10">
        <v>2861.79</v>
      </c>
      <c r="X267" s="9"/>
      <c r="Y267" s="10">
        <v>2477.7600000000002</v>
      </c>
      <c r="Z267" s="9"/>
      <c r="AA267" s="10">
        <v>2805.58</v>
      </c>
      <c r="AB267" s="9"/>
      <c r="AC267" s="10">
        <v>2795.48</v>
      </c>
      <c r="AD267" s="9"/>
      <c r="AE267" s="10">
        <f t="shared" si="13"/>
        <v>30387.700000000004</v>
      </c>
      <c r="AF267" s="11"/>
    </row>
    <row r="268" spans="1:32" outlineLevel="1">
      <c r="A268" s="6">
        <v>70190</v>
      </c>
      <c r="B268" s="6" t="s">
        <v>304</v>
      </c>
      <c r="C268" s="7"/>
      <c r="D268" s="3"/>
      <c r="E268" s="8"/>
      <c r="F268" s="9"/>
      <c r="G268" s="10">
        <v>0</v>
      </c>
      <c r="H268" s="9"/>
      <c r="I268" s="10">
        <v>130</v>
      </c>
      <c r="J268" s="9"/>
      <c r="K268" s="10">
        <v>1090</v>
      </c>
      <c r="L268" s="9"/>
      <c r="M268" s="10">
        <v>0</v>
      </c>
      <c r="N268" s="9"/>
      <c r="O268" s="10">
        <v>0</v>
      </c>
      <c r="P268" s="9"/>
      <c r="Q268" s="10">
        <v>194</v>
      </c>
      <c r="R268" s="9"/>
      <c r="S268" s="10">
        <v>0</v>
      </c>
      <c r="T268" s="9"/>
      <c r="U268" s="10">
        <v>0</v>
      </c>
      <c r="V268" s="9"/>
      <c r="W268" s="10">
        <v>2125</v>
      </c>
      <c r="X268" s="9"/>
      <c r="Y268" s="10">
        <v>701.48</v>
      </c>
      <c r="Z268" s="9"/>
      <c r="AA268" s="10">
        <v>736.4</v>
      </c>
      <c r="AB268" s="9"/>
      <c r="AC268" s="10">
        <v>655</v>
      </c>
      <c r="AD268" s="9"/>
      <c r="AE268" s="10">
        <f t="shared" si="13"/>
        <v>5631.88</v>
      </c>
      <c r="AF268" s="11"/>
    </row>
    <row r="269" spans="1:32" outlineLevel="1">
      <c r="A269" s="6">
        <v>70195</v>
      </c>
      <c r="B269" s="6" t="s">
        <v>305</v>
      </c>
      <c r="C269" s="7"/>
      <c r="D269" s="3"/>
      <c r="E269" s="8"/>
      <c r="F269" s="9"/>
      <c r="G269" s="10">
        <v>3824.04</v>
      </c>
      <c r="H269" s="9"/>
      <c r="I269" s="10">
        <v>2755.54</v>
      </c>
      <c r="J269" s="9"/>
      <c r="K269" s="10">
        <v>2380.06</v>
      </c>
      <c r="L269" s="9"/>
      <c r="M269" s="10">
        <v>5244.05</v>
      </c>
      <c r="N269" s="9"/>
      <c r="O269" s="10">
        <v>2159.42</v>
      </c>
      <c r="P269" s="9"/>
      <c r="Q269" s="10">
        <v>2383.54</v>
      </c>
      <c r="R269" s="9"/>
      <c r="S269" s="10">
        <v>2432.9299999999998</v>
      </c>
      <c r="T269" s="9"/>
      <c r="U269" s="10">
        <v>4004.41</v>
      </c>
      <c r="V269" s="9"/>
      <c r="W269" s="10">
        <v>2521.4499999999998</v>
      </c>
      <c r="X269" s="9"/>
      <c r="Y269" s="10">
        <v>3352.92</v>
      </c>
      <c r="Z269" s="9"/>
      <c r="AA269" s="10">
        <v>283.33</v>
      </c>
      <c r="AB269" s="9"/>
      <c r="AC269" s="10">
        <v>4038.42</v>
      </c>
      <c r="AD269" s="9"/>
      <c r="AE269" s="10">
        <f t="shared" si="13"/>
        <v>35380.11</v>
      </c>
      <c r="AF269" s="11"/>
    </row>
    <row r="270" spans="1:32" outlineLevel="1">
      <c r="A270" s="6">
        <v>70200</v>
      </c>
      <c r="B270" s="6" t="s">
        <v>61</v>
      </c>
      <c r="C270" s="7"/>
      <c r="D270" s="3"/>
      <c r="E270" s="8"/>
      <c r="F270" s="9"/>
      <c r="G270" s="10">
        <v>416.15</v>
      </c>
      <c r="H270" s="9"/>
      <c r="I270" s="10">
        <v>-473.95</v>
      </c>
      <c r="J270" s="9"/>
      <c r="K270" s="10">
        <v>86.45</v>
      </c>
      <c r="L270" s="9"/>
      <c r="M270" s="10">
        <v>-23.45</v>
      </c>
      <c r="N270" s="9"/>
      <c r="O270" s="10">
        <v>260.39999999999998</v>
      </c>
      <c r="P270" s="9"/>
      <c r="Q270" s="10">
        <v>1155.21</v>
      </c>
      <c r="R270" s="9"/>
      <c r="S270" s="10">
        <v>588</v>
      </c>
      <c r="T270" s="9"/>
      <c r="U270" s="10">
        <v>751.31</v>
      </c>
      <c r="V270" s="9"/>
      <c r="W270" s="10">
        <v>-751.31</v>
      </c>
      <c r="X270" s="9"/>
      <c r="Y270" s="10">
        <v>536.6</v>
      </c>
      <c r="Z270" s="9"/>
      <c r="AA270" s="10">
        <v>0</v>
      </c>
      <c r="AB270" s="9"/>
      <c r="AC270" s="10">
        <v>1243.3</v>
      </c>
      <c r="AD270" s="9"/>
      <c r="AE270" s="10">
        <f t="shared" si="13"/>
        <v>3788.7100000000005</v>
      </c>
      <c r="AF270" s="11"/>
    </row>
    <row r="271" spans="1:32" outlineLevel="1">
      <c r="A271" s="6">
        <v>70201</v>
      </c>
      <c r="B271" s="6" t="s">
        <v>156</v>
      </c>
      <c r="C271" s="7"/>
      <c r="D271" s="3"/>
      <c r="E271" s="8"/>
      <c r="F271" s="9"/>
      <c r="G271" s="10">
        <v>2989.06</v>
      </c>
      <c r="H271" s="9"/>
      <c r="I271" s="10">
        <v>1627.17</v>
      </c>
      <c r="J271" s="9"/>
      <c r="K271" s="10">
        <v>2463.75</v>
      </c>
      <c r="L271" s="9"/>
      <c r="M271" s="10">
        <v>1856.41</v>
      </c>
      <c r="N271" s="9"/>
      <c r="O271" s="10">
        <v>1670.87</v>
      </c>
      <c r="P271" s="9"/>
      <c r="Q271" s="10">
        <v>2060.98</v>
      </c>
      <c r="R271" s="9"/>
      <c r="S271" s="10">
        <v>1110.3900000000001</v>
      </c>
      <c r="T271" s="9"/>
      <c r="U271" s="10">
        <v>2316.0100000000002</v>
      </c>
      <c r="V271" s="9"/>
      <c r="W271" s="10">
        <v>1948.23</v>
      </c>
      <c r="X271" s="9"/>
      <c r="Y271" s="10">
        <v>4630.8900000000003</v>
      </c>
      <c r="Z271" s="9"/>
      <c r="AA271" s="10">
        <v>1038.7</v>
      </c>
      <c r="AB271" s="9"/>
      <c r="AC271" s="10">
        <v>2858.6</v>
      </c>
      <c r="AD271" s="9"/>
      <c r="AE271" s="10">
        <f t="shared" si="13"/>
        <v>26571.06</v>
      </c>
      <c r="AF271" s="11"/>
    </row>
    <row r="272" spans="1:32" outlineLevel="1">
      <c r="A272" s="6">
        <v>70202</v>
      </c>
      <c r="B272" s="6" t="s">
        <v>306</v>
      </c>
      <c r="C272" s="7"/>
      <c r="D272" s="3"/>
      <c r="E272" s="8"/>
      <c r="F272" s="9"/>
      <c r="G272" s="10">
        <v>2374.9699999999998</v>
      </c>
      <c r="H272" s="9"/>
      <c r="I272" s="10">
        <v>-138.25</v>
      </c>
      <c r="J272" s="9"/>
      <c r="K272" s="10">
        <v>627.67999999999995</v>
      </c>
      <c r="L272" s="9"/>
      <c r="M272" s="10">
        <v>857.6</v>
      </c>
      <c r="N272" s="9"/>
      <c r="O272" s="10">
        <v>9529.99</v>
      </c>
      <c r="P272" s="9"/>
      <c r="Q272" s="10">
        <v>259.45</v>
      </c>
      <c r="R272" s="9"/>
      <c r="S272" s="10">
        <v>-7.81</v>
      </c>
      <c r="T272" s="9"/>
      <c r="U272" s="10">
        <v>5649.03</v>
      </c>
      <c r="V272" s="9"/>
      <c r="W272" s="10">
        <v>2505.06</v>
      </c>
      <c r="X272" s="9"/>
      <c r="Y272" s="10">
        <v>65708.81</v>
      </c>
      <c r="Z272" s="9"/>
      <c r="AA272" s="10">
        <v>2398.75</v>
      </c>
      <c r="AB272" s="9"/>
      <c r="AC272" s="10">
        <v>4539.6499999999996</v>
      </c>
      <c r="AD272" s="9"/>
      <c r="AE272" s="10">
        <f t="shared" si="13"/>
        <v>94304.93</v>
      </c>
      <c r="AF272" s="11"/>
    </row>
    <row r="273" spans="1:32" outlineLevel="1">
      <c r="A273" s="6">
        <v>70203</v>
      </c>
      <c r="B273" s="6" t="s">
        <v>158</v>
      </c>
      <c r="C273" s="7"/>
      <c r="D273" s="3"/>
      <c r="E273" s="8"/>
      <c r="F273" s="9"/>
      <c r="G273" s="10">
        <v>0</v>
      </c>
      <c r="H273" s="9"/>
      <c r="I273" s="10">
        <v>0</v>
      </c>
      <c r="J273" s="9"/>
      <c r="K273" s="10">
        <v>802.23</v>
      </c>
      <c r="L273" s="9"/>
      <c r="M273" s="10">
        <v>1382.96</v>
      </c>
      <c r="N273" s="9"/>
      <c r="O273" s="10">
        <v>-550</v>
      </c>
      <c r="P273" s="9"/>
      <c r="Q273" s="10">
        <v>0</v>
      </c>
      <c r="R273" s="9"/>
      <c r="S273" s="10">
        <v>0</v>
      </c>
      <c r="T273" s="9"/>
      <c r="U273" s="10">
        <v>120.99</v>
      </c>
      <c r="V273" s="9"/>
      <c r="W273" s="10">
        <v>1151.2</v>
      </c>
      <c r="X273" s="9"/>
      <c r="Y273" s="10">
        <v>1254.6300000000001</v>
      </c>
      <c r="Z273" s="9"/>
      <c r="AA273" s="10">
        <v>0</v>
      </c>
      <c r="AB273" s="9"/>
      <c r="AC273" s="10">
        <v>574.41</v>
      </c>
      <c r="AD273" s="9"/>
      <c r="AE273" s="10">
        <f t="shared" si="13"/>
        <v>4736.42</v>
      </c>
      <c r="AF273" s="11"/>
    </row>
    <row r="274" spans="1:32" outlineLevel="1">
      <c r="A274" s="6">
        <v>70204</v>
      </c>
      <c r="B274" s="6" t="s">
        <v>307</v>
      </c>
      <c r="C274" s="7"/>
      <c r="D274" s="3"/>
      <c r="E274" s="8"/>
      <c r="F274" s="9"/>
      <c r="G274" s="10">
        <v>0</v>
      </c>
      <c r="H274" s="9"/>
      <c r="I274" s="10">
        <v>0</v>
      </c>
      <c r="J274" s="9"/>
      <c r="K274" s="10">
        <v>0</v>
      </c>
      <c r="L274" s="9"/>
      <c r="M274" s="10">
        <v>0</v>
      </c>
      <c r="N274" s="9"/>
      <c r="O274" s="10">
        <v>0</v>
      </c>
      <c r="P274" s="9"/>
      <c r="Q274" s="10">
        <v>70</v>
      </c>
      <c r="R274" s="9"/>
      <c r="S274" s="10">
        <v>0</v>
      </c>
      <c r="T274" s="9"/>
      <c r="U274" s="10">
        <v>82.18</v>
      </c>
      <c r="V274" s="9"/>
      <c r="W274" s="10">
        <v>27.09</v>
      </c>
      <c r="X274" s="9"/>
      <c r="Y274" s="10">
        <v>0</v>
      </c>
      <c r="Z274" s="9"/>
      <c r="AA274" s="10">
        <v>0</v>
      </c>
      <c r="AB274" s="9"/>
      <c r="AC274" s="10">
        <v>0</v>
      </c>
      <c r="AD274" s="9"/>
      <c r="AE274" s="10">
        <f t="shared" si="13"/>
        <v>179.27</v>
      </c>
      <c r="AF274" s="11"/>
    </row>
    <row r="275" spans="1:32" outlineLevel="1">
      <c r="A275" s="6">
        <v>70205</v>
      </c>
      <c r="B275" s="6" t="s">
        <v>299</v>
      </c>
      <c r="C275" s="7"/>
      <c r="D275" s="3"/>
      <c r="E275" s="8"/>
      <c r="F275" s="9"/>
      <c r="G275" s="10">
        <v>1161.08</v>
      </c>
      <c r="H275" s="9"/>
      <c r="I275" s="10">
        <v>-179.55</v>
      </c>
      <c r="J275" s="9"/>
      <c r="K275" s="10">
        <v>528.48</v>
      </c>
      <c r="L275" s="9"/>
      <c r="M275" s="10">
        <v>996.03</v>
      </c>
      <c r="N275" s="9"/>
      <c r="O275" s="10">
        <v>902.24</v>
      </c>
      <c r="P275" s="9"/>
      <c r="Q275" s="10">
        <v>1496.69</v>
      </c>
      <c r="R275" s="9"/>
      <c r="S275" s="10">
        <v>355.31</v>
      </c>
      <c r="T275" s="9"/>
      <c r="U275" s="10">
        <v>3350.31</v>
      </c>
      <c r="V275" s="9"/>
      <c r="W275" s="10">
        <v>707.98</v>
      </c>
      <c r="X275" s="9"/>
      <c r="Y275" s="10">
        <v>1475.72</v>
      </c>
      <c r="Z275" s="9"/>
      <c r="AA275" s="10">
        <v>857.21</v>
      </c>
      <c r="AB275" s="9"/>
      <c r="AC275" s="10">
        <v>2012.64</v>
      </c>
      <c r="AD275" s="9"/>
      <c r="AE275" s="10">
        <f t="shared" si="13"/>
        <v>13664.140000000001</v>
      </c>
      <c r="AF275" s="11"/>
    </row>
    <row r="276" spans="1:32" outlineLevel="1">
      <c r="A276" s="6">
        <v>70206</v>
      </c>
      <c r="B276" s="6" t="s">
        <v>160</v>
      </c>
      <c r="C276" s="7"/>
      <c r="D276" s="3"/>
      <c r="E276" s="8"/>
      <c r="F276" s="9"/>
      <c r="G276" s="10">
        <v>0</v>
      </c>
      <c r="H276" s="9"/>
      <c r="I276" s="10">
        <v>120</v>
      </c>
      <c r="J276" s="9"/>
      <c r="K276" s="10">
        <v>60.26</v>
      </c>
      <c r="L276" s="9"/>
      <c r="M276" s="10">
        <v>300</v>
      </c>
      <c r="N276" s="9"/>
      <c r="O276" s="10">
        <v>-293.02</v>
      </c>
      <c r="P276" s="9"/>
      <c r="Q276" s="10">
        <v>275.19</v>
      </c>
      <c r="R276" s="9"/>
      <c r="S276" s="10">
        <v>39.86</v>
      </c>
      <c r="T276" s="9"/>
      <c r="U276" s="10">
        <v>514.32000000000005</v>
      </c>
      <c r="V276" s="9"/>
      <c r="W276" s="10">
        <v>602.73</v>
      </c>
      <c r="X276" s="9"/>
      <c r="Y276" s="10">
        <v>716.26</v>
      </c>
      <c r="Z276" s="9"/>
      <c r="AA276" s="10">
        <v>800</v>
      </c>
      <c r="AB276" s="9"/>
      <c r="AC276" s="10">
        <v>0</v>
      </c>
      <c r="AD276" s="9"/>
      <c r="AE276" s="10">
        <f t="shared" si="13"/>
        <v>3135.6000000000004</v>
      </c>
      <c r="AF276" s="11"/>
    </row>
    <row r="277" spans="1:32" outlineLevel="1">
      <c r="A277" s="6">
        <v>70207</v>
      </c>
      <c r="B277" s="6" t="s">
        <v>161</v>
      </c>
      <c r="C277" s="7"/>
      <c r="D277" s="3"/>
      <c r="E277" s="8"/>
      <c r="F277" s="9"/>
      <c r="G277" s="10">
        <v>0</v>
      </c>
      <c r="H277" s="9"/>
      <c r="I277" s="10">
        <v>0</v>
      </c>
      <c r="J277" s="9"/>
      <c r="K277" s="10">
        <v>0</v>
      </c>
      <c r="L277" s="9"/>
      <c r="M277" s="10">
        <v>21.04</v>
      </c>
      <c r="N277" s="9"/>
      <c r="O277" s="10">
        <v>21.21</v>
      </c>
      <c r="P277" s="9"/>
      <c r="Q277" s="10">
        <v>0</v>
      </c>
      <c r="R277" s="9"/>
      <c r="S277" s="10">
        <v>148</v>
      </c>
      <c r="T277" s="9"/>
      <c r="U277" s="10">
        <v>30</v>
      </c>
      <c r="V277" s="9"/>
      <c r="W277" s="10">
        <v>57.85</v>
      </c>
      <c r="X277" s="9"/>
      <c r="Y277" s="10">
        <v>0</v>
      </c>
      <c r="Z277" s="9"/>
      <c r="AA277" s="10">
        <v>0</v>
      </c>
      <c r="AB277" s="9"/>
      <c r="AC277" s="10">
        <v>0</v>
      </c>
      <c r="AD277" s="9"/>
      <c r="AE277" s="10">
        <f t="shared" si="13"/>
        <v>278.10000000000002</v>
      </c>
      <c r="AF277" s="11"/>
    </row>
    <row r="278" spans="1:32" outlineLevel="1">
      <c r="A278" s="6">
        <v>70210</v>
      </c>
      <c r="B278" s="6" t="s">
        <v>119</v>
      </c>
      <c r="C278" s="7"/>
      <c r="D278" s="3"/>
      <c r="E278" s="8"/>
      <c r="F278" s="9"/>
      <c r="G278" s="10">
        <v>10019.39</v>
      </c>
      <c r="H278" s="9"/>
      <c r="I278" s="10">
        <v>8176.63</v>
      </c>
      <c r="J278" s="9"/>
      <c r="K278" s="10">
        <v>7161.86</v>
      </c>
      <c r="L278" s="9"/>
      <c r="M278" s="10">
        <v>9303.67</v>
      </c>
      <c r="N278" s="9"/>
      <c r="O278" s="10">
        <v>7300.36</v>
      </c>
      <c r="P278" s="9"/>
      <c r="Q278" s="10">
        <v>11394.96</v>
      </c>
      <c r="R278" s="9"/>
      <c r="S278" s="10">
        <v>10842.48</v>
      </c>
      <c r="T278" s="9"/>
      <c r="U278" s="10">
        <v>9300.59</v>
      </c>
      <c r="V278" s="9"/>
      <c r="W278" s="10">
        <v>12816.55</v>
      </c>
      <c r="X278" s="9"/>
      <c r="Y278" s="10">
        <v>11742.46</v>
      </c>
      <c r="Z278" s="9"/>
      <c r="AA278" s="10">
        <v>9767.41</v>
      </c>
      <c r="AB278" s="9"/>
      <c r="AC278" s="10">
        <v>10434.620000000001</v>
      </c>
      <c r="AD278" s="9"/>
      <c r="AE278" s="10">
        <f t="shared" si="13"/>
        <v>118260.97999999998</v>
      </c>
      <c r="AF278" s="11"/>
    </row>
    <row r="279" spans="1:32" outlineLevel="1">
      <c r="A279" s="6">
        <v>70214</v>
      </c>
      <c r="B279" s="6" t="s">
        <v>162</v>
      </c>
      <c r="C279" s="7"/>
      <c r="D279" s="3"/>
      <c r="E279" s="8"/>
      <c r="F279" s="9"/>
      <c r="G279" s="10">
        <v>23248.1</v>
      </c>
      <c r="H279" s="9"/>
      <c r="I279" s="10">
        <v>23638.95</v>
      </c>
      <c r="J279" s="9"/>
      <c r="K279" s="10">
        <v>23072.27</v>
      </c>
      <c r="L279" s="9"/>
      <c r="M279" s="10">
        <v>23287.82</v>
      </c>
      <c r="N279" s="9"/>
      <c r="O279" s="10">
        <v>22754.62</v>
      </c>
      <c r="P279" s="9"/>
      <c r="Q279" s="10">
        <v>23398.67</v>
      </c>
      <c r="R279" s="9"/>
      <c r="S279" s="10">
        <v>21902.12</v>
      </c>
      <c r="T279" s="9"/>
      <c r="U279" s="10">
        <v>24709.119999999999</v>
      </c>
      <c r="V279" s="9"/>
      <c r="W279" s="10">
        <v>25535.42</v>
      </c>
      <c r="X279" s="9"/>
      <c r="Y279" s="10">
        <v>26110.41</v>
      </c>
      <c r="Z279" s="9"/>
      <c r="AA279" s="10">
        <v>27802.73</v>
      </c>
      <c r="AB279" s="9"/>
      <c r="AC279" s="10">
        <v>23734.720000000001</v>
      </c>
      <c r="AD279" s="9"/>
      <c r="AE279" s="10">
        <f t="shared" si="13"/>
        <v>289194.94999999995</v>
      </c>
      <c r="AF279" s="11"/>
    </row>
    <row r="280" spans="1:32" outlineLevel="1">
      <c r="A280" s="6">
        <v>70215</v>
      </c>
      <c r="B280" s="6" t="s">
        <v>125</v>
      </c>
      <c r="C280" s="7"/>
      <c r="D280" s="3"/>
      <c r="E280" s="8"/>
      <c r="F280" s="9"/>
      <c r="G280" s="10">
        <v>0</v>
      </c>
      <c r="H280" s="9"/>
      <c r="I280" s="10">
        <v>0</v>
      </c>
      <c r="J280" s="9"/>
      <c r="K280" s="10">
        <v>0</v>
      </c>
      <c r="L280" s="9"/>
      <c r="M280" s="10">
        <v>0</v>
      </c>
      <c r="N280" s="9"/>
      <c r="O280" s="10">
        <v>0</v>
      </c>
      <c r="P280" s="9"/>
      <c r="Q280" s="10">
        <v>-0.05</v>
      </c>
      <c r="R280" s="9"/>
      <c r="S280" s="10">
        <v>0</v>
      </c>
      <c r="T280" s="9"/>
      <c r="U280" s="10">
        <v>0</v>
      </c>
      <c r="V280" s="9"/>
      <c r="W280" s="10">
        <v>0</v>
      </c>
      <c r="X280" s="9"/>
      <c r="Y280" s="10">
        <v>0</v>
      </c>
      <c r="Z280" s="9"/>
      <c r="AA280" s="10">
        <v>0</v>
      </c>
      <c r="AB280" s="9"/>
      <c r="AC280" s="10">
        <v>0</v>
      </c>
      <c r="AD280" s="9"/>
      <c r="AE280" s="10">
        <f t="shared" si="13"/>
        <v>-0.05</v>
      </c>
      <c r="AF280" s="11"/>
    </row>
    <row r="281" spans="1:32" outlineLevel="1">
      <c r="A281" s="6">
        <v>70225</v>
      </c>
      <c r="B281" s="6" t="s">
        <v>97</v>
      </c>
      <c r="C281" s="7"/>
      <c r="D281" s="3"/>
      <c r="E281" s="8"/>
      <c r="F281" s="9"/>
      <c r="G281" s="10">
        <v>0</v>
      </c>
      <c r="H281" s="9"/>
      <c r="I281" s="10">
        <v>1400.56</v>
      </c>
      <c r="J281" s="9"/>
      <c r="K281" s="10">
        <v>7732.72</v>
      </c>
      <c r="L281" s="9"/>
      <c r="M281" s="10">
        <v>8238.4</v>
      </c>
      <c r="N281" s="9"/>
      <c r="O281" s="10">
        <v>108.4</v>
      </c>
      <c r="P281" s="9"/>
      <c r="Q281" s="10">
        <v>0</v>
      </c>
      <c r="R281" s="9"/>
      <c r="S281" s="10">
        <v>431.43</v>
      </c>
      <c r="T281" s="9"/>
      <c r="U281" s="10">
        <v>3920.56</v>
      </c>
      <c r="V281" s="9"/>
      <c r="W281" s="10">
        <v>766.69</v>
      </c>
      <c r="X281" s="9"/>
      <c r="Y281" s="10">
        <v>1355</v>
      </c>
      <c r="Z281" s="9"/>
      <c r="AA281" s="10">
        <v>893.65</v>
      </c>
      <c r="AB281" s="9"/>
      <c r="AC281" s="10">
        <v>1420.04</v>
      </c>
      <c r="AD281" s="9"/>
      <c r="AE281" s="10">
        <f t="shared" si="13"/>
        <v>26267.45</v>
      </c>
      <c r="AF281" s="11"/>
    </row>
    <row r="282" spans="1:32" outlineLevel="1">
      <c r="A282" s="6">
        <v>70231</v>
      </c>
      <c r="B282" s="6" t="s">
        <v>164</v>
      </c>
      <c r="C282" s="7"/>
      <c r="D282" s="3"/>
      <c r="E282" s="8"/>
      <c r="F282" s="9"/>
      <c r="G282" s="10">
        <v>0</v>
      </c>
      <c r="H282" s="9"/>
      <c r="I282" s="10">
        <v>0</v>
      </c>
      <c r="J282" s="9"/>
      <c r="K282" s="10">
        <v>0</v>
      </c>
      <c r="L282" s="9"/>
      <c r="M282" s="10">
        <v>0</v>
      </c>
      <c r="N282" s="9"/>
      <c r="O282" s="10">
        <v>35</v>
      </c>
      <c r="P282" s="9"/>
      <c r="Q282" s="10">
        <v>0</v>
      </c>
      <c r="R282" s="9"/>
      <c r="S282" s="10">
        <v>35</v>
      </c>
      <c r="T282" s="9"/>
      <c r="U282" s="10">
        <v>0</v>
      </c>
      <c r="V282" s="9"/>
      <c r="W282" s="10">
        <v>0</v>
      </c>
      <c r="X282" s="9"/>
      <c r="Y282" s="10">
        <v>0</v>
      </c>
      <c r="Z282" s="9"/>
      <c r="AA282" s="10">
        <v>0</v>
      </c>
      <c r="AB282" s="9"/>
      <c r="AC282" s="10">
        <v>35</v>
      </c>
      <c r="AD282" s="9"/>
      <c r="AE282" s="10">
        <f t="shared" si="13"/>
        <v>105</v>
      </c>
      <c r="AF282" s="11"/>
    </row>
    <row r="283" spans="1:32" outlineLevel="1">
      <c r="A283" s="6">
        <v>70235</v>
      </c>
      <c r="B283" s="6" t="s">
        <v>133</v>
      </c>
      <c r="C283" s="7"/>
      <c r="D283" s="3"/>
      <c r="E283" s="8"/>
      <c r="F283" s="9"/>
      <c r="G283" s="10">
        <v>-3176.82</v>
      </c>
      <c r="H283" s="9"/>
      <c r="I283" s="10">
        <v>722.5</v>
      </c>
      <c r="J283" s="9"/>
      <c r="K283" s="10">
        <v>158</v>
      </c>
      <c r="L283" s="9"/>
      <c r="M283" s="10">
        <v>0</v>
      </c>
      <c r="N283" s="9"/>
      <c r="O283" s="10">
        <v>0</v>
      </c>
      <c r="P283" s="9"/>
      <c r="Q283" s="10">
        <v>90</v>
      </c>
      <c r="R283" s="9"/>
      <c r="S283" s="10">
        <v>-90</v>
      </c>
      <c r="T283" s="9"/>
      <c r="U283" s="10">
        <v>0</v>
      </c>
      <c r="V283" s="9"/>
      <c r="W283" s="10">
        <v>1144.8</v>
      </c>
      <c r="X283" s="9"/>
      <c r="Y283" s="10">
        <v>-866.5</v>
      </c>
      <c r="Z283" s="9"/>
      <c r="AA283" s="10">
        <v>801</v>
      </c>
      <c r="AB283" s="9"/>
      <c r="AC283" s="10">
        <v>144</v>
      </c>
      <c r="AD283" s="9"/>
      <c r="AE283" s="10">
        <f t="shared" si="13"/>
        <v>-1073.02</v>
      </c>
      <c r="AF283" s="11"/>
    </row>
    <row r="284" spans="1:32" outlineLevel="1">
      <c r="A284" s="6">
        <v>70245</v>
      </c>
      <c r="B284" s="6" t="s">
        <v>308</v>
      </c>
      <c r="C284" s="7"/>
      <c r="D284" s="3"/>
      <c r="E284" s="8"/>
      <c r="F284" s="9"/>
      <c r="G284" s="10">
        <v>725.77</v>
      </c>
      <c r="H284" s="9"/>
      <c r="I284" s="10">
        <v>826.81</v>
      </c>
      <c r="J284" s="9"/>
      <c r="K284" s="10">
        <v>773.98</v>
      </c>
      <c r="L284" s="9"/>
      <c r="M284" s="10">
        <v>773.98</v>
      </c>
      <c r="N284" s="9"/>
      <c r="O284" s="10">
        <v>773.98</v>
      </c>
      <c r="P284" s="9"/>
      <c r="Q284" s="10">
        <v>773.98</v>
      </c>
      <c r="R284" s="9"/>
      <c r="S284" s="10">
        <v>0</v>
      </c>
      <c r="T284" s="9"/>
      <c r="U284" s="10">
        <v>0</v>
      </c>
      <c r="V284" s="9"/>
      <c r="W284" s="10">
        <v>0</v>
      </c>
      <c r="X284" s="9"/>
      <c r="Y284" s="10">
        <v>0</v>
      </c>
      <c r="Z284" s="9"/>
      <c r="AA284" s="10">
        <v>0</v>
      </c>
      <c r="AB284" s="9"/>
      <c r="AC284" s="10">
        <v>0</v>
      </c>
      <c r="AD284" s="9"/>
      <c r="AE284" s="10">
        <f t="shared" si="13"/>
        <v>4648.5</v>
      </c>
      <c r="AF284" s="11"/>
    </row>
    <row r="285" spans="1:32" outlineLevel="1">
      <c r="A285" s="6">
        <v>70255</v>
      </c>
      <c r="B285" s="6" t="s">
        <v>86</v>
      </c>
      <c r="C285" s="7"/>
      <c r="D285" s="3"/>
      <c r="E285" s="8"/>
      <c r="F285" s="9"/>
      <c r="G285" s="10">
        <v>1701.25</v>
      </c>
      <c r="H285" s="9"/>
      <c r="I285" s="10">
        <v>1368.32</v>
      </c>
      <c r="J285" s="9"/>
      <c r="K285" s="10">
        <v>1510.27</v>
      </c>
      <c r="L285" s="9"/>
      <c r="M285" s="10">
        <v>1725.14</v>
      </c>
      <c r="N285" s="9"/>
      <c r="O285" s="10">
        <v>1980.2</v>
      </c>
      <c r="P285" s="9"/>
      <c r="Q285" s="10">
        <v>4340.34</v>
      </c>
      <c r="R285" s="9"/>
      <c r="S285" s="10">
        <v>2759.66</v>
      </c>
      <c r="T285" s="9"/>
      <c r="U285" s="10">
        <v>2679.91</v>
      </c>
      <c r="V285" s="9"/>
      <c r="W285" s="10">
        <v>1937.41</v>
      </c>
      <c r="X285" s="9"/>
      <c r="Y285" s="10">
        <v>1788.62</v>
      </c>
      <c r="Z285" s="9"/>
      <c r="AA285" s="10">
        <v>2044.7</v>
      </c>
      <c r="AB285" s="9"/>
      <c r="AC285" s="10">
        <v>1615.4</v>
      </c>
      <c r="AD285" s="9"/>
      <c r="AE285" s="10">
        <f t="shared" si="13"/>
        <v>25451.22</v>
      </c>
      <c r="AF285" s="11"/>
    </row>
    <row r="286" spans="1:32" outlineLevel="1">
      <c r="A286" s="6">
        <v>70275</v>
      </c>
      <c r="B286" s="6" t="s">
        <v>309</v>
      </c>
      <c r="C286" s="7"/>
      <c r="D286" s="3"/>
      <c r="E286" s="8"/>
      <c r="F286" s="9"/>
      <c r="G286" s="10">
        <v>7896.03</v>
      </c>
      <c r="H286" s="9"/>
      <c r="I286" s="10">
        <v>7896.05</v>
      </c>
      <c r="J286" s="9"/>
      <c r="K286" s="10">
        <v>7896.06</v>
      </c>
      <c r="L286" s="9"/>
      <c r="M286" s="10">
        <v>8132.92</v>
      </c>
      <c r="N286" s="9"/>
      <c r="O286" s="10">
        <v>8132.92</v>
      </c>
      <c r="P286" s="9"/>
      <c r="Q286" s="10">
        <v>8132.92</v>
      </c>
      <c r="R286" s="9"/>
      <c r="S286" s="10">
        <v>7691.6</v>
      </c>
      <c r="T286" s="9"/>
      <c r="U286" s="10">
        <v>8022.59</v>
      </c>
      <c r="V286" s="9"/>
      <c r="W286" s="10">
        <v>8022.58</v>
      </c>
      <c r="X286" s="9"/>
      <c r="Y286" s="10">
        <v>8022.61</v>
      </c>
      <c r="Z286" s="9"/>
      <c r="AA286" s="10">
        <v>8022.59</v>
      </c>
      <c r="AB286" s="9"/>
      <c r="AC286" s="10">
        <v>8022.59</v>
      </c>
      <c r="AD286" s="9"/>
      <c r="AE286" s="10">
        <f t="shared" si="13"/>
        <v>95891.46</v>
      </c>
      <c r="AF286" s="11"/>
    </row>
    <row r="287" spans="1:32" outlineLevel="1">
      <c r="A287" s="6">
        <v>70300</v>
      </c>
      <c r="B287" s="6" t="s">
        <v>127</v>
      </c>
      <c r="C287" s="7"/>
      <c r="D287" s="3"/>
      <c r="E287" s="8"/>
      <c r="F287" s="9"/>
      <c r="G287" s="10">
        <v>27834.38</v>
      </c>
      <c r="H287" s="9"/>
      <c r="I287" s="10">
        <v>27834.38</v>
      </c>
      <c r="J287" s="9"/>
      <c r="K287" s="10">
        <v>27834.38</v>
      </c>
      <c r="L287" s="9"/>
      <c r="M287" s="10">
        <v>29301.81</v>
      </c>
      <c r="N287" s="9"/>
      <c r="O287" s="10">
        <v>29301.81</v>
      </c>
      <c r="P287" s="9"/>
      <c r="Q287" s="10">
        <v>29301.81</v>
      </c>
      <c r="R287" s="9"/>
      <c r="S287" s="10">
        <v>29301.81</v>
      </c>
      <c r="T287" s="9"/>
      <c r="U287" s="10">
        <v>29301.81</v>
      </c>
      <c r="V287" s="9"/>
      <c r="W287" s="10">
        <v>29301.81</v>
      </c>
      <c r="X287" s="9"/>
      <c r="Y287" s="10">
        <v>29301.81</v>
      </c>
      <c r="Z287" s="9"/>
      <c r="AA287" s="10">
        <v>29301.81</v>
      </c>
      <c r="AB287" s="9"/>
      <c r="AC287" s="10">
        <v>29301.759999999998</v>
      </c>
      <c r="AD287" s="9"/>
      <c r="AE287" s="10">
        <f t="shared" si="13"/>
        <v>347219.38</v>
      </c>
      <c r="AF287" s="11"/>
    </row>
    <row r="288" spans="1:32" outlineLevel="1">
      <c r="A288" s="6">
        <v>70302</v>
      </c>
      <c r="B288" s="6" t="s">
        <v>129</v>
      </c>
      <c r="C288" s="7"/>
      <c r="D288" s="3"/>
      <c r="E288" s="8"/>
      <c r="F288" s="9"/>
      <c r="G288" s="10">
        <v>231.82</v>
      </c>
      <c r="H288" s="9"/>
      <c r="I288" s="10">
        <v>1139.98</v>
      </c>
      <c r="J288" s="9"/>
      <c r="K288" s="10">
        <v>729.41</v>
      </c>
      <c r="L288" s="9"/>
      <c r="M288" s="10">
        <v>446.33</v>
      </c>
      <c r="N288" s="9"/>
      <c r="O288" s="10">
        <v>0</v>
      </c>
      <c r="P288" s="9"/>
      <c r="Q288" s="10">
        <v>528.78</v>
      </c>
      <c r="R288" s="9"/>
      <c r="S288" s="10">
        <v>718.66</v>
      </c>
      <c r="T288" s="9"/>
      <c r="U288" s="10">
        <v>705.23</v>
      </c>
      <c r="V288" s="9"/>
      <c r="W288" s="10">
        <v>0</v>
      </c>
      <c r="X288" s="9"/>
      <c r="Y288" s="10">
        <v>132.72</v>
      </c>
      <c r="Z288" s="9"/>
      <c r="AA288" s="10">
        <v>456.1</v>
      </c>
      <c r="AB288" s="9"/>
      <c r="AC288" s="10">
        <v>409.54</v>
      </c>
      <c r="AD288" s="9"/>
      <c r="AE288" s="10">
        <f t="shared" si="13"/>
        <v>5498.57</v>
      </c>
      <c r="AF288" s="11"/>
    </row>
    <row r="289" spans="1:32" outlineLevel="1">
      <c r="A289" s="6">
        <v>70310</v>
      </c>
      <c r="B289" s="6" t="s">
        <v>141</v>
      </c>
      <c r="C289" s="7"/>
      <c r="D289" s="3"/>
      <c r="E289" s="8"/>
      <c r="F289" s="9"/>
      <c r="G289" s="10">
        <v>10326.469999999999</v>
      </c>
      <c r="H289" s="9"/>
      <c r="I289" s="10">
        <v>13166.94</v>
      </c>
      <c r="J289" s="9"/>
      <c r="K289" s="10">
        <v>13844.33</v>
      </c>
      <c r="L289" s="9"/>
      <c r="M289" s="10">
        <v>4387.17</v>
      </c>
      <c r="N289" s="9"/>
      <c r="O289" s="10">
        <v>9218.3799999999992</v>
      </c>
      <c r="P289" s="9"/>
      <c r="Q289" s="10">
        <v>-10276.16</v>
      </c>
      <c r="R289" s="9"/>
      <c r="S289" s="10">
        <v>-5192.46</v>
      </c>
      <c r="T289" s="9"/>
      <c r="U289" s="10">
        <v>3576.39</v>
      </c>
      <c r="V289" s="9"/>
      <c r="W289" s="10">
        <v>18071.91</v>
      </c>
      <c r="X289" s="9"/>
      <c r="Y289" s="10">
        <v>13941.8</v>
      </c>
      <c r="Z289" s="9"/>
      <c r="AA289" s="10">
        <v>11135.67</v>
      </c>
      <c r="AB289" s="9"/>
      <c r="AC289" s="10">
        <v>2937.26</v>
      </c>
      <c r="AD289" s="9"/>
      <c r="AE289" s="10">
        <f t="shared" si="13"/>
        <v>85137.7</v>
      </c>
      <c r="AF289" s="11"/>
    </row>
    <row r="290" spans="1:32" outlineLevel="1">
      <c r="A290" s="6">
        <v>70320</v>
      </c>
      <c r="B290" s="6" t="s">
        <v>130</v>
      </c>
      <c r="C290" s="7"/>
      <c r="D290" s="3"/>
      <c r="E290" s="8"/>
      <c r="F290" s="9"/>
      <c r="G290" s="10">
        <v>4204.29</v>
      </c>
      <c r="H290" s="9"/>
      <c r="I290" s="10">
        <v>5638.94</v>
      </c>
      <c r="J290" s="9"/>
      <c r="K290" s="10">
        <v>3456.74</v>
      </c>
      <c r="L290" s="9"/>
      <c r="M290" s="10">
        <v>6290.3</v>
      </c>
      <c r="N290" s="9"/>
      <c r="O290" s="10">
        <v>4388.51</v>
      </c>
      <c r="P290" s="9"/>
      <c r="Q290" s="10">
        <v>4494.5200000000004</v>
      </c>
      <c r="R290" s="9"/>
      <c r="S290" s="10">
        <v>2881.88</v>
      </c>
      <c r="T290" s="9"/>
      <c r="U290" s="10">
        <v>5276.59</v>
      </c>
      <c r="V290" s="9"/>
      <c r="W290" s="10">
        <v>3300.88</v>
      </c>
      <c r="X290" s="9"/>
      <c r="Y290" s="10">
        <v>5748.98</v>
      </c>
      <c r="Z290" s="9"/>
      <c r="AA290" s="10">
        <v>3665.19</v>
      </c>
      <c r="AB290" s="9"/>
      <c r="AC290" s="10">
        <v>5288.63</v>
      </c>
      <c r="AD290" s="9"/>
      <c r="AE290" s="10">
        <f t="shared" si="13"/>
        <v>54635.450000000004</v>
      </c>
      <c r="AF290" s="11"/>
    </row>
    <row r="291" spans="1:32" outlineLevel="1">
      <c r="A291" s="6">
        <v>70345</v>
      </c>
      <c r="B291" s="6" t="s">
        <v>121</v>
      </c>
      <c r="C291" s="7"/>
      <c r="D291" s="3"/>
      <c r="E291" s="8"/>
      <c r="F291" s="9"/>
      <c r="G291" s="10">
        <v>0</v>
      </c>
      <c r="H291" s="9"/>
      <c r="I291" s="10">
        <v>374.63</v>
      </c>
      <c r="J291" s="9"/>
      <c r="K291" s="10">
        <v>150</v>
      </c>
      <c r="L291" s="9"/>
      <c r="M291" s="10">
        <v>56.45</v>
      </c>
      <c r="N291" s="9"/>
      <c r="O291" s="10">
        <v>262.5</v>
      </c>
      <c r="P291" s="9"/>
      <c r="Q291" s="10">
        <v>0</v>
      </c>
      <c r="R291" s="9"/>
      <c r="S291" s="10">
        <v>0</v>
      </c>
      <c r="T291" s="9"/>
      <c r="U291" s="10">
        <v>262.5</v>
      </c>
      <c r="V291" s="9"/>
      <c r="W291" s="10">
        <v>0</v>
      </c>
      <c r="X291" s="9"/>
      <c r="Y291" s="10">
        <v>0</v>
      </c>
      <c r="Z291" s="9"/>
      <c r="AA291" s="10">
        <v>262.5</v>
      </c>
      <c r="AB291" s="9"/>
      <c r="AC291" s="10">
        <v>0</v>
      </c>
      <c r="AD291" s="9"/>
      <c r="AE291" s="10">
        <f t="shared" si="13"/>
        <v>1368.58</v>
      </c>
      <c r="AF291" s="11"/>
    </row>
    <row r="292" spans="1:32" s="8" customFormat="1" ht="5.0999999999999996" customHeight="1" outlineLevel="1">
      <c r="A292" s="7"/>
      <c r="B292" s="7"/>
      <c r="C292" s="7"/>
      <c r="D292" s="7"/>
      <c r="G292" s="38"/>
      <c r="H292" s="36"/>
      <c r="I292" s="38"/>
      <c r="J292" s="36"/>
      <c r="K292" s="38"/>
      <c r="L292" s="36"/>
      <c r="M292" s="38"/>
      <c r="N292" s="36"/>
      <c r="O292" s="38"/>
      <c r="P292" s="36"/>
      <c r="Q292" s="38"/>
      <c r="R292" s="36"/>
      <c r="S292" s="38"/>
      <c r="T292" s="36"/>
      <c r="U292" s="38"/>
      <c r="V292" s="36"/>
      <c r="W292" s="38"/>
      <c r="X292" s="36"/>
      <c r="Y292" s="38"/>
      <c r="Z292" s="36"/>
      <c r="AA292" s="38"/>
      <c r="AB292" s="36"/>
      <c r="AC292" s="38"/>
      <c r="AD292" s="36"/>
      <c r="AE292" s="38"/>
      <c r="AF292" s="16"/>
    </row>
    <row r="293" spans="1:32" s="8" customFormat="1" ht="15">
      <c r="C293" s="7" t="s">
        <v>310</v>
      </c>
      <c r="G293" s="35">
        <f>SUM(G246:G292)</f>
        <v>450888.12</v>
      </c>
      <c r="H293" s="36"/>
      <c r="I293" s="35">
        <f>SUM(I246:I292)</f>
        <v>462112.97000000003</v>
      </c>
      <c r="J293" s="36"/>
      <c r="K293" s="35">
        <f>SUM(K246:K292)</f>
        <v>480660.81999999995</v>
      </c>
      <c r="L293" s="36"/>
      <c r="M293" s="35">
        <f>SUM(M246:M292)</f>
        <v>509307.06999999995</v>
      </c>
      <c r="N293" s="36"/>
      <c r="O293" s="35">
        <f>SUM(O246:O292)</f>
        <v>470955.13999999996</v>
      </c>
      <c r="P293" s="36"/>
      <c r="Q293" s="35">
        <f>SUM(Q246:Q292)</f>
        <v>492644.24000000005</v>
      </c>
      <c r="R293" s="36"/>
      <c r="S293" s="35">
        <f>SUM(S246:S292)</f>
        <v>430399.04999999993</v>
      </c>
      <c r="T293" s="36"/>
      <c r="U293" s="35">
        <f>SUM(U246:U292)</f>
        <v>526490.43000000005</v>
      </c>
      <c r="V293" s="36"/>
      <c r="W293" s="35">
        <f>SUM(W246:W292)</f>
        <v>490924.57999999984</v>
      </c>
      <c r="X293" s="36"/>
      <c r="Y293" s="35">
        <f>SUM(Y246:Y292)</f>
        <v>547298.61999999988</v>
      </c>
      <c r="Z293" s="36"/>
      <c r="AA293" s="35">
        <f>SUM(AA246:AA292)</f>
        <v>504293.96000000008</v>
      </c>
      <c r="AB293" s="36"/>
      <c r="AC293" s="35">
        <f>SUM(AC246:AC292)</f>
        <v>504938.74999999994</v>
      </c>
      <c r="AD293" s="36"/>
      <c r="AE293" s="35">
        <f>SUM(AE246:AE292)</f>
        <v>5870913.7499999981</v>
      </c>
      <c r="AF293" s="16"/>
    </row>
    <row r="294" spans="1:32" s="8" customFormat="1" ht="15" outlineLevel="1">
      <c r="G294" s="37"/>
      <c r="H294" s="36"/>
      <c r="I294" s="37"/>
      <c r="J294" s="36"/>
      <c r="K294" s="37"/>
      <c r="L294" s="36"/>
      <c r="M294" s="37"/>
      <c r="N294" s="36"/>
      <c r="O294" s="37"/>
      <c r="P294" s="36"/>
      <c r="Q294" s="37"/>
      <c r="R294" s="36"/>
      <c r="S294" s="37"/>
      <c r="T294" s="36"/>
      <c r="U294" s="37"/>
      <c r="V294" s="36"/>
      <c r="W294" s="37"/>
      <c r="X294" s="36"/>
      <c r="Y294" s="37"/>
      <c r="Z294" s="36"/>
      <c r="AA294" s="37"/>
      <c r="AB294" s="36"/>
      <c r="AC294" s="37"/>
      <c r="AD294" s="36"/>
      <c r="AE294" s="37"/>
      <c r="AF294" s="16"/>
    </row>
    <row r="295" spans="1:32" outlineLevel="1">
      <c r="A295" s="6">
        <v>70149</v>
      </c>
      <c r="B295" s="6" t="s">
        <v>311</v>
      </c>
      <c r="C295" s="7"/>
      <c r="D295" s="3"/>
      <c r="E295" s="8"/>
      <c r="F295" s="9"/>
      <c r="G295" s="10">
        <v>100077.66</v>
      </c>
      <c r="H295" s="9"/>
      <c r="I295" s="10">
        <v>100012.82</v>
      </c>
      <c r="J295" s="9"/>
      <c r="K295" s="10">
        <v>96930.54</v>
      </c>
      <c r="L295" s="9"/>
      <c r="M295" s="10">
        <v>83961.29</v>
      </c>
      <c r="N295" s="9"/>
      <c r="O295" s="10">
        <v>82552.33</v>
      </c>
      <c r="P295" s="9"/>
      <c r="Q295" s="10">
        <v>89374.53</v>
      </c>
      <c r="R295" s="9"/>
      <c r="S295" s="10">
        <v>87970.82</v>
      </c>
      <c r="T295" s="9"/>
      <c r="U295" s="10">
        <v>93460.42</v>
      </c>
      <c r="V295" s="9"/>
      <c r="W295" s="10">
        <v>95383</v>
      </c>
      <c r="X295" s="9"/>
      <c r="Y295" s="10">
        <v>109223.95</v>
      </c>
      <c r="Z295" s="9"/>
      <c r="AA295" s="10">
        <v>110521.51</v>
      </c>
      <c r="AB295" s="9"/>
      <c r="AC295" s="10">
        <v>108767.86</v>
      </c>
      <c r="AD295" s="9"/>
      <c r="AE295" s="10">
        <f>AC295+AA295+Y295+W295+U295+S295+Q295+O295+M295+K295+I295+G295</f>
        <v>1158236.73</v>
      </c>
      <c r="AF295" s="11"/>
    </row>
    <row r="296" spans="1:32" s="8" customFormat="1" ht="5.0999999999999996" customHeight="1" outlineLevel="1">
      <c r="A296" s="7"/>
      <c r="B296" s="7"/>
      <c r="C296" s="7"/>
      <c r="D296" s="7"/>
      <c r="G296" s="38"/>
      <c r="H296" s="36"/>
      <c r="I296" s="38"/>
      <c r="J296" s="36"/>
      <c r="K296" s="38"/>
      <c r="L296" s="36"/>
      <c r="M296" s="38"/>
      <c r="N296" s="36"/>
      <c r="O296" s="38"/>
      <c r="P296" s="36"/>
      <c r="Q296" s="38"/>
      <c r="R296" s="36"/>
      <c r="S296" s="38"/>
      <c r="T296" s="36"/>
      <c r="U296" s="38"/>
      <c r="V296" s="36"/>
      <c r="W296" s="38"/>
      <c r="X296" s="36"/>
      <c r="Y296" s="38"/>
      <c r="Z296" s="36"/>
      <c r="AA296" s="38"/>
      <c r="AB296" s="36"/>
      <c r="AC296" s="38"/>
      <c r="AD296" s="36"/>
      <c r="AE296" s="38"/>
      <c r="AF296" s="16"/>
    </row>
    <row r="297" spans="1:32" s="8" customFormat="1" ht="15">
      <c r="C297" s="6" t="s">
        <v>312</v>
      </c>
      <c r="G297" s="35">
        <f>SUM(G294:G296)</f>
        <v>100077.66</v>
      </c>
      <c r="H297" s="36"/>
      <c r="I297" s="35">
        <f>SUM(I294:I296)</f>
        <v>100012.82</v>
      </c>
      <c r="J297" s="36"/>
      <c r="K297" s="35">
        <f>SUM(K294:K296)</f>
        <v>96930.54</v>
      </c>
      <c r="L297" s="36"/>
      <c r="M297" s="35">
        <f>SUM(M294:M296)</f>
        <v>83961.29</v>
      </c>
      <c r="N297" s="36"/>
      <c r="O297" s="35">
        <f>SUM(O294:O296)</f>
        <v>82552.33</v>
      </c>
      <c r="P297" s="36"/>
      <c r="Q297" s="35">
        <f>SUM(Q294:Q296)</f>
        <v>89374.53</v>
      </c>
      <c r="R297" s="36"/>
      <c r="S297" s="35">
        <f>SUM(S294:S296)</f>
        <v>87970.82</v>
      </c>
      <c r="T297" s="36"/>
      <c r="U297" s="35">
        <f>SUM(U294:U296)</f>
        <v>93460.42</v>
      </c>
      <c r="V297" s="36"/>
      <c r="W297" s="35">
        <f>SUM(W294:W296)</f>
        <v>95383</v>
      </c>
      <c r="X297" s="36"/>
      <c r="Y297" s="35">
        <f>SUM(Y294:Y296)</f>
        <v>109223.95</v>
      </c>
      <c r="Z297" s="36"/>
      <c r="AA297" s="35">
        <f>SUM(AA294:AA296)</f>
        <v>110521.51</v>
      </c>
      <c r="AB297" s="36"/>
      <c r="AC297" s="35">
        <f>SUM(AC294:AC296)</f>
        <v>108767.86</v>
      </c>
      <c r="AD297" s="36"/>
      <c r="AE297" s="35">
        <f>SUM(AE294:AE296)</f>
        <v>1158236.73</v>
      </c>
      <c r="AF297" s="16"/>
    </row>
    <row r="298" spans="1:32" s="8" customFormat="1" ht="7.5" customHeight="1">
      <c r="G298" s="37"/>
      <c r="H298" s="36"/>
      <c r="I298" s="37"/>
      <c r="J298" s="36"/>
      <c r="K298" s="37"/>
      <c r="L298" s="36"/>
      <c r="M298" s="37"/>
      <c r="N298" s="36"/>
      <c r="O298" s="37"/>
      <c r="P298" s="36"/>
      <c r="Q298" s="37"/>
      <c r="R298" s="36"/>
      <c r="S298" s="37"/>
      <c r="T298" s="36"/>
      <c r="U298" s="37"/>
      <c r="V298" s="36"/>
      <c r="W298" s="37"/>
      <c r="X298" s="36"/>
      <c r="Y298" s="37"/>
      <c r="Z298" s="36"/>
      <c r="AA298" s="37"/>
      <c r="AB298" s="36"/>
      <c r="AC298" s="37"/>
      <c r="AD298" s="36"/>
      <c r="AE298" s="37"/>
      <c r="AF298" s="16"/>
    </row>
    <row r="299" spans="1:32" s="8" customFormat="1" ht="15">
      <c r="B299" s="40" t="s">
        <v>313</v>
      </c>
      <c r="G299" s="41">
        <f>+G244+G293+G297</f>
        <v>603103.44999999995</v>
      </c>
      <c r="H299" s="36"/>
      <c r="I299" s="41">
        <f>+I244+I293+I297</f>
        <v>565130.09000000008</v>
      </c>
      <c r="J299" s="36"/>
      <c r="K299" s="41">
        <f>+K244+K293+K297</f>
        <v>610043.62</v>
      </c>
      <c r="L299" s="36"/>
      <c r="M299" s="41">
        <f>+M244+M293+M297</f>
        <v>603466.05999999994</v>
      </c>
      <c r="N299" s="36"/>
      <c r="O299" s="41">
        <f>+O244+O293+O297</f>
        <v>566845.90999999992</v>
      </c>
      <c r="P299" s="36"/>
      <c r="Q299" s="41">
        <f>+Q244+Q293+Q297</f>
        <v>594616.96000000008</v>
      </c>
      <c r="R299" s="36"/>
      <c r="S299" s="41">
        <f>+S244+S293+S297</f>
        <v>533504.73</v>
      </c>
      <c r="T299" s="36"/>
      <c r="U299" s="41">
        <f>+U244+U293+U297</f>
        <v>633698.92000000004</v>
      </c>
      <c r="V299" s="36"/>
      <c r="W299" s="41">
        <f>+W244+W293+W297</f>
        <v>596272.23999999976</v>
      </c>
      <c r="X299" s="36"/>
      <c r="Y299" s="41">
        <f>+Y244+Y293+Y297</f>
        <v>680887.7899999998</v>
      </c>
      <c r="Z299" s="36"/>
      <c r="AA299" s="41">
        <f>+AA244+AA293+AA297</f>
        <v>634655.87000000011</v>
      </c>
      <c r="AB299" s="36"/>
      <c r="AC299" s="41">
        <f>+AC244+AC293+AC297</f>
        <v>624905.17999999993</v>
      </c>
      <c r="AD299" s="36"/>
      <c r="AE299" s="41">
        <f>+AE244+AE293+AE297</f>
        <v>7247130.8199999984</v>
      </c>
      <c r="AF299" s="16"/>
    </row>
    <row r="300" spans="1:32" s="8" customFormat="1" ht="7.5" customHeight="1">
      <c r="G300" s="37"/>
      <c r="H300" s="36"/>
      <c r="I300" s="37"/>
      <c r="J300" s="36"/>
      <c r="K300" s="37"/>
      <c r="L300" s="36"/>
      <c r="M300" s="37"/>
      <c r="N300" s="36"/>
      <c r="O300" s="37"/>
      <c r="P300" s="36"/>
      <c r="Q300" s="37"/>
      <c r="R300" s="36"/>
      <c r="S300" s="37"/>
      <c r="T300" s="36"/>
      <c r="U300" s="37"/>
      <c r="V300" s="36"/>
      <c r="W300" s="37"/>
      <c r="X300" s="36"/>
      <c r="Y300" s="37"/>
      <c r="Z300" s="36"/>
      <c r="AA300" s="37"/>
      <c r="AB300" s="36"/>
      <c r="AC300" s="37"/>
      <c r="AD300" s="36"/>
      <c r="AE300" s="37"/>
      <c r="AF300" s="16"/>
    </row>
    <row r="301" spans="1:32" s="8" customFormat="1" ht="7.5" customHeight="1">
      <c r="A301" s="47"/>
      <c r="B301" s="47"/>
      <c r="C301" s="47"/>
      <c r="D301" s="47"/>
      <c r="E301" s="47"/>
      <c r="F301" s="47"/>
      <c r="G301" s="45"/>
      <c r="H301" s="36"/>
      <c r="I301" s="45"/>
      <c r="J301" s="36"/>
      <c r="K301" s="45"/>
      <c r="L301" s="36"/>
      <c r="M301" s="45"/>
      <c r="N301" s="36"/>
      <c r="O301" s="45"/>
      <c r="P301" s="36"/>
      <c r="Q301" s="45"/>
      <c r="R301" s="36"/>
      <c r="S301" s="45"/>
      <c r="T301" s="36"/>
      <c r="U301" s="45"/>
      <c r="V301" s="36"/>
      <c r="W301" s="45"/>
      <c r="X301" s="36"/>
      <c r="Y301" s="45"/>
      <c r="Z301" s="36"/>
      <c r="AA301" s="45"/>
      <c r="AB301" s="36"/>
      <c r="AC301" s="45"/>
      <c r="AD301" s="36"/>
      <c r="AE301" s="45"/>
      <c r="AF301" s="16"/>
    </row>
    <row r="302" spans="1:32" s="8" customFormat="1" ht="15">
      <c r="B302" s="48" t="s">
        <v>314</v>
      </c>
      <c r="C302" s="49"/>
      <c r="D302" s="49"/>
      <c r="E302" s="49"/>
      <c r="F302" s="49"/>
      <c r="G302" s="50">
        <f>+G227-G299</f>
        <v>1217737.02</v>
      </c>
      <c r="H302" s="51"/>
      <c r="I302" s="50">
        <f>+I227-I299</f>
        <v>1022757.6599999999</v>
      </c>
      <c r="J302" s="52"/>
      <c r="K302" s="50">
        <f>+K227-K299</f>
        <v>1178318.9100000001</v>
      </c>
      <c r="L302" s="52"/>
      <c r="M302" s="50">
        <f>+M227-M299</f>
        <v>717762.49000000057</v>
      </c>
      <c r="N302" s="51"/>
      <c r="O302" s="50">
        <f>+O227-O299</f>
        <v>1236555.3500000001</v>
      </c>
      <c r="P302" s="52"/>
      <c r="Q302" s="50">
        <f>+Q227-Q299</f>
        <v>1555744.2400000002</v>
      </c>
      <c r="R302" s="52"/>
      <c r="S302" s="50">
        <f>+S227-S299</f>
        <v>1253788.31</v>
      </c>
      <c r="T302" s="51"/>
      <c r="U302" s="50">
        <f>+U227-U299</f>
        <v>929136.83</v>
      </c>
      <c r="V302" s="52"/>
      <c r="W302" s="50">
        <f>+W227-W299</f>
        <v>1094729.1300000004</v>
      </c>
      <c r="X302" s="52"/>
      <c r="Y302" s="50">
        <f>+Y227-Y299</f>
        <v>1103400.2899999998</v>
      </c>
      <c r="Z302" s="51"/>
      <c r="AA302" s="50">
        <f>+AA227-AA299</f>
        <v>1061366.71</v>
      </c>
      <c r="AB302" s="52"/>
      <c r="AC302" s="50">
        <f>+AC227-AC299</f>
        <v>1164942.9800000007</v>
      </c>
      <c r="AD302" s="52"/>
      <c r="AE302" s="50">
        <f>+AE227-AE299</f>
        <v>13536239.920000015</v>
      </c>
      <c r="AF302" s="53"/>
    </row>
    <row r="303" spans="1:32" s="8" customFormat="1" ht="6.75" customHeight="1">
      <c r="A303" s="54"/>
      <c r="B303" s="54"/>
      <c r="C303" s="54"/>
      <c r="D303" s="54"/>
      <c r="E303" s="54"/>
      <c r="F303" s="54"/>
      <c r="G303" s="55"/>
      <c r="H303" s="54"/>
      <c r="I303" s="55"/>
      <c r="J303" s="54"/>
      <c r="K303" s="55"/>
      <c r="L303" s="54"/>
      <c r="M303" s="55"/>
      <c r="N303" s="54"/>
      <c r="O303" s="55"/>
      <c r="P303" s="54"/>
      <c r="Q303" s="55"/>
      <c r="R303" s="54"/>
      <c r="S303" s="55"/>
      <c r="T303" s="54"/>
      <c r="U303" s="55"/>
      <c r="V303" s="54"/>
      <c r="W303" s="55"/>
      <c r="X303" s="54"/>
      <c r="Y303" s="55"/>
      <c r="Z303" s="54"/>
      <c r="AA303" s="55"/>
      <c r="AB303" s="54"/>
      <c r="AC303" s="55"/>
      <c r="AD303" s="54"/>
      <c r="AE303" s="55"/>
      <c r="AF303" s="16"/>
    </row>
    <row r="304" spans="1:32" s="8" customFormat="1" ht="15">
      <c r="B304" s="57" t="s">
        <v>315</v>
      </c>
      <c r="C304" s="58"/>
      <c r="D304" s="58"/>
      <c r="E304" s="58"/>
      <c r="F304" s="58"/>
      <c r="G304" s="59">
        <f>G302 +G219+SUMIF($A:$A,52141,G:G)+SUMIF($A:$A,52142,G:G)+SUMIF($A:$A,52143,G:G)+SUMIF($A:$A,55142,G:G)+SUMIF($A:$A,56142,G:G)+SUMIF($A:$A,70142,G:G)</f>
        <v>1378291.87</v>
      </c>
      <c r="H304" s="58"/>
      <c r="I304" s="59">
        <f>I302 +I219+SUMIF($A:$A,52141,I:I)+SUMIF($A:$A,52142,I:I)+SUMIF($A:$A,52143,I:I)+SUMIF($A:$A,55142,I:I)+SUMIF($A:$A,56142,I:I)+SUMIF($A:$A,70142,I:I)</f>
        <v>1268638.5899999999</v>
      </c>
      <c r="J304" s="58"/>
      <c r="K304" s="59">
        <f>K302 +K219+SUMIF($A:$A,52141,K:K)+SUMIF($A:$A,52142,K:K)+SUMIF($A:$A,52143,K:K)+SUMIF($A:$A,55142,K:K)+SUMIF($A:$A,56142,K:K)+SUMIF($A:$A,70142,K:K)</f>
        <v>1345951.74</v>
      </c>
      <c r="L304" s="58"/>
      <c r="M304" s="59">
        <f>M302 +M219+SUMIF($A:$A,52141,M:M)+SUMIF($A:$A,52142,M:M)+SUMIF($A:$A,52143,M:M)+SUMIF($A:$A,55142,M:M)+SUMIF($A:$A,56142,M:M)+SUMIF($A:$A,70142,M:M)</f>
        <v>1266041.6800000004</v>
      </c>
      <c r="N304" s="58"/>
      <c r="O304" s="59">
        <f>O302 +O219+SUMIF($A:$A,52141,O:O)+SUMIF($A:$A,52142,O:O)+SUMIF($A:$A,52143,O:O)+SUMIF($A:$A,55142,O:O)+SUMIF($A:$A,56142,O:O)+SUMIF($A:$A,70142,O:O)</f>
        <v>1417858.81</v>
      </c>
      <c r="P304" s="58"/>
      <c r="Q304" s="59">
        <f>Q302 +Q219+SUMIF($A:$A,52141,Q:Q)+SUMIF($A:$A,52142,Q:Q)+SUMIF($A:$A,52143,Q:Q)+SUMIF($A:$A,55142,Q:Q)+SUMIF($A:$A,56142,Q:Q)+SUMIF($A:$A,70142,Q:Q)</f>
        <v>1350183.34</v>
      </c>
      <c r="R304" s="58"/>
      <c r="S304" s="59">
        <f>S302 +S219+SUMIF($A:$A,52141,S:S)+SUMIF($A:$A,52142,S:S)+SUMIF($A:$A,52143,S:S)+SUMIF($A:$A,55142,S:S)+SUMIF($A:$A,56142,S:S)+SUMIF($A:$A,70142,S:S)</f>
        <v>1434580.3800000001</v>
      </c>
      <c r="T304" s="58"/>
      <c r="U304" s="59">
        <f>U302 +U219+SUMIF($A:$A,52141,U:U)+SUMIF($A:$A,52142,U:U)+SUMIF($A:$A,52143,U:U)+SUMIF($A:$A,55142,U:U)+SUMIF($A:$A,56142,U:U)+SUMIF($A:$A,70142,U:U)</f>
        <v>1128309.03</v>
      </c>
      <c r="V304" s="58"/>
      <c r="W304" s="59">
        <f>W302 +W219+SUMIF($A:$A,52141,W:W)+SUMIF($A:$A,52142,W:W)+SUMIF($A:$A,52143,W:W)+SUMIF($A:$A,55142,W:W)+SUMIF($A:$A,56142,W:W)+SUMIF($A:$A,70142,W:W)</f>
        <v>1278616.0900000003</v>
      </c>
      <c r="X304" s="58"/>
      <c r="Y304" s="59">
        <f>Y302 +Y219+SUMIF($A:$A,52141,Y:Y)+SUMIF($A:$A,52142,Y:Y)+SUMIF($A:$A,52143,Y:Y)+SUMIF($A:$A,55142,Y:Y)+SUMIF($A:$A,56142,Y:Y)+SUMIF($A:$A,70142,Y:Y)</f>
        <v>1298991.0299999998</v>
      </c>
      <c r="Z304" s="58"/>
      <c r="AA304" s="59">
        <f>AA302 +AA219+SUMIF($A:$A,52141,AA:AA)+SUMIF($A:$A,52142,AA:AA)+SUMIF($A:$A,52143,AA:AA)+SUMIF($A:$A,55142,AA:AA)+SUMIF($A:$A,56142,AA:AA)+SUMIF($A:$A,70142,AA:AA)</f>
        <v>1255893.76</v>
      </c>
      <c r="AB304" s="58"/>
      <c r="AC304" s="59">
        <f>AC302 +AC219+SUMIF($A:$A,52141,AC:AC)+SUMIF($A:$A,52142,AC:AC)+SUMIF($A:$A,52143,AC:AC)+SUMIF($A:$A,55142,AC:AC)+SUMIF($A:$A,56142,AC:AC)+SUMIF($A:$A,70142,AC:AC)</f>
        <v>1375916.3300000008</v>
      </c>
      <c r="AD304" s="58"/>
      <c r="AE304" s="59">
        <f>AE302 +AE219+SUMIF($A:$A,52141,AE:AE)+SUMIF($A:$A,52142,AE:AE)+SUMIF($A:$A,52143,AE:AE)+SUMIF($A:$A,55142,AE:AE)+SUMIF($A:$A,56142,AE:AE)+SUMIF($A:$A,70142,AE:AE)</f>
        <v>15799272.650000015</v>
      </c>
      <c r="AF304" s="53"/>
    </row>
    <row r="305" spans="1:32" s="8" customFormat="1" ht="6.75" customHeight="1">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16"/>
    </row>
    <row r="306" spans="1:32" outlineLevel="1">
      <c r="A306" s="6">
        <v>51260</v>
      </c>
      <c r="B306" s="6" t="s">
        <v>316</v>
      </c>
      <c r="C306" s="7"/>
      <c r="D306" s="3"/>
      <c r="E306" s="8"/>
      <c r="F306" s="9"/>
      <c r="G306" s="10">
        <v>216952.67</v>
      </c>
      <c r="H306" s="9"/>
      <c r="I306" s="10">
        <v>213977.38</v>
      </c>
      <c r="J306" s="9"/>
      <c r="K306" s="10">
        <v>216594.14</v>
      </c>
      <c r="L306" s="9"/>
      <c r="M306" s="10">
        <v>215019.21</v>
      </c>
      <c r="N306" s="9"/>
      <c r="O306" s="10">
        <v>215019.19</v>
      </c>
      <c r="P306" s="9"/>
      <c r="Q306" s="10">
        <v>214304.01</v>
      </c>
      <c r="R306" s="9"/>
      <c r="S306" s="10">
        <v>209287.96</v>
      </c>
      <c r="T306" s="9"/>
      <c r="U306" s="10">
        <v>209288.28</v>
      </c>
      <c r="V306" s="9"/>
      <c r="W306" s="10">
        <v>217623.91</v>
      </c>
      <c r="X306" s="9"/>
      <c r="Y306" s="10">
        <v>216859.46</v>
      </c>
      <c r="Z306" s="9"/>
      <c r="AA306" s="10">
        <v>227602.07</v>
      </c>
      <c r="AB306" s="9"/>
      <c r="AC306" s="10">
        <v>223536.26</v>
      </c>
      <c r="AD306" s="9"/>
      <c r="AE306" s="10">
        <f t="shared" ref="AE306:AE309" si="14">AC306+AA306+Y306+W306+U306+S306+Q306+O306+M306+K306+I306+G306</f>
        <v>2596064.5399999996</v>
      </c>
      <c r="AF306" s="11"/>
    </row>
    <row r="307" spans="1:32" outlineLevel="1">
      <c r="A307" s="6">
        <v>54260</v>
      </c>
      <c r="B307" s="6" t="s">
        <v>316</v>
      </c>
      <c r="C307" s="7"/>
      <c r="D307" s="3"/>
      <c r="E307" s="8"/>
      <c r="F307" s="9"/>
      <c r="G307" s="10">
        <v>66698.86</v>
      </c>
      <c r="H307" s="9"/>
      <c r="I307" s="10">
        <v>67230.429999999993</v>
      </c>
      <c r="J307" s="9"/>
      <c r="K307" s="10">
        <v>67346.759999999995</v>
      </c>
      <c r="L307" s="9"/>
      <c r="M307" s="10">
        <v>66869.87</v>
      </c>
      <c r="N307" s="9"/>
      <c r="O307" s="10">
        <v>67216.25</v>
      </c>
      <c r="P307" s="9"/>
      <c r="Q307" s="10">
        <v>67244.66</v>
      </c>
      <c r="R307" s="9"/>
      <c r="S307" s="10">
        <v>69833.48</v>
      </c>
      <c r="T307" s="9"/>
      <c r="U307" s="10">
        <v>69954.81</v>
      </c>
      <c r="V307" s="9"/>
      <c r="W307" s="10">
        <v>71811.360000000001</v>
      </c>
      <c r="X307" s="9"/>
      <c r="Y307" s="10">
        <v>71670.570000000007</v>
      </c>
      <c r="Z307" s="9"/>
      <c r="AA307" s="10">
        <v>70990.600000000006</v>
      </c>
      <c r="AB307" s="9"/>
      <c r="AC307" s="10">
        <v>75957.600000000006</v>
      </c>
      <c r="AD307" s="9"/>
      <c r="AE307" s="10">
        <f t="shared" si="14"/>
        <v>832825.24999999988</v>
      </c>
      <c r="AF307" s="11"/>
    </row>
    <row r="308" spans="1:32" outlineLevel="1">
      <c r="A308" s="6">
        <v>57260</v>
      </c>
      <c r="B308" s="6" t="s">
        <v>316</v>
      </c>
      <c r="C308" s="7"/>
      <c r="D308" s="3"/>
      <c r="E308" s="8"/>
      <c r="F308" s="9"/>
      <c r="G308" s="10">
        <v>9674.19</v>
      </c>
      <c r="H308" s="9"/>
      <c r="I308" s="10">
        <v>9552.31</v>
      </c>
      <c r="J308" s="9"/>
      <c r="K308" s="10">
        <v>9552.2900000000009</v>
      </c>
      <c r="L308" s="9"/>
      <c r="M308" s="10">
        <v>9552.34</v>
      </c>
      <c r="N308" s="9"/>
      <c r="O308" s="10">
        <v>9552.35</v>
      </c>
      <c r="P308" s="9"/>
      <c r="Q308" s="10">
        <v>9552.36</v>
      </c>
      <c r="R308" s="9"/>
      <c r="S308" s="10">
        <v>9825.49</v>
      </c>
      <c r="T308" s="9"/>
      <c r="U308" s="10">
        <v>9825.61</v>
      </c>
      <c r="V308" s="9"/>
      <c r="W308" s="10">
        <v>9825.67</v>
      </c>
      <c r="X308" s="9"/>
      <c r="Y308" s="10">
        <v>9825.5</v>
      </c>
      <c r="Z308" s="9"/>
      <c r="AA308" s="10">
        <v>9825.5499999999993</v>
      </c>
      <c r="AB308" s="9"/>
      <c r="AC308" s="10">
        <v>9825.65</v>
      </c>
      <c r="AD308" s="9"/>
      <c r="AE308" s="10">
        <f t="shared" si="14"/>
        <v>116389.31</v>
      </c>
      <c r="AF308" s="11"/>
    </row>
    <row r="309" spans="1:32" outlineLevel="1">
      <c r="A309" s="6">
        <v>70260</v>
      </c>
      <c r="B309" s="6" t="s">
        <v>316</v>
      </c>
      <c r="C309" s="7"/>
      <c r="D309" s="3"/>
      <c r="E309" s="8"/>
      <c r="F309" s="9"/>
      <c r="G309" s="10">
        <v>8392.75</v>
      </c>
      <c r="H309" s="9"/>
      <c r="I309" s="10">
        <v>7111.4</v>
      </c>
      <c r="J309" s="9"/>
      <c r="K309" s="10">
        <v>7436.18</v>
      </c>
      <c r="L309" s="9"/>
      <c r="M309" s="10">
        <v>7148.5</v>
      </c>
      <c r="N309" s="9"/>
      <c r="O309" s="10">
        <v>7182.59</v>
      </c>
      <c r="P309" s="9"/>
      <c r="Q309" s="10">
        <v>7182.61</v>
      </c>
      <c r="R309" s="9"/>
      <c r="S309" s="10">
        <v>7182.55</v>
      </c>
      <c r="T309" s="9"/>
      <c r="U309" s="10">
        <v>5182.22</v>
      </c>
      <c r="V309" s="9"/>
      <c r="W309" s="10">
        <v>5195.82</v>
      </c>
      <c r="X309" s="9"/>
      <c r="Y309" s="10">
        <v>5195.75</v>
      </c>
      <c r="Z309" s="9"/>
      <c r="AA309" s="10">
        <v>5202.84</v>
      </c>
      <c r="AB309" s="9"/>
      <c r="AC309" s="10">
        <v>2507.13</v>
      </c>
      <c r="AD309" s="9"/>
      <c r="AE309" s="10">
        <f t="shared" si="14"/>
        <v>74920.34</v>
      </c>
      <c r="AF309" s="11"/>
    </row>
    <row r="310" spans="1:32" s="8" customFormat="1" ht="5.0999999999999996" customHeight="1" outlineLevel="1">
      <c r="A310" s="7"/>
      <c r="B310" s="7"/>
      <c r="C310" s="7"/>
      <c r="D310" s="7"/>
      <c r="G310" s="38"/>
      <c r="H310" s="37"/>
      <c r="I310" s="38"/>
      <c r="J310" s="37"/>
      <c r="K310" s="38"/>
      <c r="L310" s="37"/>
      <c r="M310" s="38"/>
      <c r="N310" s="37"/>
      <c r="O310" s="38"/>
      <c r="P310" s="37"/>
      <c r="Q310" s="38"/>
      <c r="R310" s="37"/>
      <c r="S310" s="38"/>
      <c r="T310" s="37"/>
      <c r="U310" s="38"/>
      <c r="V310" s="37"/>
      <c r="W310" s="38"/>
      <c r="X310" s="37"/>
      <c r="Y310" s="38"/>
      <c r="Z310" s="37"/>
      <c r="AA310" s="38"/>
      <c r="AB310" s="37"/>
      <c r="AC310" s="38"/>
      <c r="AD310" s="37"/>
      <c r="AE310" s="38"/>
      <c r="AF310" s="16"/>
    </row>
    <row r="311" spans="1:32" s="8" customFormat="1" ht="15">
      <c r="C311" s="7" t="s">
        <v>316</v>
      </c>
      <c r="G311" s="35">
        <f>SUM(G306:G310)</f>
        <v>301718.47000000003</v>
      </c>
      <c r="H311" s="37"/>
      <c r="I311" s="35">
        <f>SUM(I306:I310)</f>
        <v>297871.52</v>
      </c>
      <c r="J311" s="37"/>
      <c r="K311" s="35">
        <f>SUM(K306:K310)</f>
        <v>300929.37</v>
      </c>
      <c r="L311" s="60">
        <f>IF(K$48=0,0,K311/K$48)</f>
        <v>0</v>
      </c>
      <c r="M311" s="35">
        <f>SUM(M306:M310)</f>
        <v>298589.92</v>
      </c>
      <c r="N311" s="37"/>
      <c r="O311" s="35">
        <f>SUM(O306:O310)</f>
        <v>298970.38</v>
      </c>
      <c r="P311" s="37"/>
      <c r="Q311" s="35">
        <f>SUM(Q306:Q310)</f>
        <v>298283.64</v>
      </c>
      <c r="R311" s="60">
        <f>IF(Q$48=0,0,Q311/Q$48)</f>
        <v>0</v>
      </c>
      <c r="S311" s="35">
        <f>SUM(S306:S310)</f>
        <v>296129.48</v>
      </c>
      <c r="T311" s="37"/>
      <c r="U311" s="35">
        <f>SUM(U306:U310)</f>
        <v>294250.91999999993</v>
      </c>
      <c r="V311" s="37"/>
      <c r="W311" s="35">
        <f>SUM(W306:W310)</f>
        <v>304456.76</v>
      </c>
      <c r="X311" s="60">
        <f>IF(W$48=0,0,W311/W$48)</f>
        <v>0</v>
      </c>
      <c r="Y311" s="35">
        <f>SUM(Y306:Y310)</f>
        <v>303551.28000000003</v>
      </c>
      <c r="Z311" s="37"/>
      <c r="AA311" s="35">
        <f>SUM(AA306:AA310)</f>
        <v>313621.06000000006</v>
      </c>
      <c r="AB311" s="37"/>
      <c r="AC311" s="35">
        <f>SUM(AC306:AC310)</f>
        <v>311826.64</v>
      </c>
      <c r="AD311" s="60">
        <f>IF(AC$48=0,0,AC311/AC$48)</f>
        <v>0</v>
      </c>
      <c r="AE311" s="35">
        <f>SUM(G311,I311,K311,M311,O311,Q311,S311,U311,W311,Y311,AA311,AC311)</f>
        <v>3620199.4400000004</v>
      </c>
      <c r="AF311" s="16"/>
    </row>
    <row r="312" spans="1:32" s="8" customFormat="1" ht="15" outlineLevel="1">
      <c r="C312" s="7"/>
      <c r="G312" s="37"/>
      <c r="H312" s="37"/>
      <c r="I312" s="37"/>
      <c r="J312" s="37"/>
      <c r="K312" s="37"/>
      <c r="L312" s="56"/>
      <c r="M312" s="37"/>
      <c r="N312" s="37"/>
      <c r="O312" s="37"/>
      <c r="P312" s="37"/>
      <c r="Q312" s="37"/>
      <c r="R312" s="56"/>
      <c r="S312" s="37"/>
      <c r="T312" s="37"/>
      <c r="U312" s="37"/>
      <c r="V312" s="37"/>
      <c r="W312" s="37"/>
      <c r="X312" s="56"/>
      <c r="Y312" s="37"/>
      <c r="Z312" s="37"/>
      <c r="AA312" s="37"/>
      <c r="AB312" s="37"/>
      <c r="AC312" s="37"/>
      <c r="AD312" s="56"/>
      <c r="AE312" s="37"/>
      <c r="AF312" s="16"/>
    </row>
    <row r="313" spans="1:32" outlineLevel="1">
      <c r="A313" s="6"/>
      <c r="B313" s="6"/>
      <c r="C313" s="7"/>
      <c r="D313" s="3"/>
      <c r="E313" s="8"/>
      <c r="F313" s="9"/>
      <c r="G313" s="10"/>
      <c r="H313" s="9"/>
      <c r="I313" s="10"/>
      <c r="J313" s="9"/>
      <c r="K313" s="10"/>
      <c r="L313" s="9"/>
      <c r="M313" s="10"/>
      <c r="N313" s="9"/>
      <c r="O313" s="10"/>
      <c r="P313" s="9"/>
      <c r="Q313" s="10"/>
      <c r="R313" s="9"/>
      <c r="S313" s="10"/>
      <c r="T313" s="9"/>
      <c r="U313" s="10"/>
      <c r="V313" s="9"/>
      <c r="W313" s="10"/>
      <c r="X313" s="9"/>
      <c r="Y313" s="10"/>
      <c r="Z313" s="9"/>
      <c r="AA313" s="10"/>
      <c r="AB313" s="9"/>
      <c r="AC313" s="10"/>
      <c r="AD313" s="9"/>
      <c r="AE313" s="10">
        <f>AC313+AA313+Y313+W313+U313+S313+Q313+O313+M313+K313+I313+G313</f>
        <v>0</v>
      </c>
      <c r="AF313" s="11"/>
    </row>
    <row r="314" spans="1:32" s="8" customFormat="1" ht="5.0999999999999996" customHeight="1" outlineLevel="1">
      <c r="A314" s="7"/>
      <c r="B314" s="7"/>
      <c r="C314" s="7"/>
      <c r="D314" s="7"/>
      <c r="G314" s="38"/>
      <c r="H314" s="37"/>
      <c r="I314" s="38"/>
      <c r="J314" s="37"/>
      <c r="K314" s="38"/>
      <c r="L314" s="56"/>
      <c r="M314" s="38"/>
      <c r="N314" s="37"/>
      <c r="O314" s="38"/>
      <c r="P314" s="37"/>
      <c r="Q314" s="38"/>
      <c r="R314" s="56"/>
      <c r="S314" s="38"/>
      <c r="T314" s="37"/>
      <c r="U314" s="38"/>
      <c r="V314" s="37"/>
      <c r="W314" s="38"/>
      <c r="X314" s="56"/>
      <c r="Y314" s="38"/>
      <c r="Z314" s="37"/>
      <c r="AA314" s="38"/>
      <c r="AB314" s="37"/>
      <c r="AC314" s="38"/>
      <c r="AD314" s="56"/>
      <c r="AE314" s="38"/>
      <c r="AF314" s="16"/>
    </row>
    <row r="315" spans="1:32" s="8" customFormat="1" ht="15">
      <c r="C315" s="6" t="s">
        <v>317</v>
      </c>
      <c r="G315" s="35">
        <f>SUM(G313:G314)</f>
        <v>0</v>
      </c>
      <c r="H315" s="37"/>
      <c r="I315" s="35">
        <f>SUM(I313:I314)</f>
        <v>0</v>
      </c>
      <c r="J315" s="37"/>
      <c r="K315" s="35">
        <f>SUM(K313:K314)</f>
        <v>0</v>
      </c>
      <c r="L315" s="60">
        <f>IF(K$48=0,0,K315/K$48)</f>
        <v>0</v>
      </c>
      <c r="M315" s="35">
        <f>SUM(M313:M314)</f>
        <v>0</v>
      </c>
      <c r="N315" s="37"/>
      <c r="O315" s="35">
        <f>SUM(O313:O314)</f>
        <v>0</v>
      </c>
      <c r="P315" s="37"/>
      <c r="Q315" s="35">
        <f>SUM(Q313:Q314)</f>
        <v>0</v>
      </c>
      <c r="R315" s="60">
        <f>IF(Q$48=0,0,Q315/Q$48)</f>
        <v>0</v>
      </c>
      <c r="S315" s="35">
        <f>SUM(S313:S314)</f>
        <v>0</v>
      </c>
      <c r="T315" s="37"/>
      <c r="U315" s="35">
        <f>SUM(U313:U314)</f>
        <v>0</v>
      </c>
      <c r="V315" s="37"/>
      <c r="W315" s="35">
        <f>SUM(W313:W314)</f>
        <v>0</v>
      </c>
      <c r="X315" s="60">
        <f>IF(W$48=0,0,W315/W$48)</f>
        <v>0</v>
      </c>
      <c r="Y315" s="35">
        <f>SUM(Y313:Y314)</f>
        <v>0</v>
      </c>
      <c r="Z315" s="37"/>
      <c r="AA315" s="35">
        <f>SUM(AA313:AA314)</f>
        <v>0</v>
      </c>
      <c r="AB315" s="37"/>
      <c r="AC315" s="35">
        <f>SUM(AC313:AC314)</f>
        <v>0</v>
      </c>
      <c r="AD315" s="60">
        <f>IF(AC$48=0,0,AC315/AC$48)</f>
        <v>0</v>
      </c>
      <c r="AE315" s="35">
        <f>SUM(G315,I315,K315)</f>
        <v>0</v>
      </c>
      <c r="AF315" s="16"/>
    </row>
    <row r="316" spans="1:32" s="8" customFormat="1" ht="15" outlineLevel="1">
      <c r="G316" s="37"/>
      <c r="H316" s="37"/>
      <c r="I316" s="37"/>
      <c r="J316" s="37"/>
      <c r="K316" s="37"/>
      <c r="L316" s="56"/>
      <c r="M316" s="37"/>
      <c r="N316" s="37"/>
      <c r="O316" s="37"/>
      <c r="P316" s="37"/>
      <c r="Q316" s="37"/>
      <c r="R316" s="56"/>
      <c r="S316" s="37"/>
      <c r="T316" s="37"/>
      <c r="U316" s="37"/>
      <c r="V316" s="37"/>
      <c r="W316" s="37"/>
      <c r="X316" s="56"/>
      <c r="Y316" s="37"/>
      <c r="Z316" s="37"/>
      <c r="AA316" s="37"/>
      <c r="AB316" s="37"/>
      <c r="AC316" s="37"/>
      <c r="AD316" s="56"/>
      <c r="AE316" s="37"/>
      <c r="AF316" s="16"/>
    </row>
    <row r="317" spans="1:32" outlineLevel="1">
      <c r="A317" s="6"/>
      <c r="B317" s="6"/>
      <c r="C317" s="7"/>
      <c r="D317" s="3"/>
      <c r="E317" s="8"/>
      <c r="F317" s="9"/>
      <c r="G317" s="10"/>
      <c r="H317" s="9"/>
      <c r="I317" s="10"/>
      <c r="J317" s="9"/>
      <c r="K317" s="10"/>
      <c r="L317" s="9"/>
      <c r="M317" s="10"/>
      <c r="N317" s="9"/>
      <c r="O317" s="10"/>
      <c r="P317" s="9"/>
      <c r="Q317" s="10"/>
      <c r="R317" s="9"/>
      <c r="S317" s="10"/>
      <c r="T317" s="9"/>
      <c r="U317" s="10"/>
      <c r="V317" s="9"/>
      <c r="W317" s="10"/>
      <c r="X317" s="9"/>
      <c r="Y317" s="10"/>
      <c r="Z317" s="9"/>
      <c r="AA317" s="10"/>
      <c r="AB317" s="9"/>
      <c r="AC317" s="10"/>
      <c r="AD317" s="9"/>
      <c r="AE317" s="10">
        <f>AC317+AA317+Y317+W317+U317+S317+Q317+O317+M317+K317+I317+G317</f>
        <v>0</v>
      </c>
      <c r="AF317" s="11"/>
    </row>
    <row r="318" spans="1:32" s="8" customFormat="1" ht="5.0999999999999996" customHeight="1" outlineLevel="1">
      <c r="A318" s="7"/>
      <c r="B318" s="7"/>
      <c r="C318" s="7"/>
      <c r="D318" s="7"/>
      <c r="G318" s="38"/>
      <c r="H318" s="37"/>
      <c r="I318" s="38"/>
      <c r="J318" s="37"/>
      <c r="K318" s="38"/>
      <c r="L318" s="56"/>
      <c r="M318" s="38"/>
      <c r="N318" s="37"/>
      <c r="O318" s="38"/>
      <c r="P318" s="37"/>
      <c r="Q318" s="38"/>
      <c r="R318" s="56"/>
      <c r="S318" s="38"/>
      <c r="T318" s="37"/>
      <c r="U318" s="38"/>
      <c r="V318" s="37"/>
      <c r="W318" s="38"/>
      <c r="X318" s="56"/>
      <c r="Y318" s="38"/>
      <c r="Z318" s="37"/>
      <c r="AA318" s="38"/>
      <c r="AB318" s="37"/>
      <c r="AC318" s="38"/>
      <c r="AD318" s="56"/>
      <c r="AE318" s="38"/>
      <c r="AF318" s="16"/>
    </row>
    <row r="319" spans="1:32" s="8" customFormat="1" ht="15">
      <c r="C319" s="7" t="s">
        <v>318</v>
      </c>
      <c r="G319" s="35">
        <f>SUM(G317:G318)</f>
        <v>0</v>
      </c>
      <c r="H319" s="37"/>
      <c r="I319" s="35">
        <f>SUM(I317:I318)</f>
        <v>0</v>
      </c>
      <c r="J319" s="37"/>
      <c r="K319" s="35">
        <f>SUM(K317:K318)</f>
        <v>0</v>
      </c>
      <c r="L319" s="60">
        <f>IF(K$48=0,0,K319/K$48)</f>
        <v>0</v>
      </c>
      <c r="M319" s="35">
        <f>SUM(M317:M318)</f>
        <v>0</v>
      </c>
      <c r="N319" s="37"/>
      <c r="O319" s="35">
        <f>SUM(O317:O318)</f>
        <v>0</v>
      </c>
      <c r="P319" s="37"/>
      <c r="Q319" s="35">
        <f>SUM(Q317:Q318)</f>
        <v>0</v>
      </c>
      <c r="R319" s="60">
        <f>IF(Q$48=0,0,Q319/Q$48)</f>
        <v>0</v>
      </c>
      <c r="S319" s="35">
        <f>SUM(S317:S318)</f>
        <v>0</v>
      </c>
      <c r="T319" s="37"/>
      <c r="U319" s="35">
        <f>SUM(U317:U318)</f>
        <v>0</v>
      </c>
      <c r="V319" s="37"/>
      <c r="W319" s="35">
        <f>SUM(W317:W318)</f>
        <v>0</v>
      </c>
      <c r="X319" s="60">
        <f>IF(W$48=0,0,W319/W$48)</f>
        <v>0</v>
      </c>
      <c r="Y319" s="35">
        <f>SUM(Y317:Y318)</f>
        <v>0</v>
      </c>
      <c r="Z319" s="37"/>
      <c r="AA319" s="35">
        <f>SUM(AA317:AA318)</f>
        <v>0</v>
      </c>
      <c r="AB319" s="37"/>
      <c r="AC319" s="35">
        <f>SUM(AC317:AC318)</f>
        <v>0</v>
      </c>
      <c r="AD319" s="60">
        <f>IF(AC$48=0,0,AC319/AC$48)</f>
        <v>0</v>
      </c>
      <c r="AE319" s="35">
        <f>SUM(G319,I319,K319,M319,O319,Q319,S319,U319,W319,Y319,AA319,AC319)</f>
        <v>0</v>
      </c>
      <c r="AF319" s="16"/>
    </row>
    <row r="320" spans="1:32" s="8" customFormat="1" ht="6.75" customHeight="1">
      <c r="G320" s="37"/>
      <c r="H320" s="37"/>
      <c r="I320" s="37"/>
      <c r="J320" s="37"/>
      <c r="K320" s="37"/>
      <c r="L320" s="56"/>
      <c r="M320" s="37"/>
      <c r="N320" s="37"/>
      <c r="O320" s="37"/>
      <c r="P320" s="37"/>
      <c r="Q320" s="37"/>
      <c r="R320" s="56"/>
      <c r="S320" s="37"/>
      <c r="T320" s="37"/>
      <c r="U320" s="37"/>
      <c r="V320" s="37"/>
      <c r="W320" s="37"/>
      <c r="X320" s="56"/>
      <c r="Y320" s="37"/>
      <c r="Z320" s="37"/>
      <c r="AA320" s="37"/>
      <c r="AB320" s="37"/>
      <c r="AC320" s="37"/>
      <c r="AD320" s="56"/>
      <c r="AE320" s="37"/>
      <c r="AF320" s="16"/>
    </row>
    <row r="321" spans="1:32" s="8" customFormat="1" ht="15">
      <c r="B321" s="40" t="s">
        <v>319</v>
      </c>
      <c r="G321" s="41">
        <f>+G311+G315+G319</f>
        <v>301718.47000000003</v>
      </c>
      <c r="H321" s="37"/>
      <c r="I321" s="41">
        <f>+I311+I315+I319</f>
        <v>297871.52</v>
      </c>
      <c r="J321" s="37"/>
      <c r="K321" s="41">
        <f>+K311+K315+K319</f>
        <v>300929.37</v>
      </c>
      <c r="L321" s="60">
        <f>IF(K$48=0,0,K321/K$48)</f>
        <v>0</v>
      </c>
      <c r="M321" s="41">
        <f>+M311+M315+M319</f>
        <v>298589.92</v>
      </c>
      <c r="N321" s="37"/>
      <c r="O321" s="41">
        <f>+O311+O315+O319</f>
        <v>298970.38</v>
      </c>
      <c r="P321" s="37"/>
      <c r="Q321" s="41">
        <f>+Q311+Q315+Q319</f>
        <v>298283.64</v>
      </c>
      <c r="R321" s="60">
        <f>IF(Q$48=0,0,Q321/Q$48)</f>
        <v>0</v>
      </c>
      <c r="S321" s="41">
        <f>+S311+S315+S319</f>
        <v>296129.48</v>
      </c>
      <c r="T321" s="37"/>
      <c r="U321" s="41">
        <f>+U311+U315+U319</f>
        <v>294250.91999999993</v>
      </c>
      <c r="V321" s="37"/>
      <c r="W321" s="41">
        <f>+W311+W315+W319</f>
        <v>304456.76</v>
      </c>
      <c r="X321" s="60">
        <f>IF(W$48=0,0,W321/W$48)</f>
        <v>0</v>
      </c>
      <c r="Y321" s="41">
        <f>+Y311+Y315+Y319</f>
        <v>303551.28000000003</v>
      </c>
      <c r="Z321" s="37"/>
      <c r="AA321" s="41">
        <f>+AA311+AA315+AA319</f>
        <v>313621.06000000006</v>
      </c>
      <c r="AB321" s="37"/>
      <c r="AC321" s="41">
        <f>+AC311+AC315+AC319</f>
        <v>311826.64</v>
      </c>
      <c r="AD321" s="60">
        <f>IF(AC$48=0,0,AC321/AC$48)</f>
        <v>0</v>
      </c>
      <c r="AE321" s="41">
        <f>+AE311+AE315+AE319</f>
        <v>3620199.4400000004</v>
      </c>
      <c r="AF321" s="16"/>
    </row>
    <row r="322" spans="1:32" s="8" customFormat="1" ht="6.75" customHeight="1">
      <c r="G322" s="37"/>
      <c r="H322" s="37"/>
      <c r="I322" s="37"/>
      <c r="J322" s="37"/>
      <c r="K322" s="37"/>
      <c r="L322" s="56"/>
      <c r="M322" s="37"/>
      <c r="N322" s="37"/>
      <c r="O322" s="37"/>
      <c r="P322" s="37"/>
      <c r="Q322" s="37"/>
      <c r="R322" s="56"/>
      <c r="S322" s="37"/>
      <c r="T322" s="37"/>
      <c r="U322" s="37"/>
      <c r="V322" s="37"/>
      <c r="W322" s="37"/>
      <c r="X322" s="56"/>
      <c r="Y322" s="37"/>
      <c r="Z322" s="37"/>
      <c r="AA322" s="37"/>
      <c r="AB322" s="37"/>
      <c r="AC322" s="37"/>
      <c r="AD322" s="56"/>
      <c r="AE322" s="37"/>
      <c r="AF322" s="16"/>
    </row>
    <row r="323" spans="1:32" s="8" customFormat="1" ht="15">
      <c r="B323" s="43" t="s">
        <v>320</v>
      </c>
      <c r="G323" s="41">
        <f>+G302-G321</f>
        <v>916018.55</v>
      </c>
      <c r="H323" s="37"/>
      <c r="I323" s="41">
        <f>+I302-I321</f>
        <v>724886.1399999999</v>
      </c>
      <c r="J323" s="37"/>
      <c r="K323" s="41">
        <f>+K302-K321</f>
        <v>877389.54000000015</v>
      </c>
      <c r="L323" s="60">
        <f>IF(K$48=0,0,K323/K$48)</f>
        <v>0</v>
      </c>
      <c r="M323" s="41">
        <f>+M302-M321</f>
        <v>419172.57000000059</v>
      </c>
      <c r="N323" s="37"/>
      <c r="O323" s="41">
        <f>+O302-O321</f>
        <v>937584.97000000009</v>
      </c>
      <c r="P323" s="37"/>
      <c r="Q323" s="41">
        <f>+Q302-Q321</f>
        <v>1257460.6000000001</v>
      </c>
      <c r="R323" s="60">
        <f>IF(Q$48=0,0,Q323/Q$48)</f>
        <v>0</v>
      </c>
      <c r="S323" s="41">
        <f>+S302-S321</f>
        <v>957658.83000000007</v>
      </c>
      <c r="T323" s="37"/>
      <c r="U323" s="41">
        <f>+U302-U321</f>
        <v>634885.91</v>
      </c>
      <c r="V323" s="37"/>
      <c r="W323" s="41">
        <f>+W302-W321</f>
        <v>790272.37000000034</v>
      </c>
      <c r="X323" s="60">
        <f>IF(W$48=0,0,W323/W$48)</f>
        <v>0</v>
      </c>
      <c r="Y323" s="41">
        <f>+Y302-Y321</f>
        <v>799849.00999999978</v>
      </c>
      <c r="Z323" s="37"/>
      <c r="AA323" s="41">
        <f>+AA302-AA321</f>
        <v>747745.64999999991</v>
      </c>
      <c r="AB323" s="37"/>
      <c r="AC323" s="41">
        <f>+AC302-AC321</f>
        <v>853116.34000000067</v>
      </c>
      <c r="AD323" s="60">
        <f>IF(AC$48=0,0,AC323/AC$48)</f>
        <v>0</v>
      </c>
      <c r="AE323" s="41">
        <f>+AE302-AE321</f>
        <v>9916040.4800000153</v>
      </c>
      <c r="AF323" s="16"/>
    </row>
    <row r="324" spans="1:32" s="8" customFormat="1" ht="6.75" customHeight="1">
      <c r="G324" s="37"/>
      <c r="H324" s="37"/>
      <c r="I324" s="37"/>
      <c r="J324" s="37"/>
      <c r="K324" s="37"/>
      <c r="L324" s="56"/>
      <c r="M324" s="37"/>
      <c r="N324" s="37"/>
      <c r="O324" s="37"/>
      <c r="P324" s="37"/>
      <c r="Q324" s="37"/>
      <c r="R324" s="56"/>
      <c r="S324" s="37"/>
      <c r="T324" s="37"/>
      <c r="U324" s="37"/>
      <c r="V324" s="37"/>
      <c r="W324" s="37"/>
      <c r="X324" s="56"/>
      <c r="Y324" s="37"/>
      <c r="Z324" s="37"/>
      <c r="AA324" s="37"/>
      <c r="AB324" s="37"/>
      <c r="AC324" s="37"/>
      <c r="AD324" s="56"/>
      <c r="AE324" s="37"/>
      <c r="AF324" s="16"/>
    </row>
    <row r="325" spans="1:32" outlineLevel="1">
      <c r="A325" s="6">
        <v>80020</v>
      </c>
      <c r="B325" s="6" t="s">
        <v>322</v>
      </c>
      <c r="C325" s="7"/>
      <c r="D325" s="3"/>
      <c r="E325" s="8"/>
      <c r="F325" s="9"/>
      <c r="G325" s="10">
        <v>1856120.99</v>
      </c>
      <c r="H325" s="9"/>
      <c r="I325" s="10">
        <v>1796246.13</v>
      </c>
      <c r="J325" s="9"/>
      <c r="K325" s="10">
        <v>1856121</v>
      </c>
      <c r="L325" s="9"/>
      <c r="M325" s="10">
        <v>1861206.25</v>
      </c>
      <c r="N325" s="9"/>
      <c r="O325" s="10">
        <v>1681089.51</v>
      </c>
      <c r="P325" s="9"/>
      <c r="Q325" s="10">
        <v>1861206.25</v>
      </c>
      <c r="R325" s="9"/>
      <c r="S325" s="10">
        <v>1801167.35</v>
      </c>
      <c r="T325" s="9"/>
      <c r="U325" s="10">
        <v>1861206.25</v>
      </c>
      <c r="V325" s="9"/>
      <c r="W325" s="10">
        <v>1801167.35</v>
      </c>
      <c r="X325" s="9"/>
      <c r="Y325" s="10">
        <v>1861206.25</v>
      </c>
      <c r="Z325" s="9"/>
      <c r="AA325" s="10">
        <v>1861206.25</v>
      </c>
      <c r="AB325" s="9"/>
      <c r="AC325" s="10">
        <v>1801167.35</v>
      </c>
      <c r="AD325" s="9"/>
      <c r="AE325" s="10">
        <f>AC325+AA325+Y325+W325+U325+S325+Q325+O325+M325+K325+I325+G325</f>
        <v>21899110.929999996</v>
      </c>
      <c r="AF325" s="11"/>
    </row>
    <row r="326" spans="1:32" s="8" customFormat="1" ht="5.0999999999999996" customHeight="1" outlineLevel="1">
      <c r="A326" s="7"/>
      <c r="B326" s="7"/>
      <c r="C326" s="7"/>
      <c r="D326" s="7"/>
      <c r="G326" s="38"/>
      <c r="H326" s="37"/>
      <c r="I326" s="38"/>
      <c r="J326" s="37"/>
      <c r="K326" s="38"/>
      <c r="L326" s="56"/>
      <c r="M326" s="38"/>
      <c r="N326" s="37"/>
      <c r="O326" s="38"/>
      <c r="P326" s="37"/>
      <c r="Q326" s="38"/>
      <c r="R326" s="56"/>
      <c r="S326" s="38"/>
      <c r="T326" s="37"/>
      <c r="U326" s="38"/>
      <c r="V326" s="37"/>
      <c r="W326" s="38"/>
      <c r="X326" s="56"/>
      <c r="Y326" s="38"/>
      <c r="Z326" s="37"/>
      <c r="AA326" s="38"/>
      <c r="AB326" s="37"/>
      <c r="AC326" s="38"/>
      <c r="AD326" s="56"/>
      <c r="AE326" s="38"/>
      <c r="AF326" s="16"/>
    </row>
    <row r="327" spans="1:32" s="8" customFormat="1" ht="15">
      <c r="C327" s="7" t="s">
        <v>323</v>
      </c>
      <c r="G327" s="35">
        <f>SUM(G325:G326)</f>
        <v>1856120.99</v>
      </c>
      <c r="H327" s="37"/>
      <c r="I327" s="35">
        <f>SUM(I325:I326)</f>
        <v>1796246.13</v>
      </c>
      <c r="J327" s="37"/>
      <c r="K327" s="35">
        <f>SUM(K325:K326)</f>
        <v>1856121</v>
      </c>
      <c r="L327" s="60">
        <f>IF(K$48=0,0,K327/K$48)</f>
        <v>0</v>
      </c>
      <c r="M327" s="35">
        <f>SUM(M325:M326)</f>
        <v>1861206.25</v>
      </c>
      <c r="N327" s="37"/>
      <c r="O327" s="35">
        <f>SUM(O325:O326)</f>
        <v>1681089.51</v>
      </c>
      <c r="P327" s="37"/>
      <c r="Q327" s="35">
        <f>SUM(Q325:Q326)</f>
        <v>1861206.25</v>
      </c>
      <c r="R327" s="60">
        <f>IF(Q$48=0,0,Q327/Q$48)</f>
        <v>0</v>
      </c>
      <c r="S327" s="35">
        <f>SUM(S325:S326)</f>
        <v>1801167.35</v>
      </c>
      <c r="T327" s="37"/>
      <c r="U327" s="35">
        <f>SUM(U325:U326)</f>
        <v>1861206.25</v>
      </c>
      <c r="V327" s="37"/>
      <c r="W327" s="35">
        <f>SUM(W325:W326)</f>
        <v>1801167.35</v>
      </c>
      <c r="X327" s="60">
        <f>IF(W$48=0,0,W327/W$48)</f>
        <v>0</v>
      </c>
      <c r="Y327" s="35">
        <f>SUM(Y325:Y326)</f>
        <v>1861206.25</v>
      </c>
      <c r="Z327" s="37"/>
      <c r="AA327" s="35">
        <f>SUM(AA325:AA326)</f>
        <v>1861206.25</v>
      </c>
      <c r="AB327" s="37"/>
      <c r="AC327" s="35">
        <f>SUM(AC325:AC326)</f>
        <v>1801167.35</v>
      </c>
      <c r="AD327" s="60">
        <f>IF(AC$48=0,0,AC327/AC$48)</f>
        <v>0</v>
      </c>
      <c r="AE327" s="35">
        <f>SUM(AE325:AE326)</f>
        <v>21899110.929999996</v>
      </c>
      <c r="AF327" s="16"/>
    </row>
    <row r="328" spans="1:32" s="8" customFormat="1" ht="15" outlineLevel="1">
      <c r="G328" s="37"/>
      <c r="H328" s="37"/>
      <c r="I328" s="37"/>
      <c r="J328" s="37"/>
      <c r="K328" s="37"/>
      <c r="L328" s="56"/>
      <c r="M328" s="37"/>
      <c r="N328" s="37"/>
      <c r="O328" s="37"/>
      <c r="P328" s="37"/>
      <c r="Q328" s="37"/>
      <c r="R328" s="56"/>
      <c r="S328" s="37"/>
      <c r="T328" s="37"/>
      <c r="U328" s="37"/>
      <c r="V328" s="37"/>
      <c r="W328" s="37"/>
      <c r="X328" s="56"/>
      <c r="Y328" s="37"/>
      <c r="Z328" s="37"/>
      <c r="AA328" s="37"/>
      <c r="AB328" s="37"/>
      <c r="AC328" s="37"/>
      <c r="AD328" s="56"/>
      <c r="AE328" s="37"/>
      <c r="AF328" s="16"/>
    </row>
    <row r="329" spans="1:32" outlineLevel="1">
      <c r="A329" s="6"/>
      <c r="B329" s="6"/>
      <c r="C329" s="7"/>
      <c r="D329" s="3"/>
      <c r="E329" s="8"/>
      <c r="F329" s="9"/>
      <c r="G329" s="10"/>
      <c r="H329" s="9"/>
      <c r="I329" s="10"/>
      <c r="J329" s="9"/>
      <c r="K329" s="10"/>
      <c r="L329" s="9"/>
      <c r="M329" s="10"/>
      <c r="N329" s="9"/>
      <c r="O329" s="10"/>
      <c r="P329" s="9"/>
      <c r="Q329" s="10"/>
      <c r="R329" s="9"/>
      <c r="S329" s="10"/>
      <c r="T329" s="9"/>
      <c r="U329" s="10"/>
      <c r="V329" s="9"/>
      <c r="W329" s="10"/>
      <c r="X329" s="9"/>
      <c r="Y329" s="10"/>
      <c r="Z329" s="9"/>
      <c r="AA329" s="10"/>
      <c r="AB329" s="9"/>
      <c r="AC329" s="10"/>
      <c r="AD329" s="9"/>
      <c r="AE329" s="10">
        <f>AC329+AA329+Y329+W329+U329+S329+Q329+O329+M329+K329+I329+G329</f>
        <v>0</v>
      </c>
      <c r="AF329" s="11"/>
    </row>
    <row r="330" spans="1:32" s="8" customFormat="1" ht="5.0999999999999996" customHeight="1" outlineLevel="1">
      <c r="A330" s="7"/>
      <c r="B330" s="7"/>
      <c r="C330" s="7"/>
      <c r="D330" s="7"/>
      <c r="G330" s="38"/>
      <c r="H330" s="37"/>
      <c r="I330" s="38"/>
      <c r="J330" s="37"/>
      <c r="K330" s="38"/>
      <c r="L330" s="56"/>
      <c r="M330" s="38"/>
      <c r="N330" s="37"/>
      <c r="O330" s="38"/>
      <c r="P330" s="37"/>
      <c r="Q330" s="38"/>
      <c r="R330" s="56"/>
      <c r="S330" s="38"/>
      <c r="T330" s="37"/>
      <c r="U330" s="38"/>
      <c r="V330" s="37"/>
      <c r="W330" s="38"/>
      <c r="X330" s="56"/>
      <c r="Y330" s="38"/>
      <c r="Z330" s="37"/>
      <c r="AA330" s="38"/>
      <c r="AB330" s="37"/>
      <c r="AC330" s="38"/>
      <c r="AD330" s="56"/>
      <c r="AE330" s="38"/>
      <c r="AF330" s="16"/>
    </row>
    <row r="331" spans="1:32" s="8" customFormat="1" ht="15">
      <c r="C331" s="6" t="s">
        <v>325</v>
      </c>
      <c r="G331" s="35">
        <f>SUM(G329:G330)</f>
        <v>0</v>
      </c>
      <c r="H331" s="37"/>
      <c r="I331" s="35">
        <f>SUM(I329:I330)</f>
        <v>0</v>
      </c>
      <c r="J331" s="37"/>
      <c r="K331" s="35">
        <f>SUM(K329:K330)</f>
        <v>0</v>
      </c>
      <c r="L331" s="60">
        <f>IF(K$48=0,0,K331/K$48)</f>
        <v>0</v>
      </c>
      <c r="M331" s="35">
        <f>SUM(M329:M330)</f>
        <v>0</v>
      </c>
      <c r="N331" s="37"/>
      <c r="O331" s="35">
        <f>SUM(O329:O330)</f>
        <v>0</v>
      </c>
      <c r="P331" s="37"/>
      <c r="Q331" s="35">
        <f>SUM(Q329:Q330)</f>
        <v>0</v>
      </c>
      <c r="R331" s="60">
        <f>IF(Q$48=0,0,Q331/Q$48)</f>
        <v>0</v>
      </c>
      <c r="S331" s="35">
        <f>SUM(S329:S330)</f>
        <v>0</v>
      </c>
      <c r="T331" s="37"/>
      <c r="U331" s="35">
        <f>SUM(U329:U330)</f>
        <v>0</v>
      </c>
      <c r="V331" s="37"/>
      <c r="W331" s="35">
        <f>SUM(W329:W330)</f>
        <v>0</v>
      </c>
      <c r="X331" s="60">
        <f>IF(W$48=0,0,W331/W$48)</f>
        <v>0</v>
      </c>
      <c r="Y331" s="35">
        <f>SUM(Y329:Y330)</f>
        <v>0</v>
      </c>
      <c r="Z331" s="37"/>
      <c r="AA331" s="35">
        <f>SUM(AA329:AA330)</f>
        <v>0</v>
      </c>
      <c r="AB331" s="37"/>
      <c r="AC331" s="35">
        <f>SUM(AC329:AC330)</f>
        <v>0</v>
      </c>
      <c r="AD331" s="60">
        <f>IF(AC$48=0,0,AC331/AC$48)</f>
        <v>0</v>
      </c>
      <c r="AE331" s="35">
        <f>SUM(AE329:AE330)</f>
        <v>0</v>
      </c>
      <c r="AF331" s="16"/>
    </row>
    <row r="332" spans="1:32" s="8" customFormat="1" ht="15" outlineLevel="1">
      <c r="G332" s="37"/>
      <c r="H332" s="37"/>
      <c r="I332" s="37"/>
      <c r="J332" s="37"/>
      <c r="K332" s="37"/>
      <c r="L332" s="56"/>
      <c r="M332" s="37"/>
      <c r="N332" s="37"/>
      <c r="O332" s="37"/>
      <c r="P332" s="37"/>
      <c r="Q332" s="37"/>
      <c r="R332" s="56"/>
      <c r="S332" s="37"/>
      <c r="T332" s="37"/>
      <c r="U332" s="37"/>
      <c r="V332" s="37"/>
      <c r="W332" s="37"/>
      <c r="X332" s="56"/>
      <c r="Y332" s="37"/>
      <c r="Z332" s="37"/>
      <c r="AA332" s="37"/>
      <c r="AB332" s="37"/>
      <c r="AC332" s="37"/>
      <c r="AD332" s="56"/>
      <c r="AE332" s="37"/>
      <c r="AF332" s="16"/>
    </row>
    <row r="333" spans="1:32" outlineLevel="1">
      <c r="A333" s="6"/>
      <c r="B333" s="6"/>
      <c r="C333" s="7"/>
      <c r="D333" s="3"/>
      <c r="E333" s="8"/>
      <c r="F333" s="9"/>
      <c r="G333" s="10"/>
      <c r="H333" s="9"/>
      <c r="I333" s="10"/>
      <c r="J333" s="9"/>
      <c r="K333" s="10"/>
      <c r="L333" s="9"/>
      <c r="M333" s="10"/>
      <c r="N333" s="9"/>
      <c r="O333" s="10"/>
      <c r="P333" s="9"/>
      <c r="Q333" s="10"/>
      <c r="R333" s="9"/>
      <c r="S333" s="10"/>
      <c r="T333" s="9"/>
      <c r="U333" s="10"/>
      <c r="V333" s="9"/>
      <c r="W333" s="10"/>
      <c r="X333" s="9"/>
      <c r="Y333" s="10"/>
      <c r="Z333" s="9"/>
      <c r="AA333" s="10"/>
      <c r="AB333" s="9"/>
      <c r="AC333" s="10"/>
      <c r="AD333" s="9"/>
      <c r="AE333" s="10">
        <f>AC333+AA333+Y333+W333+U333+S333+Q333+O333+M333+K333+I333+G333</f>
        <v>0</v>
      </c>
      <c r="AF333" s="11"/>
    </row>
    <row r="334" spans="1:32" s="8" customFormat="1" ht="5.0999999999999996" customHeight="1" outlineLevel="1">
      <c r="A334" s="7"/>
      <c r="B334" s="7"/>
      <c r="C334" s="7"/>
      <c r="D334" s="7"/>
      <c r="G334" s="38"/>
      <c r="H334" s="37"/>
      <c r="I334" s="38"/>
      <c r="J334" s="37"/>
      <c r="K334" s="38"/>
      <c r="L334" s="56"/>
      <c r="M334" s="38"/>
      <c r="N334" s="37"/>
      <c r="O334" s="38"/>
      <c r="P334" s="37"/>
      <c r="Q334" s="38"/>
      <c r="R334" s="56"/>
      <c r="S334" s="38"/>
      <c r="T334" s="37"/>
      <c r="U334" s="38"/>
      <c r="V334" s="37"/>
      <c r="W334" s="38"/>
      <c r="X334" s="56"/>
      <c r="Y334" s="38"/>
      <c r="Z334" s="37"/>
      <c r="AA334" s="38"/>
      <c r="AB334" s="37"/>
      <c r="AC334" s="38"/>
      <c r="AD334" s="56"/>
      <c r="AE334" s="38"/>
      <c r="AF334" s="16"/>
    </row>
    <row r="335" spans="1:32" s="8" customFormat="1" ht="15">
      <c r="C335" s="7" t="s">
        <v>327</v>
      </c>
      <c r="G335" s="35">
        <f>SUM(G333:G334)</f>
        <v>0</v>
      </c>
      <c r="H335" s="37"/>
      <c r="I335" s="35">
        <f>SUM(I333:I334)</f>
        <v>0</v>
      </c>
      <c r="J335" s="37"/>
      <c r="K335" s="35">
        <f>SUM(K333:K334)</f>
        <v>0</v>
      </c>
      <c r="L335" s="60">
        <f>IF(K$48=0,0,K335/K$48)</f>
        <v>0</v>
      </c>
      <c r="M335" s="35">
        <f>SUM(M333:M334)</f>
        <v>0</v>
      </c>
      <c r="N335" s="37"/>
      <c r="O335" s="35">
        <f>SUM(O333:O334)</f>
        <v>0</v>
      </c>
      <c r="P335" s="37"/>
      <c r="Q335" s="35">
        <f>SUM(Q333:Q334)</f>
        <v>0</v>
      </c>
      <c r="R335" s="60">
        <f>IF(Q$48=0,0,Q335/Q$48)</f>
        <v>0</v>
      </c>
      <c r="S335" s="35">
        <f>SUM(S333:S334)</f>
        <v>0</v>
      </c>
      <c r="T335" s="37"/>
      <c r="U335" s="35">
        <f>SUM(U333:U334)</f>
        <v>0</v>
      </c>
      <c r="V335" s="37"/>
      <c r="W335" s="35">
        <f>SUM(W333:W334)</f>
        <v>0</v>
      </c>
      <c r="X335" s="60">
        <f>IF(W$48=0,0,W335/W$48)</f>
        <v>0</v>
      </c>
      <c r="Y335" s="35">
        <f>SUM(Y333:Y334)</f>
        <v>0</v>
      </c>
      <c r="Z335" s="37"/>
      <c r="AA335" s="35">
        <f>SUM(AA333:AA334)</f>
        <v>0</v>
      </c>
      <c r="AB335" s="37"/>
      <c r="AC335" s="35">
        <f>SUM(AC333:AC334)</f>
        <v>0</v>
      </c>
      <c r="AD335" s="60">
        <f>IF(AC$48=0,0,AC335/AC$48)</f>
        <v>0</v>
      </c>
      <c r="AE335" s="35">
        <f>SUM(AE333:AE334)</f>
        <v>0</v>
      </c>
      <c r="AF335" s="16"/>
    </row>
    <row r="336" spans="1:32" s="8" customFormat="1" ht="6.75" customHeight="1">
      <c r="G336" s="37"/>
      <c r="H336" s="37"/>
      <c r="I336" s="37"/>
      <c r="J336" s="37"/>
      <c r="K336" s="37"/>
      <c r="L336" s="56"/>
      <c r="M336" s="37"/>
      <c r="N336" s="37"/>
      <c r="O336" s="37"/>
      <c r="P336" s="37"/>
      <c r="Q336" s="37"/>
      <c r="R336" s="56"/>
      <c r="S336" s="37"/>
      <c r="T336" s="37"/>
      <c r="U336" s="37"/>
      <c r="V336" s="37"/>
      <c r="W336" s="37"/>
      <c r="X336" s="56"/>
      <c r="Y336" s="37"/>
      <c r="Z336" s="37"/>
      <c r="AA336" s="37"/>
      <c r="AB336" s="37"/>
      <c r="AC336" s="37"/>
      <c r="AD336" s="56"/>
      <c r="AE336" s="37"/>
      <c r="AF336" s="16"/>
    </row>
    <row r="337" spans="1:32" s="8" customFormat="1" ht="15">
      <c r="B337" s="40" t="s">
        <v>328</v>
      </c>
      <c r="G337" s="41">
        <f>+G323-G327-G331-G335</f>
        <v>-940102.44</v>
      </c>
      <c r="H337" s="37"/>
      <c r="I337" s="41">
        <f>+I323-I327-I331-I335</f>
        <v>-1071359.99</v>
      </c>
      <c r="J337" s="37"/>
      <c r="K337" s="41">
        <f>+K323-K327-K331-K335</f>
        <v>-978731.45999999985</v>
      </c>
      <c r="L337" s="60">
        <f>IF(K$48=0,0,K337/K$48)</f>
        <v>0</v>
      </c>
      <c r="M337" s="41">
        <f>+M323-M327-M331-M335</f>
        <v>-1442033.6799999995</v>
      </c>
      <c r="N337" s="37"/>
      <c r="O337" s="41">
        <f>+O323-O327-O331-O335</f>
        <v>-743504.53999999992</v>
      </c>
      <c r="P337" s="37"/>
      <c r="Q337" s="41">
        <f>+Q323-Q327-Q331-Q335</f>
        <v>-603745.64999999991</v>
      </c>
      <c r="R337" s="60">
        <f>IF(Q$48=0,0,Q337/Q$48)</f>
        <v>0</v>
      </c>
      <c r="S337" s="41">
        <f>+S323-S327-S331-S335</f>
        <v>-843508.52</v>
      </c>
      <c r="T337" s="37"/>
      <c r="U337" s="41">
        <f>+U323-U327-U331-U335</f>
        <v>-1226320.3399999999</v>
      </c>
      <c r="V337" s="37"/>
      <c r="W337" s="41">
        <f>+W323-W327-W331-W335</f>
        <v>-1010894.9799999997</v>
      </c>
      <c r="X337" s="60">
        <f>IF(W$48=0,0,W337/W$48)</f>
        <v>0</v>
      </c>
      <c r="Y337" s="41">
        <f>+Y323-Y327-Y331-Y335</f>
        <v>-1061357.2400000002</v>
      </c>
      <c r="Z337" s="37"/>
      <c r="AA337" s="41">
        <f>+AA323-AA327-AA331-AA335</f>
        <v>-1113460.6000000001</v>
      </c>
      <c r="AB337" s="37"/>
      <c r="AC337" s="41">
        <f>+AC323-AC327-AC331-AC335</f>
        <v>-948051.00999999943</v>
      </c>
      <c r="AD337" s="60">
        <f>IF(AC$48=0,0,AC337/AC$48)</f>
        <v>0</v>
      </c>
      <c r="AE337" s="41">
        <f>+AE323-AE327-AE331-AE335</f>
        <v>-11983070.449999981</v>
      </c>
      <c r="AF337" s="16"/>
    </row>
    <row r="338" spans="1:32" s="8" customFormat="1" ht="6.75" customHeight="1">
      <c r="G338" s="37"/>
      <c r="H338" s="37"/>
      <c r="I338" s="37"/>
      <c r="J338" s="37"/>
      <c r="K338" s="37"/>
      <c r="L338" s="56"/>
      <c r="M338" s="37"/>
      <c r="N338" s="37"/>
      <c r="O338" s="37"/>
      <c r="P338" s="37"/>
      <c r="Q338" s="37"/>
      <c r="R338" s="56"/>
      <c r="S338" s="37"/>
      <c r="T338" s="37"/>
      <c r="U338" s="37"/>
      <c r="V338" s="37"/>
      <c r="W338" s="37"/>
      <c r="X338" s="56"/>
      <c r="Y338" s="37"/>
      <c r="Z338" s="37"/>
      <c r="AA338" s="37"/>
      <c r="AB338" s="37"/>
      <c r="AC338" s="37"/>
      <c r="AD338" s="56"/>
      <c r="AE338" s="37"/>
      <c r="AF338" s="16"/>
    </row>
    <row r="339" spans="1:32" outlineLevel="1">
      <c r="A339" s="6"/>
      <c r="B339" s="6"/>
      <c r="C339" s="7"/>
      <c r="D339" s="3"/>
      <c r="E339" s="8"/>
      <c r="F339" s="9"/>
      <c r="G339" s="10"/>
      <c r="H339" s="9"/>
      <c r="I339" s="10"/>
      <c r="J339" s="9"/>
      <c r="K339" s="10"/>
      <c r="L339" s="9"/>
      <c r="M339" s="10"/>
      <c r="N339" s="9"/>
      <c r="O339" s="10"/>
      <c r="P339" s="9"/>
      <c r="Q339" s="10"/>
      <c r="R339" s="9"/>
      <c r="S339" s="10"/>
      <c r="T339" s="9"/>
      <c r="U339" s="10"/>
      <c r="V339" s="9"/>
      <c r="W339" s="10"/>
      <c r="X339" s="9"/>
      <c r="Y339" s="10"/>
      <c r="Z339" s="9"/>
      <c r="AA339" s="10"/>
      <c r="AB339" s="9"/>
      <c r="AC339" s="10"/>
      <c r="AD339" s="9"/>
      <c r="AE339" s="10">
        <f>AC339+AA339+Y339+W339+U339+S339+Q339+O339+M339+K339+I339+G339</f>
        <v>0</v>
      </c>
      <c r="AF339" s="11"/>
    </row>
    <row r="340" spans="1:32" s="8" customFormat="1" ht="5.0999999999999996" customHeight="1" outlineLevel="1">
      <c r="A340" s="7"/>
      <c r="B340" s="7"/>
      <c r="C340" s="7"/>
      <c r="D340" s="7"/>
      <c r="G340" s="38"/>
      <c r="H340" s="37"/>
      <c r="I340" s="38"/>
      <c r="J340" s="37"/>
      <c r="K340" s="38"/>
      <c r="L340" s="56"/>
      <c r="M340" s="38"/>
      <c r="N340" s="37"/>
      <c r="O340" s="38"/>
      <c r="P340" s="37"/>
      <c r="Q340" s="38"/>
      <c r="R340" s="56"/>
      <c r="S340" s="38"/>
      <c r="T340" s="37"/>
      <c r="U340" s="38"/>
      <c r="V340" s="37"/>
      <c r="W340" s="38"/>
      <c r="X340" s="56"/>
      <c r="Y340" s="38"/>
      <c r="Z340" s="37"/>
      <c r="AA340" s="38"/>
      <c r="AB340" s="37"/>
      <c r="AC340" s="38"/>
      <c r="AD340" s="56"/>
      <c r="AE340" s="38"/>
      <c r="AF340" s="16"/>
    </row>
    <row r="341" spans="1:32" s="8" customFormat="1" ht="15">
      <c r="C341" s="6" t="s">
        <v>329</v>
      </c>
      <c r="G341" s="35">
        <f>SUM(G339:G340)</f>
        <v>0</v>
      </c>
      <c r="H341" s="37"/>
      <c r="I341" s="35">
        <f>SUM(I339:I340)</f>
        <v>0</v>
      </c>
      <c r="J341" s="37"/>
      <c r="K341" s="35">
        <f>SUM(K339:K340)</f>
        <v>0</v>
      </c>
      <c r="L341" s="60">
        <f>IF(K$48=0,0,K341/K$48)</f>
        <v>0</v>
      </c>
      <c r="M341" s="35">
        <f>SUM(M339:M340)</f>
        <v>0</v>
      </c>
      <c r="N341" s="37"/>
      <c r="O341" s="35">
        <f>SUM(O339:O340)</f>
        <v>0</v>
      </c>
      <c r="P341" s="37"/>
      <c r="Q341" s="35">
        <f>SUM(Q339:Q340)</f>
        <v>0</v>
      </c>
      <c r="R341" s="60">
        <f>IF(Q$48=0,0,Q341/Q$48)</f>
        <v>0</v>
      </c>
      <c r="S341" s="35">
        <f>SUM(S339:S340)</f>
        <v>0</v>
      </c>
      <c r="T341" s="37"/>
      <c r="U341" s="35">
        <f>SUM(U339:U340)</f>
        <v>0</v>
      </c>
      <c r="V341" s="37"/>
      <c r="W341" s="35">
        <f>SUM(W339:W340)</f>
        <v>0</v>
      </c>
      <c r="X341" s="60">
        <f>IF(W$48=0,0,W341/W$48)</f>
        <v>0</v>
      </c>
      <c r="Y341" s="35">
        <f>SUM(Y339:Y340)</f>
        <v>0</v>
      </c>
      <c r="Z341" s="37"/>
      <c r="AA341" s="35">
        <f>SUM(AA339:AA340)</f>
        <v>0</v>
      </c>
      <c r="AB341" s="37"/>
      <c r="AC341" s="35">
        <f>SUM(AC339:AC340)</f>
        <v>0</v>
      </c>
      <c r="AD341" s="60">
        <f>IF(AC$48=0,0,AC341/AC$48)</f>
        <v>0</v>
      </c>
      <c r="AE341" s="35">
        <f>SUM(AE339:AE340)</f>
        <v>0</v>
      </c>
      <c r="AF341" s="16"/>
    </row>
    <row r="342" spans="1:32" s="8" customFormat="1" ht="6.75" customHeight="1">
      <c r="G342" s="37"/>
      <c r="H342" s="37"/>
      <c r="I342" s="37"/>
      <c r="J342" s="37"/>
      <c r="K342" s="37"/>
      <c r="L342" s="56"/>
      <c r="M342" s="37"/>
      <c r="N342" s="37"/>
      <c r="O342" s="37"/>
      <c r="P342" s="37"/>
      <c r="Q342" s="37"/>
      <c r="R342" s="56"/>
      <c r="S342" s="37"/>
      <c r="T342" s="37"/>
      <c r="U342" s="37"/>
      <c r="V342" s="37"/>
      <c r="W342" s="37"/>
      <c r="X342" s="56"/>
      <c r="Y342" s="37"/>
      <c r="Z342" s="37"/>
      <c r="AA342" s="37"/>
      <c r="AB342" s="37"/>
      <c r="AC342" s="37"/>
      <c r="AD342" s="56"/>
      <c r="AE342" s="37"/>
      <c r="AF342" s="16"/>
    </row>
    <row r="343" spans="1:32" s="8" customFormat="1" ht="15">
      <c r="B343" s="40" t="s">
        <v>330</v>
      </c>
      <c r="G343" s="41">
        <f>+G337-G341</f>
        <v>-940102.44</v>
      </c>
      <c r="H343" s="37"/>
      <c r="I343" s="41">
        <f>+I337-I341</f>
        <v>-1071359.99</v>
      </c>
      <c r="J343" s="37"/>
      <c r="K343" s="41">
        <f>+K337-K341</f>
        <v>-978731.45999999985</v>
      </c>
      <c r="L343" s="60">
        <f>IF(K$48=0,0,K343/K$48)</f>
        <v>0</v>
      </c>
      <c r="M343" s="41">
        <f>+M337-M341</f>
        <v>-1442033.6799999995</v>
      </c>
      <c r="N343" s="37"/>
      <c r="O343" s="41">
        <f>+O337-O341</f>
        <v>-743504.53999999992</v>
      </c>
      <c r="P343" s="37"/>
      <c r="Q343" s="41">
        <f>+Q337-Q341</f>
        <v>-603745.64999999991</v>
      </c>
      <c r="R343" s="60">
        <f>IF(Q$48=0,0,Q343/Q$48)</f>
        <v>0</v>
      </c>
      <c r="S343" s="41">
        <f>+S337-S341</f>
        <v>-843508.52</v>
      </c>
      <c r="T343" s="37"/>
      <c r="U343" s="41">
        <f>+U337-U341</f>
        <v>-1226320.3399999999</v>
      </c>
      <c r="V343" s="37"/>
      <c r="W343" s="41">
        <f>+W337-W341</f>
        <v>-1010894.9799999997</v>
      </c>
      <c r="X343" s="60">
        <f>IF(W$48=0,0,W343/W$48)</f>
        <v>0</v>
      </c>
      <c r="Y343" s="41">
        <f>+Y337-Y341</f>
        <v>-1061357.2400000002</v>
      </c>
      <c r="Z343" s="37"/>
      <c r="AA343" s="41">
        <f>+AA337-AA341</f>
        <v>-1113460.6000000001</v>
      </c>
      <c r="AB343" s="37"/>
      <c r="AC343" s="41">
        <f>+AC337-AC341</f>
        <v>-948051.00999999943</v>
      </c>
      <c r="AD343" s="60">
        <f>IF(AC$48=0,0,AC343/AC$48)</f>
        <v>0</v>
      </c>
      <c r="AE343" s="41">
        <f>+AE337-AE341</f>
        <v>-11983070.449999981</v>
      </c>
      <c r="AF343" s="16"/>
    </row>
    <row r="344" spans="1:32" ht="6.75" customHeight="1">
      <c r="G344" s="4"/>
      <c r="H344" s="4"/>
      <c r="I344" s="4"/>
      <c r="J344" s="4"/>
      <c r="K344" s="4"/>
      <c r="L344" s="56"/>
      <c r="M344" s="4"/>
      <c r="N344" s="4"/>
      <c r="O344" s="4"/>
      <c r="P344" s="4"/>
      <c r="Q344" s="4"/>
      <c r="R344" s="56"/>
      <c r="S344" s="4"/>
      <c r="T344" s="4"/>
      <c r="U344" s="4"/>
      <c r="V344" s="4"/>
      <c r="W344" s="4"/>
      <c r="X344" s="56"/>
      <c r="Y344" s="4"/>
      <c r="Z344" s="4"/>
      <c r="AA344" s="4"/>
      <c r="AB344" s="4"/>
      <c r="AC344" s="4"/>
      <c r="AD344" s="56"/>
      <c r="AE344" s="4"/>
      <c r="AF344" s="16"/>
    </row>
    <row r="345" spans="1:32" outlineLevel="1">
      <c r="A345" s="6"/>
      <c r="B345" s="6"/>
      <c r="C345" s="7"/>
      <c r="D345" s="3"/>
      <c r="E345" s="8"/>
      <c r="F345" s="9"/>
      <c r="G345" s="10"/>
      <c r="H345" s="9"/>
      <c r="I345" s="10"/>
      <c r="J345" s="9"/>
      <c r="K345" s="10"/>
      <c r="L345" s="9"/>
      <c r="M345" s="10"/>
      <c r="N345" s="9"/>
      <c r="O345" s="10"/>
      <c r="P345" s="9"/>
      <c r="Q345" s="10"/>
      <c r="R345" s="9"/>
      <c r="S345" s="10"/>
      <c r="T345" s="9"/>
      <c r="U345" s="10"/>
      <c r="V345" s="9"/>
      <c r="W345" s="10"/>
      <c r="X345" s="9"/>
      <c r="Y345" s="10"/>
      <c r="Z345" s="9"/>
      <c r="AA345" s="10"/>
      <c r="AB345" s="9"/>
      <c r="AC345" s="10"/>
      <c r="AD345" s="9"/>
      <c r="AE345" s="10">
        <f>AC345+AA345+Y345+W345+U345+S345+Q345+O345+M345+K345+I345+G345</f>
        <v>0</v>
      </c>
      <c r="AF345" s="11"/>
    </row>
    <row r="346" spans="1:32" s="8" customFormat="1" ht="5.0999999999999996" customHeight="1" outlineLevel="1">
      <c r="A346" s="7"/>
      <c r="B346" s="7"/>
      <c r="C346" s="7"/>
      <c r="D346" s="7"/>
      <c r="G346" s="38"/>
      <c r="H346" s="37"/>
      <c r="I346" s="38"/>
      <c r="J346" s="37"/>
      <c r="K346" s="38"/>
      <c r="L346" s="56"/>
      <c r="M346" s="38"/>
      <c r="N346" s="37"/>
      <c r="O346" s="38"/>
      <c r="P346" s="37"/>
      <c r="Q346" s="38"/>
      <c r="R346" s="56"/>
      <c r="S346" s="38"/>
      <c r="T346" s="37"/>
      <c r="U346" s="38"/>
      <c r="V346" s="37"/>
      <c r="W346" s="38"/>
      <c r="X346" s="56"/>
      <c r="Y346" s="38"/>
      <c r="Z346" s="37"/>
      <c r="AA346" s="38"/>
      <c r="AB346" s="37"/>
      <c r="AC346" s="38"/>
      <c r="AD346" s="56"/>
      <c r="AE346" s="38"/>
      <c r="AF346" s="16"/>
    </row>
    <row r="347" spans="1:32" s="8" customFormat="1" ht="15">
      <c r="C347" s="6" t="s">
        <v>332</v>
      </c>
      <c r="G347" s="35">
        <f>SUM(G345:G346)</f>
        <v>0</v>
      </c>
      <c r="H347" s="37"/>
      <c r="I347" s="35">
        <f>SUM(I345:I346)</f>
        <v>0</v>
      </c>
      <c r="J347" s="37"/>
      <c r="K347" s="35">
        <f>SUM(K345:K346)</f>
        <v>0</v>
      </c>
      <c r="L347" s="60">
        <f>IF(K$48=0,0,K347/K$48)</f>
        <v>0</v>
      </c>
      <c r="M347" s="35">
        <f>SUM(M345:M346)</f>
        <v>0</v>
      </c>
      <c r="N347" s="37"/>
      <c r="O347" s="35">
        <f>SUM(O345:O346)</f>
        <v>0</v>
      </c>
      <c r="P347" s="37"/>
      <c r="Q347" s="35">
        <f>SUM(Q345:Q346)</f>
        <v>0</v>
      </c>
      <c r="R347" s="60">
        <f>IF(Q$48=0,0,Q347/Q$48)</f>
        <v>0</v>
      </c>
      <c r="S347" s="35">
        <f>SUM(S345:S346)</f>
        <v>0</v>
      </c>
      <c r="T347" s="37"/>
      <c r="U347" s="35">
        <f>SUM(U345:U346)</f>
        <v>0</v>
      </c>
      <c r="V347" s="37"/>
      <c r="W347" s="35">
        <f>SUM(W345:W346)</f>
        <v>0</v>
      </c>
      <c r="X347" s="60">
        <f>IF(W$48=0,0,W347/W$48)</f>
        <v>0</v>
      </c>
      <c r="Y347" s="35">
        <f>SUM(Y345:Y346)</f>
        <v>0</v>
      </c>
      <c r="Z347" s="37"/>
      <c r="AA347" s="35">
        <f>SUM(AA345:AA346)</f>
        <v>0</v>
      </c>
      <c r="AB347" s="37"/>
      <c r="AC347" s="35">
        <f>SUM(AC345:AC346)</f>
        <v>0</v>
      </c>
      <c r="AD347" s="60">
        <f>IF(AC$48=0,0,AC347/AC$48)</f>
        <v>0</v>
      </c>
      <c r="AE347" s="35">
        <f>SUM(AE345:AE346)</f>
        <v>0</v>
      </c>
      <c r="AF347" s="16"/>
    </row>
    <row r="348" spans="1:32" s="8" customFormat="1" ht="6.75" customHeight="1">
      <c r="G348" s="37"/>
      <c r="H348" s="37"/>
      <c r="I348" s="37"/>
      <c r="J348" s="37"/>
      <c r="K348" s="37"/>
      <c r="L348" s="56"/>
      <c r="M348" s="37"/>
      <c r="N348" s="37"/>
      <c r="O348" s="37"/>
      <c r="P348" s="37"/>
      <c r="Q348" s="37"/>
      <c r="R348" s="56"/>
      <c r="S348" s="37"/>
      <c r="T348" s="37"/>
      <c r="U348" s="37"/>
      <c r="V348" s="37"/>
      <c r="W348" s="37"/>
      <c r="X348" s="56"/>
      <c r="Y348" s="37"/>
      <c r="Z348" s="37"/>
      <c r="AA348" s="37"/>
      <c r="AB348" s="37"/>
      <c r="AC348" s="37"/>
      <c r="AD348" s="56"/>
      <c r="AE348" s="37"/>
      <c r="AF348" s="16"/>
    </row>
    <row r="349" spans="1:32" s="8" customFormat="1" ht="15">
      <c r="B349" s="40" t="s">
        <v>333</v>
      </c>
      <c r="G349" s="41">
        <f>+G343-G347</f>
        <v>-940102.44</v>
      </c>
      <c r="H349" s="37"/>
      <c r="I349" s="41">
        <f>+I343-I347</f>
        <v>-1071359.99</v>
      </c>
      <c r="J349" s="37"/>
      <c r="K349" s="41">
        <f>+K343-K347</f>
        <v>-978731.45999999985</v>
      </c>
      <c r="L349" s="60">
        <f>IF(K$48=0,0,K349/K$48)</f>
        <v>0</v>
      </c>
      <c r="M349" s="41">
        <f>+M343-M347</f>
        <v>-1442033.6799999995</v>
      </c>
      <c r="N349" s="37"/>
      <c r="O349" s="41">
        <f>+O343-O347</f>
        <v>-743504.53999999992</v>
      </c>
      <c r="P349" s="37"/>
      <c r="Q349" s="41">
        <f>+Q343-Q347</f>
        <v>-603745.64999999991</v>
      </c>
      <c r="R349" s="60">
        <f>IF(Q$48=0,0,Q349/Q$48)</f>
        <v>0</v>
      </c>
      <c r="S349" s="41">
        <f>+S343-S347</f>
        <v>-843508.52</v>
      </c>
      <c r="T349" s="37"/>
      <c r="U349" s="41">
        <f>+U343-U347</f>
        <v>-1226320.3399999999</v>
      </c>
      <c r="V349" s="37"/>
      <c r="W349" s="41">
        <f>+W343-W347</f>
        <v>-1010894.9799999997</v>
      </c>
      <c r="X349" s="60">
        <f>IF(W$48=0,0,W349/W$48)</f>
        <v>0</v>
      </c>
      <c r="Y349" s="41">
        <f>+Y343-Y347</f>
        <v>-1061357.2400000002</v>
      </c>
      <c r="Z349" s="37"/>
      <c r="AA349" s="41">
        <f>+AA343-AA347</f>
        <v>-1113460.6000000001</v>
      </c>
      <c r="AB349" s="37"/>
      <c r="AC349" s="41">
        <f>+AC343-AC347</f>
        <v>-948051.00999999943</v>
      </c>
      <c r="AD349" s="60">
        <f>IF(AC$48=0,0,AC349/AC$48)</f>
        <v>0</v>
      </c>
      <c r="AE349" s="41">
        <f>+AE343-AE347</f>
        <v>-11983070.449999981</v>
      </c>
      <c r="AF349" s="16"/>
    </row>
    <row r="350" spans="1:32" s="8" customFormat="1" ht="6.75" customHeight="1">
      <c r="G350" s="37"/>
      <c r="H350" s="37"/>
      <c r="I350" s="37"/>
      <c r="J350" s="37"/>
      <c r="K350" s="37"/>
      <c r="L350" s="56"/>
      <c r="M350" s="37"/>
      <c r="N350" s="37"/>
      <c r="O350" s="37"/>
      <c r="P350" s="37"/>
      <c r="Q350" s="37"/>
      <c r="R350" s="56"/>
      <c r="S350" s="37"/>
      <c r="T350" s="37"/>
      <c r="U350" s="37"/>
      <c r="V350" s="37"/>
      <c r="W350" s="37"/>
      <c r="X350" s="56"/>
      <c r="Y350" s="37"/>
      <c r="Z350" s="37"/>
      <c r="AA350" s="37"/>
      <c r="AB350" s="37"/>
      <c r="AC350" s="37"/>
      <c r="AD350" s="56"/>
      <c r="AE350" s="37"/>
      <c r="AF350" s="16"/>
    </row>
    <row r="351" spans="1:32" outlineLevel="1">
      <c r="A351" s="6"/>
      <c r="B351" s="6"/>
      <c r="C351" s="7"/>
      <c r="D351" s="3"/>
      <c r="E351" s="8"/>
      <c r="F351" s="9"/>
      <c r="G351" s="10"/>
      <c r="H351" s="9"/>
      <c r="I351" s="10"/>
      <c r="J351" s="9"/>
      <c r="K351" s="10"/>
      <c r="L351" s="9"/>
      <c r="M351" s="10"/>
      <c r="N351" s="9"/>
      <c r="O351" s="10"/>
      <c r="P351" s="9"/>
      <c r="Q351" s="10"/>
      <c r="R351" s="9"/>
      <c r="S351" s="10"/>
      <c r="T351" s="9"/>
      <c r="U351" s="10"/>
      <c r="V351" s="9"/>
      <c r="W351" s="10"/>
      <c r="X351" s="9"/>
      <c r="Y351" s="10"/>
      <c r="Z351" s="9"/>
      <c r="AA351" s="10"/>
      <c r="AB351" s="9"/>
      <c r="AC351" s="10"/>
      <c r="AD351" s="9"/>
      <c r="AE351" s="10">
        <f>AC351+AA351+Y351+W351+U351+S351+Q351+O351+M351+K351+I351+G351</f>
        <v>0</v>
      </c>
      <c r="AF351" s="11"/>
    </row>
    <row r="352" spans="1:32" s="8" customFormat="1" ht="5.0999999999999996" customHeight="1" outlineLevel="1">
      <c r="A352" s="7"/>
      <c r="B352" s="7"/>
      <c r="C352" s="7"/>
      <c r="D352" s="7"/>
      <c r="G352" s="38"/>
      <c r="H352" s="37"/>
      <c r="I352" s="38"/>
      <c r="J352" s="37"/>
      <c r="K352" s="38"/>
      <c r="L352" s="56"/>
      <c r="M352" s="38"/>
      <c r="N352" s="37"/>
      <c r="O352" s="38"/>
      <c r="P352" s="37"/>
      <c r="Q352" s="38"/>
      <c r="R352" s="56"/>
      <c r="S352" s="38"/>
      <c r="T352" s="37"/>
      <c r="U352" s="38"/>
      <c r="V352" s="37"/>
      <c r="W352" s="38"/>
      <c r="X352" s="56"/>
      <c r="Y352" s="38"/>
      <c r="Z352" s="37"/>
      <c r="AA352" s="38"/>
      <c r="AB352" s="37"/>
      <c r="AC352" s="38"/>
      <c r="AD352" s="56"/>
      <c r="AE352" s="38"/>
      <c r="AF352" s="16"/>
    </row>
    <row r="353" spans="1:32" s="8" customFormat="1" ht="15">
      <c r="C353" s="6" t="s">
        <v>335</v>
      </c>
      <c r="G353" s="35">
        <f>SUM(G351:G352)</f>
        <v>0</v>
      </c>
      <c r="H353" s="37"/>
      <c r="I353" s="35">
        <f>SUM(I351:I352)</f>
        <v>0</v>
      </c>
      <c r="J353" s="37"/>
      <c r="K353" s="35">
        <f>SUM(K351:K352)</f>
        <v>0</v>
      </c>
      <c r="L353" s="60">
        <f>IF(K$48=0,0,K353/K$48)</f>
        <v>0</v>
      </c>
      <c r="M353" s="35">
        <f>SUM(M351:M352)</f>
        <v>0</v>
      </c>
      <c r="N353" s="37"/>
      <c r="O353" s="35">
        <f>SUM(O351:O352)</f>
        <v>0</v>
      </c>
      <c r="P353" s="37"/>
      <c r="Q353" s="35">
        <f>SUM(Q351:Q352)</f>
        <v>0</v>
      </c>
      <c r="R353" s="60">
        <f>IF(Q$48=0,0,Q353/Q$48)</f>
        <v>0</v>
      </c>
      <c r="S353" s="35">
        <f>SUM(S351:S352)</f>
        <v>0</v>
      </c>
      <c r="T353" s="37"/>
      <c r="U353" s="35">
        <f>SUM(U351:U352)</f>
        <v>0</v>
      </c>
      <c r="V353" s="37"/>
      <c r="W353" s="35">
        <f>SUM(W351:W352)</f>
        <v>0</v>
      </c>
      <c r="X353" s="60">
        <f>IF(W$48=0,0,W353/W$48)</f>
        <v>0</v>
      </c>
      <c r="Y353" s="35">
        <f>SUM(Y351:Y352)</f>
        <v>0</v>
      </c>
      <c r="Z353" s="37"/>
      <c r="AA353" s="35">
        <f>SUM(AA351:AA352)</f>
        <v>0</v>
      </c>
      <c r="AB353" s="37"/>
      <c r="AC353" s="35">
        <f>SUM(AC351:AC352)</f>
        <v>0</v>
      </c>
      <c r="AD353" s="60">
        <f>IF(AC$48=0,0,AC353/AC$48)</f>
        <v>0</v>
      </c>
      <c r="AE353" s="35">
        <f>SUM(AE351:AE352)</f>
        <v>0</v>
      </c>
      <c r="AF353" s="16"/>
    </row>
    <row r="354" spans="1:32" s="8" customFormat="1" ht="6.75" customHeight="1">
      <c r="G354" s="37"/>
      <c r="H354" s="37"/>
      <c r="I354" s="37"/>
      <c r="J354" s="37"/>
      <c r="K354" s="37"/>
      <c r="L354" s="56"/>
      <c r="M354" s="37"/>
      <c r="N354" s="37"/>
      <c r="O354" s="37"/>
      <c r="P354" s="37"/>
      <c r="Q354" s="37"/>
      <c r="R354" s="56"/>
      <c r="S354" s="37"/>
      <c r="T354" s="37"/>
      <c r="U354" s="37"/>
      <c r="V354" s="37"/>
      <c r="W354" s="37"/>
      <c r="X354" s="56"/>
      <c r="Y354" s="37"/>
      <c r="Z354" s="37"/>
      <c r="AA354" s="37"/>
      <c r="AB354" s="37"/>
      <c r="AC354" s="37"/>
      <c r="AD354" s="56"/>
      <c r="AE354" s="37"/>
      <c r="AF354" s="16"/>
    </row>
    <row r="355" spans="1:32" s="8" customFormat="1" ht="15.75" thickBot="1">
      <c r="B355" s="40" t="s">
        <v>336</v>
      </c>
      <c r="G355" s="61">
        <f>+G349-G353</f>
        <v>-940102.44</v>
      </c>
      <c r="H355" s="37"/>
      <c r="I355" s="61">
        <f>+I349-I353</f>
        <v>-1071359.99</v>
      </c>
      <c r="J355" s="37"/>
      <c r="K355" s="61">
        <f>+K349-K353</f>
        <v>-978731.45999999985</v>
      </c>
      <c r="L355" s="60">
        <f>IF(K$48=0,0,K355/K$48)</f>
        <v>0</v>
      </c>
      <c r="M355" s="61">
        <f>+M349-M353</f>
        <v>-1442033.6799999995</v>
      </c>
      <c r="N355" s="37"/>
      <c r="O355" s="61">
        <f>+O349-O353</f>
        <v>-743504.53999999992</v>
      </c>
      <c r="P355" s="37"/>
      <c r="Q355" s="61">
        <f>+Q349-Q353</f>
        <v>-603745.64999999991</v>
      </c>
      <c r="R355" s="60">
        <f>IF(Q$48=0,0,Q355/Q$48)</f>
        <v>0</v>
      </c>
      <c r="S355" s="61">
        <f>+S349-S353</f>
        <v>-843508.52</v>
      </c>
      <c r="T355" s="37"/>
      <c r="U355" s="61">
        <f>+U349-U353</f>
        <v>-1226320.3399999999</v>
      </c>
      <c r="V355" s="37"/>
      <c r="W355" s="61">
        <f>+W349-W353</f>
        <v>-1010894.9799999997</v>
      </c>
      <c r="X355" s="60">
        <f>IF(W$48=0,0,W355/W$48)</f>
        <v>0</v>
      </c>
      <c r="Y355" s="61">
        <f>+Y349-Y353</f>
        <v>-1061357.2400000002</v>
      </c>
      <c r="Z355" s="37"/>
      <c r="AA355" s="61">
        <f>+AA349-AA353</f>
        <v>-1113460.6000000001</v>
      </c>
      <c r="AB355" s="37"/>
      <c r="AC355" s="61">
        <f>+AC349-AC353</f>
        <v>-948051.00999999943</v>
      </c>
      <c r="AD355" s="60">
        <f>IF(AC$48=0,0,AC355/AC$48)</f>
        <v>0</v>
      </c>
      <c r="AE355" s="61">
        <f>+AE349-AE353</f>
        <v>-11983070.449999981</v>
      </c>
      <c r="AF355" s="16"/>
    </row>
    <row r="356" spans="1:32" s="62" customFormat="1" ht="15.75" thickTop="1">
      <c r="A356" s="8"/>
      <c r="B356" s="8"/>
      <c r="C356" s="6"/>
      <c r="D356" s="8"/>
      <c r="E356" s="1"/>
      <c r="F356" s="1"/>
      <c r="H356" s="1"/>
      <c r="J356" s="16"/>
      <c r="L356" s="16"/>
      <c r="N356" s="1"/>
      <c r="P356" s="16"/>
      <c r="R356" s="16"/>
      <c r="T356" s="1"/>
      <c r="V356" s="16"/>
      <c r="X356" s="16"/>
      <c r="Z356" s="1"/>
      <c r="AB356" s="16"/>
      <c r="AD356" s="16"/>
      <c r="AF356" s="1"/>
    </row>
    <row r="357" spans="1:32" customFormat="1" ht="15" outlineLevel="1"/>
    <row r="358" spans="1:32" ht="6" customHeight="1" outlineLevel="1">
      <c r="G358" s="38"/>
      <c r="H358" s="37"/>
      <c r="I358" s="38"/>
      <c r="J358" s="37"/>
      <c r="K358" s="38"/>
      <c r="L358" s="56"/>
      <c r="M358" s="38"/>
      <c r="N358" s="37"/>
      <c r="O358" s="38"/>
      <c r="P358" s="37"/>
      <c r="Q358" s="38"/>
      <c r="R358" s="56"/>
      <c r="S358" s="38"/>
      <c r="T358" s="37"/>
      <c r="U358" s="38"/>
      <c r="V358" s="37"/>
      <c r="W358" s="38"/>
      <c r="X358" s="56"/>
      <c r="Y358" s="38"/>
      <c r="Z358" s="37"/>
      <c r="AA358" s="38"/>
      <c r="AB358" s="37"/>
      <c r="AC358" s="38"/>
      <c r="AD358" s="56"/>
      <c r="AE358" s="38"/>
    </row>
    <row r="359" spans="1:32" s="4" customFormat="1">
      <c r="B359" s="4" t="s">
        <v>338</v>
      </c>
      <c r="G359" s="63">
        <f>SUM(G357:G358)</f>
        <v>0</v>
      </c>
      <c r="H359" s="64"/>
      <c r="I359" s="63">
        <f>SUM(I357:I358)</f>
        <v>0</v>
      </c>
      <c r="J359" s="64"/>
      <c r="K359" s="63">
        <f>SUM(K357:K358)</f>
        <v>0</v>
      </c>
      <c r="L359" s="65"/>
      <c r="M359" s="63">
        <f>SUM(M357:M358)</f>
        <v>0</v>
      </c>
      <c r="N359" s="64"/>
      <c r="O359" s="63">
        <f>SUM(O357:O358)</f>
        <v>0</v>
      </c>
      <c r="P359" s="64"/>
      <c r="Q359" s="63">
        <f>SUM(Q357:Q358)</f>
        <v>0</v>
      </c>
      <c r="R359" s="65"/>
      <c r="S359" s="63">
        <f>SUM(S357:S358)</f>
        <v>0</v>
      </c>
      <c r="T359" s="64"/>
      <c r="U359" s="63">
        <f>SUM(U357:U358)</f>
        <v>0</v>
      </c>
      <c r="V359" s="64"/>
      <c r="W359" s="63">
        <f>SUM(W357:W358)</f>
        <v>0</v>
      </c>
      <c r="X359" s="65"/>
      <c r="Y359" s="63">
        <f>SUM(Y357:Y358)</f>
        <v>0</v>
      </c>
      <c r="Z359" s="64"/>
      <c r="AA359" s="63">
        <f>SUM(AA357:AA358)</f>
        <v>0</v>
      </c>
      <c r="AB359" s="64"/>
      <c r="AC359" s="63">
        <f>SUM(AC357:AC358)</f>
        <v>0</v>
      </c>
      <c r="AD359" s="65"/>
      <c r="AE359" s="63">
        <f>SUM(AE357:AE358)</f>
        <v>0</v>
      </c>
    </row>
    <row r="360" spans="1:32">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row>
    <row r="361" spans="1:32" ht="15">
      <c r="A361" s="7"/>
      <c r="B361" s="7"/>
      <c r="C361" s="7"/>
      <c r="D361" s="7"/>
      <c r="J361" s="16"/>
      <c r="L361" s="16"/>
      <c r="P361" s="16"/>
      <c r="R361" s="16"/>
      <c r="V361" s="16"/>
      <c r="X361" s="16"/>
      <c r="AB361" s="16"/>
      <c r="AD361" s="16"/>
    </row>
    <row r="362" spans="1:32" ht="15.75">
      <c r="A362" s="8"/>
      <c r="B362" s="8"/>
      <c r="C362" s="7"/>
      <c r="D362" s="8"/>
      <c r="J362" s="16"/>
      <c r="L362" s="16"/>
      <c r="P362" s="16"/>
      <c r="R362" s="16"/>
      <c r="V362" s="16"/>
      <c r="X362" s="16"/>
      <c r="AB362" s="16"/>
      <c r="AC362" s="66" t="s">
        <v>339</v>
      </c>
      <c r="AD362" s="67"/>
      <c r="AE362" s="68">
        <f>SUM(G355:AC355)-AE355</f>
        <v>-1.862645149230957E-8</v>
      </c>
    </row>
    <row r="363" spans="1:32" s="62" customFormat="1" ht="15">
      <c r="A363" s="8"/>
      <c r="B363" s="8"/>
      <c r="C363" s="8"/>
      <c r="D363" s="8"/>
      <c r="E363" s="1"/>
      <c r="F363" s="1"/>
      <c r="H363" s="1"/>
      <c r="J363" s="16"/>
      <c r="L363" s="16"/>
      <c r="N363" s="1"/>
      <c r="P363" s="16"/>
      <c r="R363" s="16"/>
      <c r="T363" s="1"/>
      <c r="V363" s="16"/>
      <c r="X363" s="16"/>
      <c r="Z363" s="1"/>
      <c r="AB363" s="16"/>
      <c r="AD363" s="16"/>
      <c r="AF363" s="1"/>
    </row>
    <row r="364" spans="1:32" s="62" customFormat="1" ht="15">
      <c r="A364" s="44"/>
      <c r="B364" s="44"/>
      <c r="C364" s="44"/>
      <c r="D364" s="44"/>
      <c r="E364" s="1"/>
      <c r="F364" s="1"/>
      <c r="H364" s="1"/>
      <c r="J364" s="16"/>
      <c r="L364" s="16"/>
      <c r="N364" s="1"/>
      <c r="P364" s="16"/>
      <c r="R364" s="16"/>
      <c r="V364" s="16"/>
      <c r="X364" s="16"/>
      <c r="Z364" s="1"/>
      <c r="AB364" s="16"/>
      <c r="AD364" s="16"/>
      <c r="AF364" s="1"/>
    </row>
    <row r="365" spans="1:32" s="62" customFormat="1" ht="15">
      <c r="A365" s="7"/>
      <c r="B365" s="7"/>
      <c r="C365" s="7"/>
      <c r="D365" s="7"/>
      <c r="E365" s="1"/>
      <c r="F365" s="1"/>
      <c r="H365" s="1"/>
      <c r="J365" s="16"/>
      <c r="L365" s="16"/>
      <c r="N365" s="1"/>
      <c r="P365" s="16"/>
      <c r="R365" s="16"/>
      <c r="S365" s="69"/>
      <c r="T365" s="69"/>
      <c r="U365" s="69"/>
      <c r="V365" s="16"/>
      <c r="W365" s="69"/>
      <c r="X365" s="16"/>
      <c r="Y365" s="69"/>
      <c r="Z365" s="1"/>
      <c r="AA365" s="69"/>
      <c r="AB365" s="16"/>
      <c r="AC365" s="69"/>
      <c r="AD365" s="16"/>
      <c r="AE365" s="69"/>
      <c r="AF365" s="1"/>
    </row>
    <row r="366" spans="1:32" s="62" customFormat="1" ht="15">
      <c r="A366" s="8"/>
      <c r="B366" s="8"/>
      <c r="C366" s="6"/>
      <c r="D366" s="8"/>
      <c r="E366" s="1"/>
      <c r="F366" s="1"/>
      <c r="H366" s="1"/>
      <c r="J366" s="16"/>
      <c r="L366" s="16"/>
      <c r="N366" s="1"/>
      <c r="P366" s="16"/>
      <c r="R366" s="16"/>
      <c r="T366" s="1"/>
      <c r="V366" s="16"/>
      <c r="X366" s="16"/>
      <c r="Z366" s="1"/>
      <c r="AB366" s="16"/>
      <c r="AD366" s="16"/>
      <c r="AF366" s="1"/>
    </row>
    <row r="367" spans="1:32" s="62" customFormat="1" ht="15">
      <c r="A367" s="8"/>
      <c r="B367" s="8"/>
      <c r="C367" s="8"/>
      <c r="D367" s="8"/>
      <c r="E367" s="1"/>
      <c r="F367" s="1"/>
      <c r="H367" s="1"/>
      <c r="J367" s="16"/>
      <c r="L367" s="16"/>
      <c r="N367" s="1"/>
      <c r="P367" s="16"/>
      <c r="R367" s="16"/>
      <c r="T367" s="1"/>
      <c r="V367" s="16"/>
      <c r="X367" s="16"/>
      <c r="Z367" s="1"/>
      <c r="AB367" s="16"/>
      <c r="AD367" s="16"/>
      <c r="AF367" s="1"/>
    </row>
    <row r="368" spans="1:32" s="62" customFormat="1" ht="15">
      <c r="A368" s="44"/>
      <c r="B368" s="44"/>
      <c r="C368" s="44"/>
      <c r="D368" s="44"/>
      <c r="E368" s="1"/>
      <c r="F368" s="1"/>
      <c r="H368" s="1"/>
      <c r="J368" s="16"/>
      <c r="L368" s="16"/>
      <c r="N368" s="1"/>
      <c r="P368" s="16"/>
      <c r="R368" s="16"/>
      <c r="T368" s="1"/>
      <c r="V368" s="16"/>
      <c r="X368" s="16"/>
      <c r="Z368" s="1"/>
      <c r="AB368" s="16"/>
      <c r="AD368" s="16"/>
      <c r="AF368" s="1"/>
    </row>
    <row r="369" spans="1:32" s="62" customFormat="1" ht="15">
      <c r="A369" s="7"/>
      <c r="B369" s="7"/>
      <c r="C369" s="7"/>
      <c r="D369" s="7"/>
      <c r="E369" s="1"/>
      <c r="F369" s="1"/>
      <c r="H369" s="1"/>
      <c r="J369" s="16"/>
      <c r="L369" s="16"/>
      <c r="N369" s="1"/>
      <c r="P369" s="16"/>
      <c r="R369" s="16"/>
      <c r="T369" s="1"/>
      <c r="V369" s="16"/>
      <c r="X369" s="16"/>
      <c r="Z369" s="1"/>
      <c r="AB369" s="16"/>
      <c r="AD369" s="16"/>
      <c r="AF369" s="1"/>
    </row>
    <row r="370" spans="1:32" s="62" customFormat="1" ht="15">
      <c r="A370" s="8"/>
      <c r="B370" s="8"/>
      <c r="C370" s="7"/>
      <c r="D370" s="8"/>
      <c r="E370" s="1"/>
      <c r="F370" s="1"/>
      <c r="H370" s="1"/>
      <c r="J370" s="16"/>
      <c r="L370" s="16"/>
      <c r="N370" s="1"/>
      <c r="P370" s="16"/>
      <c r="R370" s="16"/>
      <c r="T370" s="1"/>
      <c r="V370" s="16"/>
      <c r="X370" s="16"/>
      <c r="Z370" s="1"/>
      <c r="AB370" s="16"/>
      <c r="AD370" s="16"/>
      <c r="AF370" s="1"/>
    </row>
    <row r="371" spans="1:32" s="62" customFormat="1" ht="15">
      <c r="A371" s="8"/>
      <c r="B371" s="8"/>
      <c r="C371" s="8"/>
      <c r="D371" s="8"/>
      <c r="E371" s="1"/>
      <c r="F371" s="1"/>
      <c r="H371" s="1"/>
      <c r="J371" s="16"/>
      <c r="L371" s="16"/>
      <c r="N371" s="1"/>
      <c r="P371" s="16"/>
      <c r="R371" s="16"/>
      <c r="T371" s="1"/>
      <c r="V371" s="16"/>
      <c r="X371" s="16"/>
      <c r="Z371" s="1"/>
      <c r="AB371" s="16"/>
      <c r="AD371" s="16"/>
      <c r="AF371" s="1"/>
    </row>
    <row r="372" spans="1:32" s="62" customFormat="1" ht="15">
      <c r="A372" s="8"/>
      <c r="B372" s="40"/>
      <c r="C372" s="8"/>
      <c r="D372" s="8"/>
      <c r="E372" s="1"/>
      <c r="F372" s="1"/>
      <c r="H372" s="1"/>
      <c r="J372" s="16"/>
      <c r="L372" s="16"/>
      <c r="N372" s="1"/>
      <c r="P372" s="16"/>
      <c r="R372" s="16"/>
      <c r="T372" s="1"/>
      <c r="V372" s="16"/>
      <c r="X372" s="16"/>
      <c r="Z372" s="1"/>
      <c r="AB372" s="16"/>
      <c r="AD372" s="16"/>
      <c r="AF372" s="1"/>
    </row>
    <row r="373" spans="1:32" s="62" customFormat="1" ht="15">
      <c r="A373" s="8"/>
      <c r="B373" s="8"/>
      <c r="C373" s="8"/>
      <c r="D373" s="8"/>
      <c r="E373" s="1"/>
      <c r="F373" s="1"/>
      <c r="H373" s="1"/>
      <c r="J373" s="16"/>
      <c r="L373" s="16"/>
      <c r="N373" s="1"/>
      <c r="P373" s="16"/>
      <c r="R373" s="16"/>
      <c r="T373" s="1"/>
      <c r="V373" s="16"/>
      <c r="X373" s="16"/>
      <c r="Z373" s="1"/>
      <c r="AB373" s="16"/>
      <c r="AD373" s="16"/>
      <c r="AF373" s="1"/>
    </row>
    <row r="374" spans="1:32" s="62" customFormat="1" ht="15">
      <c r="A374" s="44"/>
      <c r="B374" s="44"/>
      <c r="C374" s="44"/>
      <c r="D374" s="44"/>
      <c r="E374" s="1"/>
      <c r="F374" s="1"/>
      <c r="H374" s="1"/>
      <c r="J374" s="16"/>
      <c r="L374" s="16"/>
      <c r="N374" s="1"/>
      <c r="P374" s="16"/>
      <c r="R374" s="16"/>
      <c r="T374" s="1"/>
      <c r="V374" s="16"/>
      <c r="X374" s="16"/>
      <c r="Z374" s="1"/>
      <c r="AB374" s="16"/>
      <c r="AD374" s="16"/>
      <c r="AF374" s="1"/>
    </row>
    <row r="375" spans="1:32" s="62" customFormat="1" ht="15">
      <c r="A375" s="7"/>
      <c r="B375" s="7"/>
      <c r="C375" s="7"/>
      <c r="D375" s="7"/>
      <c r="E375" s="1"/>
      <c r="F375" s="1"/>
      <c r="H375" s="1"/>
      <c r="J375" s="16"/>
      <c r="L375" s="16"/>
      <c r="N375" s="1"/>
      <c r="P375" s="16"/>
      <c r="R375" s="16"/>
      <c r="T375" s="1"/>
      <c r="V375" s="16"/>
      <c r="X375" s="16"/>
      <c r="Z375" s="1"/>
      <c r="AB375" s="16"/>
      <c r="AD375" s="16"/>
      <c r="AF375" s="1"/>
    </row>
    <row r="376" spans="1:32" s="62" customFormat="1" ht="15">
      <c r="A376" s="8"/>
      <c r="B376" s="8"/>
      <c r="C376" s="6"/>
      <c r="D376" s="8"/>
      <c r="E376" s="1"/>
      <c r="F376" s="1"/>
      <c r="H376" s="1"/>
      <c r="J376" s="16"/>
      <c r="L376" s="16"/>
      <c r="N376" s="1"/>
      <c r="P376" s="16"/>
      <c r="R376" s="16"/>
      <c r="T376" s="1"/>
      <c r="V376" s="16"/>
      <c r="X376" s="16"/>
      <c r="Z376" s="1"/>
      <c r="AB376" s="16"/>
      <c r="AD376" s="16"/>
      <c r="AF376" s="1"/>
    </row>
    <row r="377" spans="1:32" s="62" customFormat="1" ht="15">
      <c r="A377" s="8"/>
      <c r="B377" s="8"/>
      <c r="C377" s="8"/>
      <c r="D377" s="8"/>
      <c r="E377" s="1"/>
      <c r="F377" s="1"/>
      <c r="H377" s="1"/>
      <c r="J377" s="16"/>
      <c r="L377" s="16"/>
      <c r="N377" s="1"/>
      <c r="P377" s="16"/>
      <c r="R377" s="16"/>
      <c r="T377" s="1"/>
      <c r="V377" s="16"/>
      <c r="X377" s="16"/>
      <c r="Z377" s="1"/>
      <c r="AB377" s="16"/>
      <c r="AD377" s="16"/>
      <c r="AF377" s="1"/>
    </row>
    <row r="378" spans="1:32" s="62" customFormat="1" ht="15">
      <c r="A378" s="8"/>
      <c r="B378" s="40"/>
      <c r="C378" s="8"/>
      <c r="D378" s="8"/>
      <c r="E378" s="1"/>
      <c r="F378" s="1"/>
      <c r="H378" s="1"/>
      <c r="J378" s="16"/>
      <c r="L378" s="16"/>
      <c r="N378" s="1"/>
      <c r="P378" s="16"/>
      <c r="R378" s="16"/>
      <c r="T378" s="1"/>
      <c r="V378" s="16"/>
      <c r="X378" s="16"/>
      <c r="Z378" s="1"/>
      <c r="AB378" s="16"/>
      <c r="AD378" s="16"/>
      <c r="AF378" s="1"/>
    </row>
    <row r="379" spans="1:32" s="62" customFormat="1" ht="15">
      <c r="A379" s="1"/>
      <c r="B379" s="1"/>
      <c r="C379" s="1"/>
      <c r="D379" s="1"/>
      <c r="E379" s="1"/>
      <c r="F379" s="1"/>
      <c r="H379" s="1"/>
      <c r="J379" s="16"/>
      <c r="L379" s="16"/>
      <c r="N379" s="1"/>
      <c r="P379" s="16"/>
      <c r="R379" s="16"/>
      <c r="T379" s="1"/>
      <c r="V379" s="16"/>
      <c r="X379" s="16"/>
      <c r="Z379" s="1"/>
      <c r="AB379" s="16"/>
      <c r="AD379" s="16"/>
      <c r="AF379" s="1"/>
    </row>
    <row r="380" spans="1:32" s="62" customFormat="1" ht="15">
      <c r="A380" s="44"/>
      <c r="B380" s="44"/>
      <c r="C380" s="44"/>
      <c r="D380" s="44"/>
      <c r="E380" s="1"/>
      <c r="F380" s="1"/>
      <c r="H380" s="1"/>
      <c r="J380" s="16"/>
      <c r="L380" s="16"/>
      <c r="N380" s="1"/>
      <c r="P380" s="16"/>
      <c r="R380" s="16"/>
      <c r="T380" s="1"/>
      <c r="V380" s="16"/>
      <c r="X380" s="16"/>
      <c r="Z380" s="1"/>
      <c r="AB380" s="16"/>
      <c r="AD380" s="16"/>
      <c r="AF380" s="1"/>
    </row>
    <row r="381" spans="1:32" s="62" customFormat="1" ht="15">
      <c r="A381" s="7"/>
      <c r="B381" s="7"/>
      <c r="C381" s="7"/>
      <c r="D381" s="7"/>
      <c r="E381" s="1"/>
      <c r="F381" s="1"/>
      <c r="H381" s="1"/>
      <c r="J381" s="16"/>
      <c r="L381" s="16"/>
      <c r="N381" s="1"/>
      <c r="P381" s="16"/>
      <c r="R381" s="16"/>
      <c r="T381" s="1"/>
      <c r="V381" s="16"/>
      <c r="X381" s="16"/>
      <c r="Z381" s="1"/>
      <c r="AB381" s="16"/>
      <c r="AD381" s="16"/>
      <c r="AF381" s="1"/>
    </row>
    <row r="382" spans="1:32" s="62" customFormat="1" ht="15">
      <c r="A382" s="8"/>
      <c r="B382" s="8"/>
      <c r="C382" s="6"/>
      <c r="D382" s="8"/>
      <c r="E382" s="1"/>
      <c r="F382" s="1"/>
      <c r="H382" s="1"/>
      <c r="J382" s="16"/>
      <c r="L382" s="16"/>
      <c r="N382" s="1"/>
      <c r="P382" s="16"/>
      <c r="R382" s="16"/>
      <c r="T382" s="1"/>
      <c r="V382" s="16"/>
      <c r="X382" s="16"/>
      <c r="Z382" s="1"/>
      <c r="AB382" s="16"/>
      <c r="AD382" s="16"/>
      <c r="AF382" s="1"/>
    </row>
    <row r="383" spans="1:32" s="62" customFormat="1" ht="15">
      <c r="A383" s="8"/>
      <c r="B383" s="8"/>
      <c r="C383" s="8"/>
      <c r="D383" s="8"/>
      <c r="E383" s="1"/>
      <c r="F383" s="1"/>
      <c r="H383" s="1"/>
      <c r="J383" s="16"/>
      <c r="L383" s="16"/>
      <c r="N383" s="1"/>
      <c r="P383" s="16"/>
      <c r="R383" s="16"/>
      <c r="T383" s="1"/>
      <c r="V383" s="16"/>
      <c r="X383" s="16"/>
      <c r="Z383" s="1"/>
      <c r="AB383" s="16"/>
      <c r="AD383" s="16"/>
      <c r="AF383" s="1"/>
    </row>
    <row r="384" spans="1:32" s="62" customFormat="1" ht="15">
      <c r="A384" s="8"/>
      <c r="B384" s="40"/>
      <c r="C384" s="8"/>
      <c r="D384" s="8"/>
      <c r="E384" s="1"/>
      <c r="F384" s="1"/>
      <c r="H384" s="1"/>
      <c r="J384" s="16"/>
      <c r="L384" s="16"/>
      <c r="N384" s="1"/>
      <c r="P384" s="16"/>
      <c r="R384" s="16"/>
      <c r="T384" s="1"/>
      <c r="V384" s="16"/>
      <c r="X384" s="16"/>
      <c r="Z384" s="1"/>
      <c r="AB384" s="16"/>
      <c r="AD384" s="16"/>
      <c r="AF384" s="1"/>
    </row>
    <row r="385" spans="1:32" s="62" customFormat="1" ht="15">
      <c r="A385" s="8"/>
      <c r="B385" s="8"/>
      <c r="C385" s="8"/>
      <c r="D385" s="8"/>
      <c r="E385" s="1"/>
      <c r="F385" s="1"/>
      <c r="H385" s="1"/>
      <c r="J385" s="16"/>
      <c r="L385" s="16"/>
      <c r="N385" s="1"/>
      <c r="P385" s="16"/>
      <c r="R385" s="16"/>
      <c r="T385" s="1"/>
      <c r="V385" s="16"/>
      <c r="X385" s="16"/>
      <c r="Z385" s="1"/>
      <c r="AB385" s="16"/>
      <c r="AD385" s="16"/>
      <c r="AF385" s="1"/>
    </row>
    <row r="386" spans="1:32" s="62" customFormat="1" ht="15">
      <c r="A386" s="12"/>
      <c r="B386" s="12"/>
      <c r="C386" s="12"/>
      <c r="D386" s="12"/>
      <c r="E386" s="1"/>
      <c r="F386" s="1"/>
      <c r="H386" s="1"/>
      <c r="J386" s="16"/>
      <c r="L386" s="16"/>
      <c r="N386" s="1"/>
      <c r="P386" s="16"/>
      <c r="R386" s="16"/>
      <c r="T386" s="1"/>
      <c r="V386" s="16"/>
      <c r="X386" s="16"/>
      <c r="Z386" s="1"/>
      <c r="AB386" s="16"/>
      <c r="AD386" s="16"/>
      <c r="AF386" s="1"/>
    </row>
    <row r="387" spans="1:32" s="62" customFormat="1" ht="15">
      <c r="A387" s="7"/>
      <c r="B387" s="7"/>
      <c r="C387" s="7"/>
      <c r="D387" s="7"/>
      <c r="E387" s="1"/>
      <c r="F387" s="1"/>
      <c r="H387" s="1"/>
      <c r="J387" s="16"/>
      <c r="L387" s="16"/>
      <c r="N387" s="1"/>
      <c r="P387" s="16"/>
      <c r="R387" s="16"/>
      <c r="T387" s="1"/>
      <c r="V387" s="16"/>
      <c r="X387" s="16"/>
      <c r="Z387" s="1"/>
      <c r="AB387" s="16"/>
      <c r="AD387" s="16"/>
      <c r="AF387" s="1"/>
    </row>
    <row r="388" spans="1:32" s="62" customFormat="1" ht="15">
      <c r="A388" s="8"/>
      <c r="B388" s="8"/>
      <c r="C388" s="6"/>
      <c r="D388" s="8"/>
      <c r="E388" s="1"/>
      <c r="F388" s="1"/>
      <c r="H388" s="1"/>
      <c r="J388" s="16"/>
      <c r="L388" s="16"/>
      <c r="N388" s="1"/>
      <c r="P388" s="16"/>
      <c r="R388" s="16"/>
      <c r="T388" s="1"/>
      <c r="V388" s="16"/>
      <c r="X388" s="16"/>
      <c r="Z388" s="1"/>
      <c r="AB388" s="16"/>
      <c r="AD388" s="16"/>
      <c r="AF388" s="1"/>
    </row>
    <row r="389" spans="1:32" s="62" customFormat="1" ht="15">
      <c r="A389" s="8"/>
      <c r="B389" s="8"/>
      <c r="C389" s="8"/>
      <c r="D389" s="8"/>
      <c r="E389" s="1"/>
      <c r="F389" s="1"/>
      <c r="H389" s="1"/>
      <c r="J389" s="16"/>
      <c r="L389" s="16"/>
      <c r="N389" s="1"/>
      <c r="P389" s="16"/>
      <c r="R389" s="16"/>
      <c r="T389" s="1"/>
      <c r="V389" s="16"/>
      <c r="X389" s="16"/>
      <c r="Z389" s="1"/>
      <c r="AB389" s="16"/>
      <c r="AD389" s="16"/>
      <c r="AF389" s="1"/>
    </row>
    <row r="390" spans="1:32" s="62" customFormat="1" ht="15">
      <c r="A390" s="8"/>
      <c r="B390" s="40"/>
      <c r="C390" s="8"/>
      <c r="D390" s="8"/>
      <c r="E390" s="1"/>
      <c r="F390" s="1"/>
      <c r="H390" s="1"/>
      <c r="J390" s="16"/>
      <c r="L390" s="16"/>
      <c r="N390" s="1"/>
      <c r="P390" s="16"/>
      <c r="R390" s="16"/>
      <c r="T390" s="1"/>
      <c r="V390" s="16"/>
      <c r="X390" s="16"/>
      <c r="Z390" s="1"/>
      <c r="AB390" s="16"/>
      <c r="AD390" s="16"/>
      <c r="AF390" s="1"/>
    </row>
    <row r="391" spans="1:32" s="62" customFormat="1" ht="15">
      <c r="A391" s="1"/>
      <c r="B391" s="1"/>
      <c r="C391" s="1"/>
      <c r="D391" s="1"/>
      <c r="E391" s="1"/>
      <c r="F391" s="1"/>
      <c r="H391" s="1"/>
      <c r="J391" s="16"/>
      <c r="L391" s="16"/>
      <c r="N391" s="1"/>
      <c r="P391" s="16"/>
      <c r="R391" s="16"/>
      <c r="T391" s="1"/>
      <c r="V391" s="16"/>
      <c r="X391" s="16"/>
      <c r="Z391" s="1"/>
      <c r="AB391" s="16"/>
      <c r="AD391" s="16"/>
      <c r="AF391" s="1"/>
    </row>
    <row r="392" spans="1:32" s="62" customFormat="1" ht="15">
      <c r="A392" s="1"/>
      <c r="B392" s="1"/>
      <c r="C392" s="1"/>
      <c r="D392" s="1"/>
      <c r="E392" s="1"/>
      <c r="F392" s="1"/>
      <c r="H392" s="1"/>
      <c r="J392" s="16"/>
      <c r="L392" s="16"/>
      <c r="N392" s="1"/>
      <c r="P392" s="16"/>
      <c r="R392" s="16"/>
      <c r="T392" s="1"/>
      <c r="V392" s="16"/>
      <c r="X392" s="16"/>
      <c r="Z392" s="1"/>
      <c r="AB392" s="16"/>
      <c r="AD392" s="16"/>
      <c r="AF392" s="1"/>
    </row>
    <row r="393" spans="1:32" s="62" customFormat="1" ht="15">
      <c r="A393" s="1"/>
      <c r="B393" s="1"/>
      <c r="C393" s="1"/>
      <c r="D393" s="1"/>
      <c r="E393" s="1"/>
      <c r="F393" s="1"/>
      <c r="H393" s="1"/>
      <c r="J393" s="16"/>
      <c r="L393" s="16"/>
      <c r="N393" s="1"/>
      <c r="P393" s="16"/>
      <c r="R393" s="16"/>
      <c r="T393" s="1"/>
      <c r="V393" s="16"/>
      <c r="X393" s="16"/>
      <c r="Z393" s="1"/>
      <c r="AB393" s="16"/>
      <c r="AD393" s="16"/>
      <c r="AF393" s="1"/>
    </row>
    <row r="394" spans="1:32" s="62" customFormat="1" ht="15">
      <c r="A394" s="1"/>
      <c r="B394" s="1"/>
      <c r="C394" s="1"/>
      <c r="D394" s="1"/>
      <c r="E394" s="1"/>
      <c r="F394" s="1"/>
      <c r="H394" s="1"/>
      <c r="J394" s="16"/>
      <c r="L394" s="16"/>
      <c r="N394" s="1"/>
      <c r="P394" s="16"/>
      <c r="R394" s="16"/>
      <c r="T394" s="1"/>
      <c r="V394" s="16"/>
      <c r="X394" s="16"/>
      <c r="Z394" s="1"/>
      <c r="AB394" s="16"/>
      <c r="AD394" s="16"/>
      <c r="AF394" s="1"/>
    </row>
    <row r="395" spans="1:32" s="62" customFormat="1" ht="15">
      <c r="A395" s="1"/>
      <c r="B395" s="1"/>
      <c r="C395" s="1"/>
      <c r="D395" s="1"/>
      <c r="E395" s="1"/>
      <c r="F395" s="1"/>
      <c r="H395" s="1"/>
      <c r="J395" s="16"/>
      <c r="L395" s="16"/>
      <c r="N395" s="1"/>
      <c r="P395" s="16"/>
      <c r="R395" s="16"/>
      <c r="T395" s="1"/>
      <c r="V395" s="16"/>
      <c r="X395" s="16"/>
      <c r="Z395" s="1"/>
      <c r="AB395" s="16"/>
      <c r="AD395" s="16"/>
      <c r="AF395" s="1"/>
    </row>
    <row r="396" spans="1:32" s="62" customFormat="1" ht="15">
      <c r="A396" s="1"/>
      <c r="B396" s="1"/>
      <c r="C396" s="1"/>
      <c r="D396" s="1"/>
      <c r="E396" s="1"/>
      <c r="F396" s="1"/>
      <c r="H396" s="1"/>
      <c r="J396" s="16"/>
      <c r="L396" s="16"/>
      <c r="N396" s="1"/>
      <c r="P396" s="16"/>
      <c r="R396" s="16"/>
      <c r="T396" s="1"/>
      <c r="V396" s="16"/>
      <c r="X396" s="16"/>
      <c r="Z396" s="1"/>
      <c r="AB396" s="16"/>
      <c r="AD396" s="16"/>
      <c r="AF396" s="1"/>
    </row>
    <row r="397" spans="1:32" s="62" customFormat="1" ht="15">
      <c r="A397" s="1"/>
      <c r="B397" s="1"/>
      <c r="C397" s="1"/>
      <c r="D397" s="1"/>
      <c r="E397" s="1"/>
      <c r="F397" s="1"/>
      <c r="H397" s="1"/>
      <c r="J397" s="16"/>
      <c r="L397" s="16"/>
      <c r="N397" s="1"/>
      <c r="P397" s="16"/>
      <c r="R397" s="16"/>
      <c r="T397" s="1"/>
      <c r="V397" s="16"/>
      <c r="X397" s="16"/>
      <c r="Z397" s="1"/>
      <c r="AB397" s="16"/>
      <c r="AD397" s="16"/>
      <c r="AF397" s="1"/>
    </row>
    <row r="398" spans="1:32" s="62" customFormat="1" ht="15">
      <c r="A398" s="1"/>
      <c r="B398" s="1"/>
      <c r="C398" s="1"/>
      <c r="D398" s="1"/>
      <c r="E398" s="1"/>
      <c r="F398" s="1"/>
      <c r="H398" s="1"/>
      <c r="J398" s="16"/>
      <c r="L398" s="16"/>
      <c r="N398" s="1"/>
      <c r="P398" s="16"/>
      <c r="R398" s="16"/>
      <c r="T398" s="1"/>
      <c r="V398" s="16"/>
      <c r="X398" s="16"/>
      <c r="Z398" s="1"/>
      <c r="AB398" s="16"/>
      <c r="AD398" s="16"/>
      <c r="AF398" s="1"/>
    </row>
    <row r="399" spans="1:32" s="62" customFormat="1" ht="15">
      <c r="A399" s="1"/>
      <c r="B399" s="1"/>
      <c r="C399" s="1"/>
      <c r="D399" s="1"/>
      <c r="E399" s="1"/>
      <c r="F399" s="1"/>
      <c r="H399" s="1"/>
      <c r="J399" s="16"/>
      <c r="L399" s="16"/>
      <c r="N399" s="1"/>
      <c r="P399" s="16"/>
      <c r="R399" s="16"/>
      <c r="T399" s="1"/>
      <c r="V399" s="16"/>
      <c r="X399" s="16"/>
      <c r="Z399" s="1"/>
      <c r="AB399" s="16"/>
      <c r="AD399" s="16"/>
      <c r="AF399" s="1"/>
    </row>
    <row r="400" spans="1:32" s="62" customFormat="1" ht="15">
      <c r="A400" s="1"/>
      <c r="B400" s="1"/>
      <c r="C400" s="1"/>
      <c r="D400" s="1"/>
      <c r="E400" s="1"/>
      <c r="F400" s="1"/>
      <c r="H400" s="1"/>
      <c r="J400" s="16"/>
      <c r="L400" s="16"/>
      <c r="N400" s="1"/>
      <c r="P400" s="16"/>
      <c r="R400" s="16"/>
      <c r="T400" s="1"/>
      <c r="V400" s="16"/>
      <c r="X400" s="16"/>
      <c r="Z400" s="1"/>
      <c r="AB400" s="16"/>
      <c r="AD400" s="16"/>
      <c r="AF400" s="1"/>
    </row>
    <row r="401" spans="1:32" s="62" customFormat="1" ht="15">
      <c r="A401" s="1"/>
      <c r="B401" s="1"/>
      <c r="C401" s="1"/>
      <c r="D401" s="1"/>
      <c r="E401" s="1"/>
      <c r="F401" s="1"/>
      <c r="H401" s="1"/>
      <c r="J401" s="16"/>
      <c r="L401" s="16"/>
      <c r="N401" s="1"/>
      <c r="P401" s="16"/>
      <c r="R401" s="16"/>
      <c r="T401" s="1"/>
      <c r="V401" s="16"/>
      <c r="X401" s="16"/>
      <c r="Z401" s="1"/>
      <c r="AB401" s="16"/>
      <c r="AD401" s="16"/>
      <c r="AF401" s="1"/>
    </row>
    <row r="402" spans="1:32" s="62" customFormat="1" ht="15">
      <c r="A402" s="1"/>
      <c r="B402" s="1"/>
      <c r="C402" s="1"/>
      <c r="D402" s="1"/>
      <c r="E402" s="1"/>
      <c r="F402" s="1"/>
      <c r="H402" s="1"/>
      <c r="J402" s="16"/>
      <c r="L402" s="16"/>
      <c r="N402" s="1"/>
      <c r="P402" s="16"/>
      <c r="R402" s="16"/>
      <c r="T402" s="1"/>
      <c r="V402" s="16"/>
      <c r="X402" s="16"/>
      <c r="Z402" s="1"/>
      <c r="AB402" s="16"/>
      <c r="AD402" s="16"/>
      <c r="AF402" s="1"/>
    </row>
    <row r="403" spans="1:32" s="62" customFormat="1" ht="15">
      <c r="A403" s="1"/>
      <c r="B403" s="1"/>
      <c r="C403" s="1"/>
      <c r="D403" s="1"/>
      <c r="E403" s="1"/>
      <c r="F403" s="1"/>
      <c r="H403" s="1"/>
      <c r="J403" s="16"/>
      <c r="L403" s="16"/>
      <c r="N403" s="1"/>
      <c r="P403" s="16"/>
      <c r="R403" s="16"/>
      <c r="T403" s="1"/>
      <c r="V403" s="16"/>
      <c r="X403" s="16"/>
      <c r="Z403" s="1"/>
      <c r="AB403" s="16"/>
      <c r="AD403" s="16"/>
      <c r="AF403" s="1"/>
    </row>
    <row r="404" spans="1:32" s="62" customFormat="1" ht="15">
      <c r="A404" s="1"/>
      <c r="B404" s="1"/>
      <c r="C404" s="1"/>
      <c r="D404" s="1"/>
      <c r="E404" s="1"/>
      <c r="F404" s="1"/>
      <c r="H404" s="1"/>
      <c r="J404" s="16"/>
      <c r="L404" s="16"/>
      <c r="N404" s="1"/>
      <c r="P404" s="16"/>
      <c r="R404" s="16"/>
      <c r="T404" s="1"/>
      <c r="V404" s="16"/>
      <c r="X404" s="16"/>
      <c r="Z404" s="1"/>
      <c r="AB404" s="16"/>
      <c r="AD404" s="16"/>
      <c r="AF404" s="1"/>
    </row>
    <row r="405" spans="1:32" s="62" customFormat="1" ht="15">
      <c r="A405" s="1"/>
      <c r="B405" s="1"/>
      <c r="C405" s="1"/>
      <c r="D405" s="1"/>
      <c r="E405" s="1"/>
      <c r="F405" s="1"/>
      <c r="H405" s="1"/>
      <c r="J405" s="16"/>
      <c r="L405" s="16"/>
      <c r="N405" s="1"/>
      <c r="P405" s="16"/>
      <c r="R405" s="16"/>
      <c r="T405" s="1"/>
      <c r="V405" s="16"/>
      <c r="X405" s="16"/>
      <c r="Z405" s="1"/>
      <c r="AB405" s="16"/>
      <c r="AD405" s="16"/>
      <c r="AF405" s="1"/>
    </row>
    <row r="406" spans="1:32" s="62" customFormat="1" ht="15">
      <c r="A406" s="1"/>
      <c r="B406" s="1"/>
      <c r="C406" s="1"/>
      <c r="D406" s="1"/>
      <c r="E406" s="1"/>
      <c r="F406" s="1"/>
      <c r="H406" s="1"/>
      <c r="J406" s="16"/>
      <c r="L406" s="16"/>
      <c r="N406" s="1"/>
      <c r="P406" s="16"/>
      <c r="R406" s="16"/>
      <c r="T406" s="1"/>
      <c r="V406" s="16"/>
      <c r="X406" s="16"/>
      <c r="Z406" s="1"/>
      <c r="AB406" s="16"/>
      <c r="AD406" s="16"/>
      <c r="AF406" s="1"/>
    </row>
    <row r="407" spans="1:32" s="62" customFormat="1" ht="15">
      <c r="A407" s="1"/>
      <c r="B407" s="1"/>
      <c r="C407" s="1"/>
      <c r="D407" s="1"/>
      <c r="E407" s="1"/>
      <c r="F407" s="1"/>
      <c r="H407" s="1"/>
      <c r="J407" s="16"/>
      <c r="L407" s="16"/>
      <c r="N407" s="1"/>
      <c r="P407" s="16"/>
      <c r="R407" s="16"/>
      <c r="T407" s="1"/>
      <c r="V407" s="16"/>
      <c r="X407" s="16"/>
      <c r="Z407" s="1"/>
      <c r="AB407" s="16"/>
      <c r="AD407" s="16"/>
      <c r="AF407" s="1"/>
    </row>
    <row r="408" spans="1:32" s="62" customFormat="1" ht="15">
      <c r="A408" s="1"/>
      <c r="B408" s="1"/>
      <c r="C408" s="1"/>
      <c r="D408" s="1"/>
      <c r="E408" s="1"/>
      <c r="F408" s="1"/>
      <c r="H408" s="1"/>
      <c r="J408" s="16"/>
      <c r="L408" s="16"/>
      <c r="N408" s="1"/>
      <c r="P408" s="16"/>
      <c r="R408" s="16"/>
      <c r="T408" s="1"/>
      <c r="V408" s="16"/>
      <c r="X408" s="16"/>
      <c r="Z408" s="1"/>
      <c r="AB408" s="16"/>
      <c r="AD408" s="16"/>
      <c r="AF408" s="1"/>
    </row>
    <row r="409" spans="1:32" s="62" customFormat="1" ht="15">
      <c r="A409" s="1"/>
      <c r="B409" s="1"/>
      <c r="C409" s="1"/>
      <c r="D409" s="1"/>
      <c r="E409" s="1"/>
      <c r="F409" s="1"/>
      <c r="H409" s="1"/>
      <c r="J409" s="16"/>
      <c r="L409" s="16"/>
      <c r="N409" s="1"/>
      <c r="P409" s="16"/>
      <c r="R409" s="16"/>
      <c r="T409" s="1"/>
      <c r="V409" s="16"/>
      <c r="X409" s="16"/>
      <c r="Z409" s="1"/>
      <c r="AB409" s="16"/>
      <c r="AD409" s="16"/>
      <c r="AF409" s="1"/>
    </row>
    <row r="410" spans="1:32" s="62" customFormat="1" ht="15">
      <c r="A410" s="1"/>
      <c r="B410" s="1"/>
      <c r="C410" s="1"/>
      <c r="D410" s="1"/>
      <c r="E410" s="1"/>
      <c r="F410" s="1"/>
      <c r="H410" s="1"/>
      <c r="J410" s="16"/>
      <c r="L410" s="16"/>
      <c r="N410" s="1"/>
      <c r="P410" s="16"/>
      <c r="R410" s="16"/>
      <c r="T410" s="1"/>
      <c r="V410" s="16"/>
      <c r="X410" s="16"/>
      <c r="Z410" s="1"/>
      <c r="AB410" s="16"/>
      <c r="AD410" s="16"/>
      <c r="AF410" s="1"/>
    </row>
    <row r="411" spans="1:32" s="62" customFormat="1" ht="15">
      <c r="A411" s="1"/>
      <c r="B411" s="1"/>
      <c r="C411" s="1"/>
      <c r="D411" s="1"/>
      <c r="E411" s="1"/>
      <c r="F411" s="1"/>
      <c r="H411" s="1"/>
      <c r="J411" s="16"/>
      <c r="L411" s="16"/>
      <c r="N411" s="1"/>
      <c r="P411" s="16"/>
      <c r="R411" s="16"/>
      <c r="T411" s="1"/>
      <c r="V411" s="16"/>
      <c r="X411" s="16"/>
      <c r="Z411" s="1"/>
      <c r="AB411" s="16"/>
      <c r="AD411" s="16"/>
      <c r="AF411" s="1"/>
    </row>
    <row r="412" spans="1:32" s="62" customFormat="1" ht="15">
      <c r="A412" s="1"/>
      <c r="B412" s="1"/>
      <c r="C412" s="1"/>
      <c r="D412" s="1"/>
      <c r="E412" s="1"/>
      <c r="F412" s="1"/>
      <c r="H412" s="1"/>
      <c r="J412" s="16"/>
      <c r="L412" s="16"/>
      <c r="N412" s="1"/>
      <c r="P412" s="16"/>
      <c r="R412" s="16"/>
      <c r="T412" s="1"/>
      <c r="V412" s="16"/>
      <c r="X412" s="16"/>
      <c r="Z412" s="1"/>
      <c r="AB412" s="16"/>
      <c r="AD412" s="16"/>
      <c r="AF412" s="1"/>
    </row>
    <row r="413" spans="1:32" s="62" customFormat="1" ht="15">
      <c r="A413" s="1"/>
      <c r="B413" s="1"/>
      <c r="C413" s="1"/>
      <c r="D413" s="1"/>
      <c r="E413" s="1"/>
      <c r="F413" s="1"/>
      <c r="H413" s="1"/>
      <c r="J413" s="16"/>
      <c r="L413" s="16"/>
      <c r="N413" s="1"/>
      <c r="P413" s="16"/>
      <c r="R413" s="16"/>
      <c r="T413" s="1"/>
      <c r="V413" s="16"/>
      <c r="X413" s="16"/>
      <c r="Z413" s="1"/>
      <c r="AB413" s="16"/>
      <c r="AD413" s="16"/>
      <c r="AF413" s="1"/>
    </row>
    <row r="414" spans="1:32" s="62" customFormat="1" ht="15">
      <c r="A414" s="1"/>
      <c r="B414" s="1"/>
      <c r="C414" s="1"/>
      <c r="D414" s="1"/>
      <c r="E414" s="1"/>
      <c r="F414" s="1"/>
      <c r="H414" s="1"/>
      <c r="J414" s="16"/>
      <c r="L414" s="16"/>
      <c r="N414" s="1"/>
      <c r="P414" s="16"/>
      <c r="R414" s="16"/>
      <c r="T414" s="1"/>
      <c r="V414" s="16"/>
      <c r="X414" s="16"/>
      <c r="Z414" s="1"/>
      <c r="AB414" s="16"/>
      <c r="AD414" s="16"/>
      <c r="AF414" s="1"/>
    </row>
    <row r="415" spans="1:32" s="62" customFormat="1" ht="15">
      <c r="A415" s="1"/>
      <c r="B415" s="1"/>
      <c r="C415" s="1"/>
      <c r="D415" s="1"/>
      <c r="E415" s="1"/>
      <c r="F415" s="1"/>
      <c r="H415" s="1"/>
      <c r="J415" s="16"/>
      <c r="L415" s="16"/>
      <c r="N415" s="1"/>
      <c r="P415" s="16"/>
      <c r="R415" s="16"/>
      <c r="T415" s="1"/>
      <c r="V415" s="16"/>
      <c r="X415" s="16"/>
      <c r="Z415" s="1"/>
      <c r="AB415" s="16"/>
      <c r="AD415" s="16"/>
      <c r="AF415" s="1"/>
    </row>
    <row r="416" spans="1:32" s="62" customFormat="1" ht="15">
      <c r="A416" s="1"/>
      <c r="B416" s="1"/>
      <c r="C416" s="1"/>
      <c r="D416" s="1"/>
      <c r="E416" s="1"/>
      <c r="F416" s="1"/>
      <c r="H416" s="1"/>
      <c r="J416" s="16"/>
      <c r="L416" s="16"/>
      <c r="N416" s="1"/>
      <c r="P416" s="16"/>
      <c r="R416" s="16"/>
      <c r="T416" s="1"/>
      <c r="V416" s="16"/>
      <c r="X416" s="16"/>
      <c r="Z416" s="1"/>
      <c r="AB416" s="16"/>
      <c r="AD416" s="16"/>
      <c r="AF416" s="1"/>
    </row>
    <row r="417" spans="1:32" s="62" customFormat="1" ht="15">
      <c r="A417" s="1"/>
      <c r="B417" s="1"/>
      <c r="C417" s="1"/>
      <c r="D417" s="1"/>
      <c r="E417" s="1"/>
      <c r="F417" s="1"/>
      <c r="H417" s="1"/>
      <c r="J417" s="16"/>
      <c r="L417" s="16"/>
      <c r="N417" s="1"/>
      <c r="P417" s="16"/>
      <c r="R417" s="16"/>
      <c r="T417" s="1"/>
      <c r="V417" s="16"/>
      <c r="X417" s="16"/>
      <c r="Z417" s="1"/>
      <c r="AB417" s="16"/>
      <c r="AD417" s="16"/>
      <c r="AF417" s="1"/>
    </row>
    <row r="418" spans="1:32" s="62" customFormat="1" ht="15">
      <c r="A418" s="1"/>
      <c r="B418" s="1"/>
      <c r="C418" s="1"/>
      <c r="D418" s="1"/>
      <c r="E418" s="1"/>
      <c r="F418" s="1"/>
      <c r="H418" s="1"/>
      <c r="J418" s="16"/>
      <c r="L418" s="16"/>
      <c r="N418" s="1"/>
      <c r="P418" s="16"/>
      <c r="R418" s="16"/>
      <c r="T418" s="1"/>
      <c r="V418" s="16"/>
      <c r="X418" s="16"/>
      <c r="Z418" s="1"/>
      <c r="AB418" s="16"/>
      <c r="AD418" s="16"/>
      <c r="AF418" s="1"/>
    </row>
    <row r="419" spans="1:32" s="62" customFormat="1" ht="15">
      <c r="A419" s="1"/>
      <c r="B419" s="1"/>
      <c r="C419" s="1"/>
      <c r="D419" s="1"/>
      <c r="E419" s="1"/>
      <c r="F419" s="1"/>
      <c r="H419" s="1"/>
      <c r="J419" s="16"/>
      <c r="L419" s="16"/>
      <c r="N419" s="1"/>
      <c r="P419" s="16"/>
      <c r="R419" s="16"/>
      <c r="T419" s="1"/>
      <c r="V419" s="16"/>
      <c r="X419" s="16"/>
      <c r="Z419" s="1"/>
      <c r="AB419" s="16"/>
      <c r="AD419" s="16"/>
      <c r="AF419" s="1"/>
    </row>
    <row r="420" spans="1:32" s="62" customFormat="1" ht="15">
      <c r="A420" s="1"/>
      <c r="B420" s="1"/>
      <c r="C420" s="1"/>
      <c r="D420" s="1"/>
      <c r="E420" s="1"/>
      <c r="F420" s="1"/>
      <c r="H420" s="1"/>
      <c r="J420" s="16"/>
      <c r="L420" s="16"/>
      <c r="N420" s="1"/>
      <c r="P420" s="16"/>
      <c r="R420" s="16"/>
      <c r="T420" s="1"/>
      <c r="V420" s="16"/>
      <c r="X420" s="16"/>
      <c r="Z420" s="1"/>
      <c r="AB420" s="16"/>
      <c r="AD420" s="16"/>
      <c r="AF420" s="1"/>
    </row>
    <row r="421" spans="1:32" s="62" customFormat="1" ht="15">
      <c r="A421" s="1"/>
      <c r="B421" s="1"/>
      <c r="C421" s="1"/>
      <c r="D421" s="1"/>
      <c r="E421" s="1"/>
      <c r="F421" s="1"/>
      <c r="H421" s="1"/>
      <c r="J421" s="16"/>
      <c r="L421" s="16"/>
      <c r="N421" s="1"/>
      <c r="P421" s="16"/>
      <c r="R421" s="16"/>
      <c r="T421" s="1"/>
      <c r="V421" s="16"/>
      <c r="X421" s="16"/>
      <c r="Z421" s="1"/>
      <c r="AB421" s="16"/>
      <c r="AD421" s="16"/>
      <c r="AF421" s="1"/>
    </row>
    <row r="422" spans="1:32" s="62" customFormat="1" ht="15">
      <c r="A422" s="1"/>
      <c r="B422" s="1"/>
      <c r="C422" s="1"/>
      <c r="D422" s="1"/>
      <c r="E422" s="1"/>
      <c r="F422" s="1"/>
      <c r="H422" s="1"/>
      <c r="J422" s="16"/>
      <c r="L422" s="16"/>
      <c r="N422" s="1"/>
      <c r="P422" s="16"/>
      <c r="R422" s="16"/>
      <c r="T422" s="1"/>
      <c r="V422" s="16"/>
      <c r="X422" s="16"/>
      <c r="Z422" s="1"/>
      <c r="AB422" s="16"/>
      <c r="AD422" s="16"/>
      <c r="AF422" s="1"/>
    </row>
    <row r="423" spans="1:32" s="62" customFormat="1" ht="15">
      <c r="A423" s="1"/>
      <c r="B423" s="1"/>
      <c r="C423" s="1"/>
      <c r="D423" s="1"/>
      <c r="E423" s="1"/>
      <c r="F423" s="1"/>
      <c r="H423" s="1"/>
      <c r="J423" s="16"/>
      <c r="L423" s="16"/>
      <c r="N423" s="1"/>
      <c r="P423" s="16"/>
      <c r="R423" s="16"/>
      <c r="T423" s="1"/>
      <c r="V423" s="16"/>
      <c r="X423" s="16"/>
      <c r="Z423" s="1"/>
      <c r="AB423" s="16"/>
      <c r="AD423" s="16"/>
      <c r="AF423" s="1"/>
    </row>
    <row r="424" spans="1:32" s="62" customFormat="1" ht="15">
      <c r="A424" s="1"/>
      <c r="B424" s="1"/>
      <c r="C424" s="1"/>
      <c r="D424" s="1"/>
      <c r="E424" s="1"/>
      <c r="F424" s="1"/>
      <c r="H424" s="1"/>
      <c r="J424" s="16"/>
      <c r="L424" s="16"/>
      <c r="N424" s="1"/>
      <c r="P424" s="16"/>
      <c r="R424" s="16"/>
      <c r="T424" s="1"/>
      <c r="V424" s="16"/>
      <c r="X424" s="16"/>
      <c r="Z424" s="1"/>
      <c r="AB424" s="16"/>
      <c r="AD424" s="16"/>
      <c r="AF424" s="1"/>
    </row>
    <row r="425" spans="1:32" s="62" customFormat="1" ht="15">
      <c r="A425" s="1"/>
      <c r="B425" s="1"/>
      <c r="C425" s="1"/>
      <c r="D425" s="1"/>
      <c r="E425" s="1"/>
      <c r="F425" s="1"/>
      <c r="H425" s="1"/>
      <c r="J425" s="16"/>
      <c r="L425" s="16"/>
      <c r="N425" s="1"/>
      <c r="P425" s="16"/>
      <c r="R425" s="16"/>
      <c r="T425" s="1"/>
      <c r="V425" s="16"/>
      <c r="X425" s="16"/>
      <c r="Z425" s="1"/>
      <c r="AB425" s="16"/>
      <c r="AD425" s="16"/>
      <c r="AF425" s="1"/>
    </row>
    <row r="426" spans="1:32" s="62" customFormat="1" ht="15">
      <c r="A426" s="1"/>
      <c r="B426" s="1"/>
      <c r="C426" s="1"/>
      <c r="D426" s="1"/>
      <c r="E426" s="1"/>
      <c r="F426" s="1"/>
      <c r="H426" s="1"/>
      <c r="J426" s="16"/>
      <c r="L426" s="16"/>
      <c r="N426" s="1"/>
      <c r="P426" s="16"/>
      <c r="R426" s="16"/>
      <c r="T426" s="1"/>
      <c r="V426" s="16"/>
      <c r="X426" s="16"/>
      <c r="Z426" s="1"/>
      <c r="AB426" s="16"/>
      <c r="AD426" s="16"/>
      <c r="AF426" s="1"/>
    </row>
    <row r="427" spans="1:32" s="62" customFormat="1" ht="15">
      <c r="A427" s="1"/>
      <c r="B427" s="1"/>
      <c r="C427" s="1"/>
      <c r="D427" s="1"/>
      <c r="E427" s="1"/>
      <c r="F427" s="1"/>
      <c r="H427" s="1"/>
      <c r="J427" s="16"/>
      <c r="L427" s="16"/>
      <c r="N427" s="1"/>
      <c r="P427" s="16"/>
      <c r="R427" s="16"/>
      <c r="T427" s="1"/>
      <c r="V427" s="16"/>
      <c r="X427" s="16"/>
      <c r="Z427" s="1"/>
      <c r="AB427" s="16"/>
      <c r="AD427" s="16"/>
      <c r="AF427" s="1"/>
    </row>
    <row r="428" spans="1:32" s="62" customFormat="1" ht="15">
      <c r="A428" s="1"/>
      <c r="B428" s="1"/>
      <c r="C428" s="1"/>
      <c r="D428" s="1"/>
      <c r="E428" s="1"/>
      <c r="F428" s="1"/>
      <c r="H428" s="1"/>
      <c r="J428" s="16"/>
      <c r="L428" s="16"/>
      <c r="N428" s="1"/>
      <c r="P428" s="16"/>
      <c r="R428" s="16"/>
      <c r="T428" s="1"/>
      <c r="V428" s="16"/>
      <c r="X428" s="16"/>
      <c r="Z428" s="1"/>
      <c r="AB428" s="16"/>
      <c r="AD428" s="16"/>
      <c r="AF428" s="1"/>
    </row>
    <row r="429" spans="1:32" s="62" customFormat="1" ht="15">
      <c r="A429" s="1"/>
      <c r="B429" s="1"/>
      <c r="C429" s="1"/>
      <c r="D429" s="1"/>
      <c r="E429" s="1"/>
      <c r="F429" s="1"/>
      <c r="H429" s="1"/>
      <c r="J429" s="16"/>
      <c r="L429" s="16"/>
      <c r="N429" s="1"/>
      <c r="P429" s="16"/>
      <c r="R429" s="16"/>
      <c r="T429" s="1"/>
      <c r="V429" s="16"/>
      <c r="X429" s="16"/>
      <c r="Z429" s="1"/>
      <c r="AB429" s="16"/>
      <c r="AD429" s="16"/>
      <c r="AF429" s="1"/>
    </row>
    <row r="430" spans="1:32" s="62" customFormat="1" ht="15">
      <c r="A430" s="1"/>
      <c r="B430" s="1"/>
      <c r="C430" s="1"/>
      <c r="D430" s="1"/>
      <c r="E430" s="1"/>
      <c r="F430" s="1"/>
      <c r="H430" s="1"/>
      <c r="J430" s="16"/>
      <c r="L430" s="16"/>
      <c r="N430" s="1"/>
      <c r="P430" s="16"/>
      <c r="R430" s="16"/>
      <c r="T430" s="1"/>
      <c r="V430" s="16"/>
      <c r="X430" s="16"/>
      <c r="Z430" s="1"/>
      <c r="AB430" s="16"/>
      <c r="AD430" s="16"/>
      <c r="AF430" s="1"/>
    </row>
    <row r="431" spans="1:32" s="62" customFormat="1" ht="15">
      <c r="A431" s="1"/>
      <c r="B431" s="1"/>
      <c r="C431" s="1"/>
      <c r="D431" s="1"/>
      <c r="E431" s="1"/>
      <c r="F431" s="1"/>
      <c r="H431" s="1"/>
      <c r="J431" s="16"/>
      <c r="L431" s="16"/>
      <c r="N431" s="1"/>
      <c r="P431" s="16"/>
      <c r="R431" s="16"/>
      <c r="T431" s="1"/>
      <c r="V431" s="16"/>
      <c r="X431" s="16"/>
      <c r="Z431" s="1"/>
      <c r="AB431" s="16"/>
      <c r="AD431" s="16"/>
      <c r="AF431" s="1"/>
    </row>
    <row r="432" spans="1:32" s="62" customFormat="1" ht="15">
      <c r="A432" s="1"/>
      <c r="B432" s="1"/>
      <c r="C432" s="1"/>
      <c r="D432" s="1"/>
      <c r="E432" s="1"/>
      <c r="F432" s="1"/>
      <c r="H432" s="1"/>
      <c r="J432" s="16"/>
      <c r="L432" s="16"/>
      <c r="N432" s="1"/>
      <c r="P432" s="16"/>
      <c r="R432" s="16"/>
      <c r="T432" s="1"/>
      <c r="V432" s="16"/>
      <c r="X432" s="16"/>
      <c r="Z432" s="1"/>
      <c r="AB432" s="16"/>
      <c r="AD432" s="16"/>
      <c r="AF432" s="1"/>
    </row>
    <row r="433" spans="1:32" s="62" customFormat="1" ht="15">
      <c r="A433" s="1"/>
      <c r="B433" s="1"/>
      <c r="C433" s="1"/>
      <c r="D433" s="1"/>
      <c r="E433" s="1"/>
      <c r="F433" s="1"/>
      <c r="H433" s="1"/>
      <c r="J433" s="16"/>
      <c r="L433" s="16"/>
      <c r="N433" s="1"/>
      <c r="P433" s="16"/>
      <c r="R433" s="16"/>
      <c r="T433" s="1"/>
      <c r="V433" s="16"/>
      <c r="X433" s="16"/>
      <c r="Z433" s="1"/>
      <c r="AB433" s="16"/>
      <c r="AD433" s="16"/>
      <c r="AF433" s="1"/>
    </row>
    <row r="434" spans="1:32" s="62" customFormat="1" ht="15">
      <c r="A434" s="1"/>
      <c r="B434" s="1"/>
      <c r="C434" s="1"/>
      <c r="D434" s="1"/>
      <c r="E434" s="1"/>
      <c r="F434" s="1"/>
      <c r="H434" s="1"/>
      <c r="J434" s="16"/>
      <c r="L434" s="16"/>
      <c r="N434" s="1"/>
      <c r="P434" s="16"/>
      <c r="R434" s="16"/>
      <c r="T434" s="1"/>
      <c r="V434" s="16"/>
      <c r="X434" s="16"/>
      <c r="Z434" s="1"/>
      <c r="AB434" s="16"/>
      <c r="AD434" s="16"/>
      <c r="AF434" s="1"/>
    </row>
    <row r="435" spans="1:32" s="62" customFormat="1" ht="15">
      <c r="A435" s="1"/>
      <c r="B435" s="1"/>
      <c r="C435" s="1"/>
      <c r="D435" s="1"/>
      <c r="E435" s="1"/>
      <c r="F435" s="1"/>
      <c r="H435" s="1"/>
      <c r="J435" s="16"/>
      <c r="L435" s="16"/>
      <c r="N435" s="1"/>
      <c r="P435" s="16"/>
      <c r="R435" s="16"/>
      <c r="T435" s="1"/>
      <c r="V435" s="16"/>
      <c r="X435" s="16"/>
      <c r="Z435" s="1"/>
      <c r="AB435" s="16"/>
      <c r="AD435" s="16"/>
      <c r="AF435" s="1"/>
    </row>
    <row r="436" spans="1:32" s="62" customFormat="1" ht="15">
      <c r="A436" s="1"/>
      <c r="B436" s="1"/>
      <c r="C436" s="1"/>
      <c r="D436" s="1"/>
      <c r="E436" s="1"/>
      <c r="F436" s="1"/>
      <c r="H436" s="1"/>
      <c r="J436" s="16"/>
      <c r="L436" s="16"/>
      <c r="N436" s="1"/>
      <c r="P436" s="16"/>
      <c r="R436" s="16"/>
      <c r="T436" s="1"/>
      <c r="V436" s="16"/>
      <c r="X436" s="16"/>
      <c r="Z436" s="1"/>
      <c r="AB436" s="16"/>
      <c r="AD436" s="16"/>
      <c r="AF436" s="1"/>
    </row>
    <row r="437" spans="1:32" s="62" customFormat="1" ht="15">
      <c r="A437" s="1"/>
      <c r="B437" s="1"/>
      <c r="C437" s="1"/>
      <c r="D437" s="1"/>
      <c r="E437" s="1"/>
      <c r="F437" s="1"/>
      <c r="H437" s="1"/>
      <c r="J437" s="16"/>
      <c r="L437" s="16"/>
      <c r="N437" s="1"/>
      <c r="P437" s="16"/>
      <c r="R437" s="16"/>
      <c r="T437" s="1"/>
      <c r="V437" s="16"/>
      <c r="X437" s="16"/>
      <c r="Z437" s="1"/>
      <c r="AB437" s="16"/>
      <c r="AD437" s="16"/>
      <c r="AF437" s="1"/>
    </row>
    <row r="438" spans="1:32" s="62" customFormat="1" ht="15">
      <c r="A438" s="1"/>
      <c r="B438" s="1"/>
      <c r="C438" s="1"/>
      <c r="D438" s="1"/>
      <c r="E438" s="1"/>
      <c r="F438" s="1"/>
      <c r="H438" s="1"/>
      <c r="J438" s="16"/>
      <c r="L438" s="16"/>
      <c r="N438" s="1"/>
      <c r="P438" s="16"/>
      <c r="R438" s="16"/>
      <c r="T438" s="1"/>
      <c r="V438" s="16"/>
      <c r="X438" s="16"/>
      <c r="Z438" s="1"/>
      <c r="AB438" s="16"/>
      <c r="AD438" s="16"/>
      <c r="AF438" s="1"/>
    </row>
    <row r="439" spans="1:32" s="62" customFormat="1" ht="15">
      <c r="A439" s="1"/>
      <c r="B439" s="1"/>
      <c r="C439" s="1"/>
      <c r="D439" s="1"/>
      <c r="E439" s="1"/>
      <c r="F439" s="1"/>
      <c r="H439" s="1"/>
      <c r="J439" s="16"/>
      <c r="L439" s="16"/>
      <c r="N439" s="1"/>
      <c r="P439" s="16"/>
      <c r="R439" s="16"/>
      <c r="T439" s="1"/>
      <c r="V439" s="16"/>
      <c r="X439" s="16"/>
      <c r="Z439" s="1"/>
      <c r="AB439" s="16"/>
      <c r="AD439" s="16"/>
      <c r="AF439" s="1"/>
    </row>
    <row r="440" spans="1:32" s="62" customFormat="1" ht="15">
      <c r="A440" s="1"/>
      <c r="B440" s="1"/>
      <c r="C440" s="1"/>
      <c r="D440" s="1"/>
      <c r="E440" s="1"/>
      <c r="F440" s="1"/>
      <c r="H440" s="1"/>
      <c r="J440" s="16"/>
      <c r="L440" s="16"/>
      <c r="N440" s="1"/>
      <c r="P440" s="16"/>
      <c r="R440" s="16"/>
      <c r="T440" s="1"/>
      <c r="V440" s="16"/>
      <c r="X440" s="16"/>
      <c r="Z440" s="1"/>
      <c r="AB440" s="16"/>
      <c r="AD440" s="16"/>
      <c r="AF440" s="1"/>
    </row>
    <row r="441" spans="1:32" s="62" customFormat="1" ht="15">
      <c r="A441" s="1"/>
      <c r="B441" s="1"/>
      <c r="C441" s="1"/>
      <c r="D441" s="1"/>
      <c r="E441" s="1"/>
      <c r="F441" s="1"/>
      <c r="H441" s="1"/>
      <c r="J441" s="16"/>
      <c r="L441" s="16"/>
      <c r="N441" s="1"/>
      <c r="P441" s="16"/>
      <c r="R441" s="16"/>
      <c r="T441" s="1"/>
      <c r="V441" s="16"/>
      <c r="X441" s="16"/>
      <c r="Z441" s="1"/>
      <c r="AB441" s="16"/>
      <c r="AD441" s="16"/>
      <c r="AF441" s="1"/>
    </row>
    <row r="442" spans="1:32" s="62" customFormat="1" ht="15">
      <c r="A442" s="1"/>
      <c r="B442" s="1"/>
      <c r="C442" s="1"/>
      <c r="D442" s="1"/>
      <c r="E442" s="1"/>
      <c r="F442" s="1"/>
      <c r="H442" s="1"/>
      <c r="J442" s="16"/>
      <c r="L442" s="16"/>
      <c r="N442" s="1"/>
      <c r="P442" s="16"/>
      <c r="R442" s="16"/>
      <c r="T442" s="1"/>
      <c r="V442" s="16"/>
      <c r="X442" s="16"/>
      <c r="Z442" s="1"/>
      <c r="AB442" s="16"/>
      <c r="AD442" s="16"/>
      <c r="AF442" s="1"/>
    </row>
    <row r="443" spans="1:32" s="62" customFormat="1" ht="15">
      <c r="A443" s="1"/>
      <c r="B443" s="1"/>
      <c r="C443" s="1"/>
      <c r="D443" s="1"/>
      <c r="E443" s="1"/>
      <c r="F443" s="1"/>
      <c r="H443" s="1"/>
      <c r="J443" s="16"/>
      <c r="L443" s="16"/>
      <c r="N443" s="1"/>
      <c r="P443" s="16"/>
      <c r="R443" s="16"/>
      <c r="T443" s="1"/>
      <c r="V443" s="16"/>
      <c r="X443" s="16"/>
      <c r="Z443" s="1"/>
      <c r="AB443" s="16"/>
      <c r="AD443" s="16"/>
      <c r="AF443" s="1"/>
    </row>
    <row r="444" spans="1:32" s="62" customFormat="1" ht="15">
      <c r="A444" s="1"/>
      <c r="B444" s="1"/>
      <c r="C444" s="1"/>
      <c r="D444" s="1"/>
      <c r="E444" s="1"/>
      <c r="F444" s="1"/>
      <c r="H444" s="1"/>
      <c r="J444" s="16"/>
      <c r="L444" s="16"/>
      <c r="N444" s="1"/>
      <c r="P444" s="16"/>
      <c r="R444" s="16"/>
      <c r="T444" s="1"/>
      <c r="V444" s="16"/>
      <c r="X444" s="16"/>
      <c r="Z444" s="1"/>
      <c r="AB444" s="16"/>
      <c r="AD444" s="16"/>
      <c r="AF444" s="1"/>
    </row>
    <row r="445" spans="1:32" s="62" customFormat="1" ht="15">
      <c r="A445" s="1"/>
      <c r="B445" s="1"/>
      <c r="C445" s="1"/>
      <c r="D445" s="1"/>
      <c r="E445" s="1"/>
      <c r="F445" s="1"/>
      <c r="H445" s="1"/>
      <c r="J445" s="16"/>
      <c r="L445" s="16"/>
      <c r="N445" s="1"/>
      <c r="P445" s="16"/>
      <c r="R445" s="16"/>
      <c r="T445" s="1"/>
      <c r="V445" s="16"/>
      <c r="X445" s="16"/>
      <c r="Z445" s="1"/>
      <c r="AB445" s="16"/>
      <c r="AD445" s="16"/>
      <c r="AF445" s="1"/>
    </row>
    <row r="446" spans="1:32" s="62" customFormat="1" ht="15">
      <c r="A446" s="1"/>
      <c r="B446" s="1"/>
      <c r="C446" s="1"/>
      <c r="D446" s="1"/>
      <c r="E446" s="1"/>
      <c r="F446" s="1"/>
      <c r="H446" s="1"/>
      <c r="J446" s="16"/>
      <c r="L446" s="16"/>
      <c r="N446" s="1"/>
      <c r="P446" s="16"/>
      <c r="R446" s="16"/>
      <c r="T446" s="1"/>
      <c r="V446" s="16"/>
      <c r="X446" s="16"/>
      <c r="Z446" s="1"/>
      <c r="AB446" s="16"/>
      <c r="AD446" s="16"/>
      <c r="AF446" s="1"/>
    </row>
    <row r="447" spans="1:32" s="62" customFormat="1" ht="15">
      <c r="A447" s="1"/>
      <c r="B447" s="1"/>
      <c r="C447" s="1"/>
      <c r="D447" s="1"/>
      <c r="E447" s="1"/>
      <c r="F447" s="1"/>
      <c r="H447" s="1"/>
      <c r="J447" s="16"/>
      <c r="L447" s="16"/>
      <c r="N447" s="1"/>
      <c r="P447" s="16"/>
      <c r="R447" s="16"/>
      <c r="T447" s="1"/>
      <c r="V447" s="16"/>
      <c r="X447" s="16"/>
      <c r="Z447" s="1"/>
      <c r="AB447" s="16"/>
      <c r="AD447" s="16"/>
      <c r="AF447" s="1"/>
    </row>
    <row r="448" spans="1:32" s="62" customFormat="1" ht="15">
      <c r="A448" s="1"/>
      <c r="B448" s="1"/>
      <c r="C448" s="1"/>
      <c r="D448" s="1"/>
      <c r="E448" s="1"/>
      <c r="F448" s="1"/>
      <c r="H448" s="1"/>
      <c r="J448" s="16"/>
      <c r="L448" s="16"/>
      <c r="N448" s="1"/>
      <c r="P448" s="16"/>
      <c r="R448" s="16"/>
      <c r="T448" s="1"/>
      <c r="V448" s="16"/>
      <c r="X448" s="16"/>
      <c r="Z448" s="1"/>
      <c r="AB448" s="16"/>
      <c r="AD448" s="16"/>
      <c r="AF448" s="1"/>
    </row>
    <row r="449" spans="1:32" s="62" customFormat="1" ht="15">
      <c r="A449" s="1"/>
      <c r="B449" s="1"/>
      <c r="C449" s="1"/>
      <c r="D449" s="1"/>
      <c r="E449" s="1"/>
      <c r="F449" s="1"/>
      <c r="H449" s="1"/>
      <c r="J449" s="16"/>
      <c r="L449" s="16"/>
      <c r="N449" s="1"/>
      <c r="P449" s="16"/>
      <c r="R449" s="16"/>
      <c r="T449" s="1"/>
      <c r="V449" s="16"/>
      <c r="X449" s="16"/>
      <c r="Z449" s="1"/>
      <c r="AB449" s="16"/>
      <c r="AD449" s="16"/>
      <c r="AF449" s="1"/>
    </row>
    <row r="450" spans="1:32" s="62" customFormat="1" ht="15">
      <c r="A450" s="1"/>
      <c r="B450" s="1"/>
      <c r="C450" s="1"/>
      <c r="D450" s="1"/>
      <c r="E450" s="1"/>
      <c r="F450" s="1"/>
      <c r="H450" s="1"/>
      <c r="J450" s="16"/>
      <c r="L450" s="16"/>
      <c r="N450" s="1"/>
      <c r="P450" s="16"/>
      <c r="R450" s="16"/>
      <c r="T450" s="1"/>
      <c r="V450" s="16"/>
      <c r="X450" s="16"/>
      <c r="Z450" s="1"/>
      <c r="AB450" s="16"/>
      <c r="AD450" s="16"/>
      <c r="AF450" s="1"/>
    </row>
    <row r="451" spans="1:32" s="62" customFormat="1" ht="15">
      <c r="A451" s="1"/>
      <c r="B451" s="1"/>
      <c r="C451" s="1"/>
      <c r="D451" s="1"/>
      <c r="E451" s="1"/>
      <c r="F451" s="1"/>
      <c r="H451" s="1"/>
      <c r="J451" s="16"/>
      <c r="L451" s="16"/>
      <c r="N451" s="1"/>
      <c r="P451" s="16"/>
      <c r="R451" s="16"/>
      <c r="T451" s="1"/>
      <c r="V451" s="16"/>
      <c r="X451" s="16"/>
      <c r="Z451" s="1"/>
      <c r="AB451" s="16"/>
      <c r="AD451" s="16"/>
      <c r="AF451" s="1"/>
    </row>
    <row r="452" spans="1:32" s="62" customFormat="1" ht="15">
      <c r="A452" s="1"/>
      <c r="B452" s="1"/>
      <c r="C452" s="1"/>
      <c r="D452" s="1"/>
      <c r="E452" s="1"/>
      <c r="F452" s="1"/>
      <c r="H452" s="1"/>
      <c r="J452" s="16"/>
      <c r="L452" s="16"/>
      <c r="N452" s="1"/>
      <c r="P452" s="16"/>
      <c r="R452" s="16"/>
      <c r="T452" s="1"/>
      <c r="V452" s="16"/>
      <c r="X452" s="16"/>
      <c r="Z452" s="1"/>
      <c r="AB452" s="16"/>
      <c r="AD452" s="16"/>
      <c r="AF452" s="1"/>
    </row>
    <row r="453" spans="1:32" s="62" customFormat="1" ht="15">
      <c r="A453" s="1"/>
      <c r="B453" s="1"/>
      <c r="C453" s="1"/>
      <c r="D453" s="1"/>
      <c r="E453" s="1"/>
      <c r="F453" s="1"/>
      <c r="H453" s="1"/>
      <c r="J453" s="16"/>
      <c r="L453" s="16"/>
      <c r="N453" s="1"/>
      <c r="P453" s="16"/>
      <c r="R453" s="16"/>
      <c r="T453" s="1"/>
      <c r="V453" s="16"/>
      <c r="X453" s="16"/>
      <c r="Z453" s="1"/>
      <c r="AB453" s="16"/>
      <c r="AD453" s="16"/>
      <c r="AF453" s="1"/>
    </row>
    <row r="454" spans="1:32" s="62" customFormat="1" ht="15">
      <c r="A454" s="1"/>
      <c r="B454" s="1"/>
      <c r="C454" s="1"/>
      <c r="D454" s="1"/>
      <c r="E454" s="1"/>
      <c r="F454" s="1"/>
      <c r="H454" s="1"/>
      <c r="J454" s="16"/>
      <c r="L454" s="16"/>
      <c r="N454" s="1"/>
      <c r="P454" s="16"/>
      <c r="R454" s="16"/>
      <c r="T454" s="1"/>
      <c r="V454" s="16"/>
      <c r="X454" s="16"/>
      <c r="Z454" s="1"/>
      <c r="AB454" s="16"/>
      <c r="AD454" s="16"/>
      <c r="AF454" s="1"/>
    </row>
    <row r="455" spans="1:32" s="62" customFormat="1" ht="15">
      <c r="A455" s="1"/>
      <c r="B455" s="1"/>
      <c r="C455" s="1"/>
      <c r="D455" s="1"/>
      <c r="E455" s="1"/>
      <c r="F455" s="1"/>
      <c r="H455" s="1"/>
      <c r="J455" s="16"/>
      <c r="L455" s="16"/>
      <c r="N455" s="1"/>
      <c r="P455" s="16"/>
      <c r="R455" s="16"/>
      <c r="T455" s="1"/>
      <c r="V455" s="16"/>
      <c r="X455" s="16"/>
      <c r="Z455" s="1"/>
      <c r="AB455" s="16"/>
      <c r="AD455" s="16"/>
      <c r="AF455" s="1"/>
    </row>
    <row r="456" spans="1:32" s="62" customFormat="1" ht="15">
      <c r="A456" s="1"/>
      <c r="B456" s="1"/>
      <c r="C456" s="1"/>
      <c r="D456" s="1"/>
      <c r="E456" s="1"/>
      <c r="F456" s="1"/>
      <c r="H456" s="1"/>
      <c r="J456" s="16"/>
      <c r="L456" s="16"/>
      <c r="N456" s="1"/>
      <c r="P456" s="16"/>
      <c r="R456" s="16"/>
      <c r="T456" s="1"/>
      <c r="V456" s="16"/>
      <c r="X456" s="16"/>
      <c r="Z456" s="1"/>
      <c r="AB456" s="16"/>
      <c r="AD456" s="16"/>
      <c r="AF456" s="1"/>
    </row>
    <row r="457" spans="1:32" s="62" customFormat="1" ht="15">
      <c r="A457" s="1"/>
      <c r="B457" s="1"/>
      <c r="C457" s="1"/>
      <c r="D457" s="1"/>
      <c r="E457" s="1"/>
      <c r="F457" s="1"/>
      <c r="H457" s="1"/>
      <c r="J457" s="16"/>
      <c r="L457" s="16"/>
      <c r="N457" s="1"/>
      <c r="P457" s="16"/>
      <c r="R457" s="16"/>
      <c r="T457" s="1"/>
      <c r="V457" s="16"/>
      <c r="X457" s="16"/>
      <c r="Z457" s="1"/>
      <c r="AB457" s="16"/>
      <c r="AD457" s="16"/>
      <c r="AF457" s="1"/>
    </row>
    <row r="458" spans="1:32" s="62" customFormat="1" ht="15">
      <c r="A458" s="1"/>
      <c r="B458" s="1"/>
      <c r="C458" s="1"/>
      <c r="D458" s="1"/>
      <c r="E458" s="1"/>
      <c r="F458" s="1"/>
      <c r="H458" s="1"/>
      <c r="J458" s="16"/>
      <c r="L458" s="16"/>
      <c r="N458" s="1"/>
      <c r="P458" s="16"/>
      <c r="R458" s="16"/>
      <c r="T458" s="1"/>
      <c r="V458" s="16"/>
      <c r="X458" s="16"/>
      <c r="Z458" s="1"/>
      <c r="AB458" s="16"/>
      <c r="AD458" s="16"/>
      <c r="AF458" s="1"/>
    </row>
    <row r="459" spans="1:32" s="62" customFormat="1" ht="15">
      <c r="A459" s="1"/>
      <c r="B459" s="1"/>
      <c r="C459" s="1"/>
      <c r="D459" s="1"/>
      <c r="E459" s="1"/>
      <c r="F459" s="1"/>
      <c r="H459" s="1"/>
      <c r="J459" s="16"/>
      <c r="L459" s="16"/>
      <c r="N459" s="1"/>
      <c r="P459" s="16"/>
      <c r="R459" s="16"/>
      <c r="T459" s="1"/>
      <c r="V459" s="16"/>
      <c r="X459" s="16"/>
      <c r="Z459" s="1"/>
      <c r="AB459" s="16"/>
      <c r="AD459" s="16"/>
      <c r="AF459" s="1"/>
    </row>
    <row r="460" spans="1:32" s="62" customFormat="1" ht="15">
      <c r="A460" s="1"/>
      <c r="B460" s="1"/>
      <c r="C460" s="1"/>
      <c r="D460" s="1"/>
      <c r="E460" s="1"/>
      <c r="F460" s="1"/>
      <c r="H460" s="1"/>
      <c r="J460" s="16"/>
      <c r="L460" s="16"/>
      <c r="N460" s="1"/>
      <c r="P460" s="16"/>
      <c r="R460" s="16"/>
      <c r="T460" s="1"/>
      <c r="V460" s="16"/>
      <c r="X460" s="16"/>
      <c r="Z460" s="1"/>
      <c r="AB460" s="16"/>
      <c r="AD460" s="16"/>
      <c r="AF460" s="1"/>
    </row>
    <row r="461" spans="1:32" s="62" customFormat="1" ht="15">
      <c r="A461" s="1"/>
      <c r="B461" s="1"/>
      <c r="C461" s="1"/>
      <c r="D461" s="1"/>
      <c r="E461" s="1"/>
      <c r="F461" s="1"/>
      <c r="H461" s="1"/>
      <c r="J461" s="16"/>
      <c r="L461" s="16"/>
      <c r="N461" s="1"/>
      <c r="P461" s="16"/>
      <c r="R461" s="16"/>
      <c r="T461" s="1"/>
      <c r="V461" s="16"/>
      <c r="X461" s="16"/>
      <c r="Z461" s="1"/>
      <c r="AB461" s="16"/>
      <c r="AD461" s="16"/>
      <c r="AF461" s="1"/>
    </row>
    <row r="462" spans="1:32" s="62" customFormat="1" ht="15">
      <c r="A462" s="1"/>
      <c r="B462" s="1"/>
      <c r="C462" s="1"/>
      <c r="D462" s="1"/>
      <c r="E462" s="1"/>
      <c r="F462" s="1"/>
      <c r="H462" s="1"/>
      <c r="J462" s="16"/>
      <c r="L462" s="16"/>
      <c r="N462" s="1"/>
      <c r="P462" s="16"/>
      <c r="R462" s="16"/>
      <c r="T462" s="1"/>
      <c r="V462" s="16"/>
      <c r="X462" s="16"/>
      <c r="Z462" s="1"/>
      <c r="AB462" s="16"/>
      <c r="AD462" s="16"/>
      <c r="AF462" s="1"/>
    </row>
    <row r="463" spans="1:32" s="62" customFormat="1" ht="15">
      <c r="A463" s="1"/>
      <c r="B463" s="1"/>
      <c r="C463" s="1"/>
      <c r="D463" s="1"/>
      <c r="E463" s="1"/>
      <c r="F463" s="1"/>
      <c r="H463" s="1"/>
      <c r="J463" s="16"/>
      <c r="L463" s="16"/>
      <c r="N463" s="1"/>
      <c r="P463" s="16"/>
      <c r="R463" s="16"/>
      <c r="T463" s="1"/>
      <c r="V463" s="16"/>
      <c r="X463" s="16"/>
      <c r="Z463" s="1"/>
      <c r="AB463" s="16"/>
      <c r="AD463" s="16"/>
      <c r="AF463" s="1"/>
    </row>
    <row r="464" spans="1:32" s="62" customFormat="1" ht="15">
      <c r="A464" s="1"/>
      <c r="B464" s="1"/>
      <c r="C464" s="1"/>
      <c r="D464" s="1"/>
      <c r="E464" s="1"/>
      <c r="F464" s="1"/>
      <c r="H464" s="1"/>
      <c r="J464" s="16"/>
      <c r="L464" s="16"/>
      <c r="N464" s="1"/>
      <c r="P464" s="16"/>
      <c r="R464" s="16"/>
      <c r="T464" s="1"/>
      <c r="V464" s="16"/>
      <c r="X464" s="16"/>
      <c r="Z464" s="1"/>
      <c r="AB464" s="16"/>
      <c r="AD464" s="16"/>
      <c r="AF464" s="1"/>
    </row>
    <row r="465" spans="1:32" s="62" customFormat="1" ht="15">
      <c r="A465" s="1"/>
      <c r="B465" s="1"/>
      <c r="C465" s="1"/>
      <c r="D465" s="1"/>
      <c r="E465" s="1"/>
      <c r="F465" s="1"/>
      <c r="H465" s="1"/>
      <c r="J465" s="16"/>
      <c r="L465" s="16"/>
      <c r="N465" s="1"/>
      <c r="P465" s="16"/>
      <c r="R465" s="16"/>
      <c r="T465" s="1"/>
      <c r="V465" s="16"/>
      <c r="X465" s="16"/>
      <c r="Z465" s="1"/>
      <c r="AB465" s="16"/>
      <c r="AD465" s="16"/>
      <c r="AF465" s="1"/>
    </row>
    <row r="466" spans="1:32" s="62" customFormat="1" ht="15">
      <c r="A466" s="1"/>
      <c r="B466" s="1"/>
      <c r="C466" s="1"/>
      <c r="D466" s="1"/>
      <c r="E466" s="1"/>
      <c r="F466" s="1"/>
      <c r="H466" s="1"/>
      <c r="J466" s="16"/>
      <c r="L466" s="16"/>
      <c r="N466" s="1"/>
      <c r="P466" s="16"/>
      <c r="R466" s="16"/>
      <c r="T466" s="1"/>
      <c r="V466" s="16"/>
      <c r="X466" s="16"/>
      <c r="Z466" s="1"/>
      <c r="AB466" s="16"/>
      <c r="AD466" s="16"/>
      <c r="AF466" s="1"/>
    </row>
    <row r="467" spans="1:32" s="62" customFormat="1" ht="15">
      <c r="A467" s="1"/>
      <c r="B467" s="1"/>
      <c r="C467" s="1"/>
      <c r="D467" s="1"/>
      <c r="E467" s="1"/>
      <c r="F467" s="1"/>
      <c r="H467" s="1"/>
      <c r="J467" s="16"/>
      <c r="L467" s="16"/>
      <c r="N467" s="1"/>
      <c r="P467" s="16"/>
      <c r="R467" s="16"/>
      <c r="T467" s="1"/>
      <c r="V467" s="16"/>
      <c r="X467" s="16"/>
      <c r="Z467" s="1"/>
      <c r="AB467" s="16"/>
      <c r="AD467" s="16"/>
      <c r="AF467" s="1"/>
    </row>
    <row r="468" spans="1:32" s="62" customFormat="1" ht="15">
      <c r="A468" s="1"/>
      <c r="B468" s="1"/>
      <c r="C468" s="1"/>
      <c r="D468" s="1"/>
      <c r="E468" s="1"/>
      <c r="F468" s="1"/>
      <c r="H468" s="1"/>
      <c r="J468" s="16"/>
      <c r="L468" s="16"/>
      <c r="N468" s="1"/>
      <c r="P468" s="16"/>
      <c r="R468" s="16"/>
      <c r="T468" s="1"/>
      <c r="V468" s="16"/>
      <c r="X468" s="16"/>
      <c r="Z468" s="1"/>
      <c r="AB468" s="16"/>
      <c r="AD468" s="16"/>
      <c r="AF468" s="1"/>
    </row>
    <row r="469" spans="1:32" s="62" customFormat="1" ht="15">
      <c r="A469" s="1"/>
      <c r="B469" s="1"/>
      <c r="C469" s="1"/>
      <c r="D469" s="1"/>
      <c r="E469" s="1"/>
      <c r="F469" s="1"/>
      <c r="H469" s="1"/>
      <c r="J469" s="16"/>
      <c r="L469" s="16"/>
      <c r="N469" s="1"/>
      <c r="P469" s="16"/>
      <c r="R469" s="16"/>
      <c r="T469" s="1"/>
      <c r="V469" s="16"/>
      <c r="X469" s="16"/>
      <c r="Z469" s="1"/>
      <c r="AB469" s="16"/>
      <c r="AD469" s="16"/>
      <c r="AF469" s="1"/>
    </row>
    <row r="470" spans="1:32" s="62" customFormat="1" ht="15">
      <c r="A470" s="1"/>
      <c r="B470" s="1"/>
      <c r="C470" s="1"/>
      <c r="D470" s="1"/>
      <c r="E470" s="1"/>
      <c r="F470" s="1"/>
      <c r="H470" s="1"/>
      <c r="J470" s="16"/>
      <c r="L470" s="16"/>
      <c r="N470" s="1"/>
      <c r="P470" s="16"/>
      <c r="R470" s="16"/>
      <c r="T470" s="1"/>
      <c r="V470" s="16"/>
      <c r="X470" s="16"/>
      <c r="Z470" s="1"/>
      <c r="AB470" s="16"/>
      <c r="AD470" s="16"/>
      <c r="AF470" s="1"/>
    </row>
    <row r="471" spans="1:32" s="62" customFormat="1" ht="15">
      <c r="A471" s="1"/>
      <c r="B471" s="1"/>
      <c r="C471" s="1"/>
      <c r="D471" s="1"/>
      <c r="E471" s="1"/>
      <c r="F471" s="1"/>
      <c r="H471" s="1"/>
      <c r="J471" s="16"/>
      <c r="L471" s="16"/>
      <c r="N471" s="1"/>
      <c r="P471" s="16"/>
      <c r="R471" s="16"/>
      <c r="T471" s="1"/>
      <c r="V471" s="16"/>
      <c r="X471" s="16"/>
      <c r="Z471" s="1"/>
      <c r="AB471" s="16"/>
      <c r="AD471" s="16"/>
      <c r="AF471" s="1"/>
    </row>
    <row r="472" spans="1:32" s="62" customFormat="1" ht="15">
      <c r="A472" s="1"/>
      <c r="B472" s="1"/>
      <c r="C472" s="1"/>
      <c r="D472" s="1"/>
      <c r="E472" s="1"/>
      <c r="F472" s="1"/>
      <c r="H472" s="1"/>
      <c r="J472" s="16"/>
      <c r="L472" s="16"/>
      <c r="N472" s="1"/>
      <c r="P472" s="16"/>
      <c r="R472" s="16"/>
      <c r="T472" s="1"/>
      <c r="V472" s="16"/>
      <c r="X472" s="16"/>
      <c r="Z472" s="1"/>
      <c r="AB472" s="16"/>
      <c r="AD472" s="16"/>
      <c r="AF472" s="1"/>
    </row>
    <row r="473" spans="1:32" s="62" customFormat="1" ht="15">
      <c r="A473" s="1"/>
      <c r="B473" s="1"/>
      <c r="C473" s="1"/>
      <c r="D473" s="1"/>
      <c r="E473" s="1"/>
      <c r="F473" s="1"/>
      <c r="H473" s="1"/>
      <c r="J473" s="16"/>
      <c r="L473" s="16"/>
      <c r="N473" s="1"/>
      <c r="P473" s="16"/>
      <c r="R473" s="16"/>
      <c r="T473" s="1"/>
      <c r="V473" s="16"/>
      <c r="X473" s="16"/>
      <c r="Z473" s="1"/>
      <c r="AB473" s="16"/>
      <c r="AD473" s="16"/>
      <c r="AF473" s="1"/>
    </row>
    <row r="474" spans="1:32" s="62" customFormat="1" ht="15">
      <c r="A474" s="1"/>
      <c r="B474" s="1"/>
      <c r="C474" s="1"/>
      <c r="D474" s="1"/>
      <c r="E474" s="1"/>
      <c r="F474" s="1"/>
      <c r="H474" s="1"/>
      <c r="J474" s="16"/>
      <c r="L474" s="16"/>
      <c r="N474" s="1"/>
      <c r="P474" s="16"/>
      <c r="R474" s="16"/>
      <c r="T474" s="1"/>
      <c r="V474" s="16"/>
      <c r="X474" s="16"/>
      <c r="Z474" s="1"/>
      <c r="AB474" s="16"/>
      <c r="AD474" s="16"/>
      <c r="AF474" s="1"/>
    </row>
    <row r="475" spans="1:32" s="62" customFormat="1" ht="15">
      <c r="A475" s="1"/>
      <c r="B475" s="1"/>
      <c r="C475" s="1"/>
      <c r="D475" s="1"/>
      <c r="E475" s="1"/>
      <c r="F475" s="1"/>
      <c r="H475" s="1"/>
      <c r="J475" s="16"/>
      <c r="L475" s="16"/>
      <c r="N475" s="1"/>
      <c r="P475" s="16"/>
      <c r="R475" s="16"/>
      <c r="T475" s="1"/>
      <c r="V475" s="16"/>
      <c r="X475" s="16"/>
      <c r="Z475" s="1"/>
      <c r="AB475" s="16"/>
      <c r="AD475" s="16"/>
      <c r="AF475" s="1"/>
    </row>
    <row r="476" spans="1:32" s="62" customFormat="1" ht="15">
      <c r="A476" s="1"/>
      <c r="B476" s="1"/>
      <c r="C476" s="1"/>
      <c r="D476" s="1"/>
      <c r="E476" s="1"/>
      <c r="F476" s="1"/>
      <c r="H476" s="1"/>
      <c r="J476" s="16"/>
      <c r="L476" s="16"/>
      <c r="N476" s="1"/>
      <c r="P476" s="16"/>
      <c r="R476" s="16"/>
      <c r="T476" s="1"/>
      <c r="V476" s="16"/>
      <c r="X476" s="16"/>
      <c r="Z476" s="1"/>
      <c r="AB476" s="16"/>
      <c r="AD476" s="16"/>
      <c r="AF476" s="1"/>
    </row>
    <row r="477" spans="1:32" s="62" customFormat="1" ht="15">
      <c r="A477" s="1"/>
      <c r="B477" s="1"/>
      <c r="C477" s="1"/>
      <c r="D477" s="1"/>
      <c r="E477" s="1"/>
      <c r="F477" s="1"/>
      <c r="H477" s="1"/>
      <c r="J477" s="16"/>
      <c r="L477" s="16"/>
      <c r="N477" s="1"/>
      <c r="P477" s="16"/>
      <c r="R477" s="16"/>
      <c r="T477" s="1"/>
      <c r="V477" s="16"/>
      <c r="X477" s="16"/>
      <c r="Z477" s="1"/>
      <c r="AB477" s="16"/>
      <c r="AD477" s="16"/>
      <c r="AF477" s="1"/>
    </row>
    <row r="478" spans="1:32" s="62" customFormat="1" ht="15">
      <c r="A478" s="1"/>
      <c r="B478" s="1"/>
      <c r="C478" s="1"/>
      <c r="D478" s="1"/>
      <c r="E478" s="1"/>
      <c r="F478" s="1"/>
      <c r="H478" s="1"/>
      <c r="J478" s="16"/>
      <c r="L478" s="16"/>
      <c r="N478" s="1"/>
      <c r="P478" s="16"/>
      <c r="R478" s="16"/>
      <c r="T478" s="1"/>
      <c r="V478" s="16"/>
      <c r="X478" s="16"/>
      <c r="Z478" s="1"/>
      <c r="AB478" s="16"/>
      <c r="AD478" s="16"/>
      <c r="AF478" s="1"/>
    </row>
    <row r="479" spans="1:32" s="62" customFormat="1" ht="15">
      <c r="A479" s="1"/>
      <c r="B479" s="1"/>
      <c r="C479" s="1"/>
      <c r="D479" s="1"/>
      <c r="E479" s="1"/>
      <c r="F479" s="1"/>
      <c r="H479" s="1"/>
      <c r="J479" s="16"/>
      <c r="L479" s="16"/>
      <c r="N479" s="1"/>
      <c r="P479" s="16"/>
      <c r="R479" s="16"/>
      <c r="T479" s="1"/>
      <c r="V479" s="16"/>
      <c r="X479" s="16"/>
      <c r="Z479" s="1"/>
      <c r="AB479" s="16"/>
      <c r="AD479" s="16"/>
      <c r="AF479" s="1"/>
    </row>
    <row r="480" spans="1:32" s="62" customFormat="1" ht="15">
      <c r="A480" s="1"/>
      <c r="B480" s="1"/>
      <c r="C480" s="1"/>
      <c r="D480" s="1"/>
      <c r="E480" s="1"/>
      <c r="F480" s="1"/>
      <c r="H480" s="1"/>
      <c r="J480" s="16"/>
      <c r="L480" s="16"/>
      <c r="N480" s="1"/>
      <c r="P480" s="16"/>
      <c r="R480" s="16"/>
      <c r="T480" s="1"/>
      <c r="V480" s="16"/>
      <c r="X480" s="16"/>
      <c r="Z480" s="1"/>
      <c r="AB480" s="16"/>
      <c r="AD480" s="16"/>
      <c r="AF480" s="1"/>
    </row>
    <row r="481" spans="1:32" s="62" customFormat="1" ht="15">
      <c r="A481" s="1"/>
      <c r="B481" s="1"/>
      <c r="C481" s="1"/>
      <c r="D481" s="1"/>
      <c r="E481" s="1"/>
      <c r="F481" s="1"/>
      <c r="H481" s="1"/>
      <c r="J481" s="16"/>
      <c r="L481" s="16"/>
      <c r="N481" s="1"/>
      <c r="P481" s="16"/>
      <c r="R481" s="16"/>
      <c r="T481" s="1"/>
      <c r="V481" s="16"/>
      <c r="X481" s="16"/>
      <c r="Z481" s="1"/>
      <c r="AB481" s="16"/>
      <c r="AD481" s="16"/>
      <c r="AF481" s="1"/>
    </row>
    <row r="482" spans="1:32" s="62" customFormat="1" ht="15">
      <c r="A482" s="1"/>
      <c r="B482" s="1"/>
      <c r="C482" s="1"/>
      <c r="D482" s="1"/>
      <c r="E482" s="1"/>
      <c r="F482" s="1"/>
      <c r="H482" s="1"/>
      <c r="J482" s="16"/>
      <c r="L482" s="16"/>
      <c r="N482" s="1"/>
      <c r="P482" s="16"/>
      <c r="R482" s="16"/>
      <c r="T482" s="1"/>
      <c r="V482" s="16"/>
      <c r="X482" s="16"/>
      <c r="Z482" s="1"/>
      <c r="AB482" s="16"/>
      <c r="AD482" s="16"/>
      <c r="AF482" s="1"/>
    </row>
    <row r="483" spans="1:32" s="62" customFormat="1" ht="15">
      <c r="A483" s="1"/>
      <c r="B483" s="1"/>
      <c r="C483" s="1"/>
      <c r="D483" s="1"/>
      <c r="E483" s="1"/>
      <c r="F483" s="1"/>
      <c r="H483" s="1"/>
      <c r="J483" s="16"/>
      <c r="L483" s="16"/>
      <c r="N483" s="1"/>
      <c r="P483" s="16"/>
      <c r="R483" s="16"/>
      <c r="T483" s="1"/>
      <c r="V483" s="16"/>
      <c r="X483" s="16"/>
      <c r="Z483" s="1"/>
      <c r="AB483" s="16"/>
      <c r="AD483" s="16"/>
      <c r="AF483" s="1"/>
    </row>
    <row r="484" spans="1:32" s="62" customFormat="1" ht="15">
      <c r="A484" s="1"/>
      <c r="B484" s="1"/>
      <c r="C484" s="1"/>
      <c r="D484" s="1"/>
      <c r="E484" s="1"/>
      <c r="F484" s="1"/>
      <c r="H484" s="1"/>
      <c r="J484" s="16"/>
      <c r="L484" s="16"/>
      <c r="N484" s="1"/>
      <c r="P484" s="16"/>
      <c r="R484" s="16"/>
      <c r="T484" s="1"/>
      <c r="V484" s="16"/>
      <c r="X484" s="16"/>
      <c r="Z484" s="1"/>
      <c r="AB484" s="16"/>
      <c r="AD484" s="16"/>
      <c r="AF484" s="1"/>
    </row>
    <row r="485" spans="1:32" s="62" customFormat="1" ht="15">
      <c r="A485" s="1"/>
      <c r="B485" s="1"/>
      <c r="C485" s="1"/>
      <c r="D485" s="1"/>
      <c r="E485" s="1"/>
      <c r="F485" s="1"/>
      <c r="H485" s="1"/>
      <c r="J485" s="16"/>
      <c r="L485" s="16"/>
      <c r="N485" s="1"/>
      <c r="P485" s="16"/>
      <c r="R485" s="16"/>
      <c r="T485" s="1"/>
      <c r="V485" s="16"/>
      <c r="X485" s="16"/>
      <c r="Z485" s="1"/>
      <c r="AB485" s="16"/>
      <c r="AD485" s="16"/>
      <c r="AF485" s="1"/>
    </row>
    <row r="486" spans="1:32" s="62" customFormat="1" ht="15">
      <c r="A486" s="1"/>
      <c r="B486" s="1"/>
      <c r="C486" s="1"/>
      <c r="D486" s="1"/>
      <c r="E486" s="1"/>
      <c r="F486" s="1"/>
      <c r="H486" s="1"/>
      <c r="J486" s="16"/>
      <c r="L486" s="16"/>
      <c r="N486" s="1"/>
      <c r="P486" s="16"/>
      <c r="R486" s="16"/>
      <c r="T486" s="1"/>
      <c r="V486" s="16"/>
      <c r="X486" s="16"/>
      <c r="Z486" s="1"/>
      <c r="AB486" s="16"/>
      <c r="AD486" s="16"/>
      <c r="AF486" s="1"/>
    </row>
    <row r="487" spans="1:32" s="62" customFormat="1" ht="15">
      <c r="A487" s="1"/>
      <c r="B487" s="1"/>
      <c r="C487" s="1"/>
      <c r="D487" s="1"/>
      <c r="E487" s="1"/>
      <c r="F487" s="1"/>
      <c r="H487" s="1"/>
      <c r="J487" s="16"/>
      <c r="L487" s="16"/>
      <c r="N487" s="1"/>
      <c r="P487" s="16"/>
      <c r="R487" s="16"/>
      <c r="T487" s="1"/>
      <c r="V487" s="16"/>
      <c r="X487" s="16"/>
      <c r="Z487" s="1"/>
      <c r="AB487" s="16"/>
      <c r="AD487" s="16"/>
      <c r="AF487" s="1"/>
    </row>
    <row r="488" spans="1:32" s="62" customFormat="1" ht="15">
      <c r="A488" s="1"/>
      <c r="B488" s="1"/>
      <c r="C488" s="1"/>
      <c r="D488" s="1"/>
      <c r="E488" s="1"/>
      <c r="F488" s="1"/>
      <c r="H488" s="1"/>
      <c r="J488" s="16"/>
      <c r="L488" s="16"/>
      <c r="N488" s="1"/>
      <c r="P488" s="16"/>
      <c r="R488" s="16"/>
      <c r="T488" s="1"/>
      <c r="V488" s="16"/>
      <c r="X488" s="16"/>
      <c r="Z488" s="1"/>
      <c r="AB488" s="16"/>
      <c r="AD488" s="16"/>
      <c r="AF488" s="1"/>
    </row>
    <row r="489" spans="1:32" s="62" customFormat="1" ht="15">
      <c r="A489" s="1"/>
      <c r="B489" s="1"/>
      <c r="C489" s="1"/>
      <c r="D489" s="1"/>
      <c r="E489" s="1"/>
      <c r="F489" s="1"/>
      <c r="H489" s="1"/>
      <c r="J489" s="16"/>
      <c r="L489" s="16"/>
      <c r="N489" s="1"/>
      <c r="P489" s="16"/>
      <c r="R489" s="16"/>
      <c r="T489" s="1"/>
      <c r="V489" s="16"/>
      <c r="X489" s="16"/>
      <c r="Z489" s="1"/>
      <c r="AB489" s="16"/>
      <c r="AD489" s="16"/>
      <c r="AF489" s="1"/>
    </row>
    <row r="490" spans="1:32" s="62" customFormat="1" ht="15">
      <c r="A490" s="1"/>
      <c r="B490" s="1"/>
      <c r="C490" s="1"/>
      <c r="D490" s="1"/>
      <c r="E490" s="1"/>
      <c r="F490" s="1"/>
      <c r="H490" s="1"/>
      <c r="J490" s="16"/>
      <c r="L490" s="16"/>
      <c r="N490" s="1"/>
      <c r="P490" s="16"/>
      <c r="R490" s="16"/>
      <c r="T490" s="1"/>
      <c r="V490" s="16"/>
      <c r="X490" s="16"/>
      <c r="Z490" s="1"/>
      <c r="AB490" s="16"/>
      <c r="AD490" s="16"/>
      <c r="AF490" s="1"/>
    </row>
    <row r="491" spans="1:32" s="62" customFormat="1" ht="15">
      <c r="A491" s="1"/>
      <c r="B491" s="1"/>
      <c r="C491" s="1"/>
      <c r="D491" s="1"/>
      <c r="E491" s="1"/>
      <c r="F491" s="1"/>
      <c r="H491" s="1"/>
      <c r="J491" s="16"/>
      <c r="L491" s="16"/>
      <c r="N491" s="1"/>
      <c r="P491" s="16"/>
      <c r="R491" s="16"/>
      <c r="T491" s="1"/>
      <c r="V491" s="16"/>
      <c r="X491" s="16"/>
      <c r="Z491" s="1"/>
      <c r="AB491" s="16"/>
      <c r="AD491" s="16"/>
      <c r="AF491" s="1"/>
    </row>
    <row r="492" spans="1:32" s="62" customFormat="1" ht="15">
      <c r="A492" s="1"/>
      <c r="B492" s="1"/>
      <c r="C492" s="1"/>
      <c r="D492" s="1"/>
      <c r="E492" s="1"/>
      <c r="F492" s="1"/>
      <c r="H492" s="1"/>
      <c r="J492" s="16"/>
      <c r="L492" s="16"/>
      <c r="N492" s="1"/>
      <c r="P492" s="16"/>
      <c r="R492" s="16"/>
      <c r="T492" s="1"/>
      <c r="V492" s="16"/>
      <c r="X492" s="16"/>
      <c r="Z492" s="1"/>
      <c r="AB492" s="16"/>
      <c r="AD492" s="16"/>
      <c r="AF492" s="1"/>
    </row>
    <row r="493" spans="1:32" s="62" customFormat="1" ht="15">
      <c r="A493" s="1"/>
      <c r="B493" s="1"/>
      <c r="C493" s="1"/>
      <c r="D493" s="1"/>
      <c r="E493" s="1"/>
      <c r="F493" s="1"/>
      <c r="H493" s="1"/>
      <c r="J493" s="16"/>
      <c r="L493" s="16"/>
      <c r="N493" s="1"/>
      <c r="P493" s="16"/>
      <c r="R493" s="16"/>
      <c r="T493" s="1"/>
      <c r="V493" s="16"/>
      <c r="X493" s="16"/>
      <c r="Z493" s="1"/>
      <c r="AB493" s="16"/>
      <c r="AD493" s="16"/>
      <c r="AF493" s="1"/>
    </row>
    <row r="494" spans="1:32" s="62" customFormat="1" ht="15">
      <c r="A494" s="1"/>
      <c r="B494" s="1"/>
      <c r="C494" s="1"/>
      <c r="D494" s="1"/>
      <c r="E494" s="1"/>
      <c r="F494" s="1"/>
      <c r="H494" s="1"/>
      <c r="J494" s="16"/>
      <c r="L494" s="16"/>
      <c r="N494" s="1"/>
      <c r="P494" s="16"/>
      <c r="R494" s="16"/>
      <c r="T494" s="1"/>
      <c r="V494" s="16"/>
      <c r="X494" s="16"/>
      <c r="Z494" s="1"/>
      <c r="AB494" s="16"/>
      <c r="AD494" s="16"/>
      <c r="AF494" s="1"/>
    </row>
    <row r="495" spans="1:32" s="62" customFormat="1" ht="15">
      <c r="A495" s="1"/>
      <c r="B495" s="1"/>
      <c r="C495" s="1"/>
      <c r="D495" s="1"/>
      <c r="E495" s="1"/>
      <c r="F495" s="1"/>
      <c r="H495" s="1"/>
      <c r="J495" s="16"/>
      <c r="L495" s="16"/>
      <c r="N495" s="1"/>
      <c r="P495" s="16"/>
      <c r="R495" s="16"/>
      <c r="T495" s="1"/>
      <c r="V495" s="16"/>
      <c r="X495" s="16"/>
      <c r="Z495" s="1"/>
      <c r="AB495" s="16"/>
      <c r="AD495" s="16"/>
      <c r="AF495" s="1"/>
    </row>
    <row r="496" spans="1:32" s="62" customFormat="1" ht="15">
      <c r="A496" s="1"/>
      <c r="B496" s="1"/>
      <c r="C496" s="1"/>
      <c r="D496" s="1"/>
      <c r="E496" s="1"/>
      <c r="F496" s="1"/>
      <c r="H496" s="1"/>
      <c r="J496" s="16"/>
      <c r="L496" s="16"/>
      <c r="N496" s="1"/>
      <c r="P496" s="16"/>
      <c r="R496" s="16"/>
      <c r="T496" s="1"/>
      <c r="V496" s="16"/>
      <c r="X496" s="16"/>
      <c r="Z496" s="1"/>
      <c r="AB496" s="16"/>
      <c r="AD496" s="16"/>
      <c r="AF496" s="1"/>
    </row>
    <row r="497" spans="1:32" s="62" customFormat="1" ht="15">
      <c r="A497" s="1"/>
      <c r="B497" s="1"/>
      <c r="C497" s="1"/>
      <c r="D497" s="1"/>
      <c r="E497" s="1"/>
      <c r="F497" s="1"/>
      <c r="H497" s="1"/>
      <c r="J497" s="16"/>
      <c r="L497" s="16"/>
      <c r="N497" s="1"/>
      <c r="P497" s="16"/>
      <c r="R497" s="16"/>
      <c r="T497" s="1"/>
      <c r="V497" s="16"/>
      <c r="X497" s="16"/>
      <c r="Z497" s="1"/>
      <c r="AB497" s="16"/>
      <c r="AD497" s="16"/>
      <c r="AF497" s="1"/>
    </row>
    <row r="498" spans="1:32" s="62" customFormat="1" ht="15">
      <c r="A498" s="1"/>
      <c r="B498" s="1"/>
      <c r="C498" s="1"/>
      <c r="D498" s="1"/>
      <c r="E498" s="1"/>
      <c r="F498" s="1"/>
      <c r="H498" s="1"/>
      <c r="J498" s="16"/>
      <c r="L498" s="16"/>
      <c r="N498" s="1"/>
      <c r="P498" s="16"/>
      <c r="R498" s="16"/>
      <c r="T498" s="1"/>
      <c r="V498" s="16"/>
      <c r="X498" s="16"/>
      <c r="Z498" s="1"/>
      <c r="AB498" s="16"/>
      <c r="AD498" s="16"/>
      <c r="AF498" s="1"/>
    </row>
    <row r="499" spans="1:32" s="62" customFormat="1" ht="15">
      <c r="A499" s="1"/>
      <c r="B499" s="1"/>
      <c r="C499" s="1"/>
      <c r="D499" s="1"/>
      <c r="E499" s="1"/>
      <c r="F499" s="1"/>
      <c r="H499" s="1"/>
      <c r="J499" s="16"/>
      <c r="L499" s="16"/>
      <c r="N499" s="1"/>
      <c r="P499" s="16"/>
      <c r="R499" s="16"/>
      <c r="T499" s="1"/>
      <c r="V499" s="16"/>
      <c r="X499" s="16"/>
      <c r="Z499" s="1"/>
      <c r="AB499" s="16"/>
      <c r="AD499" s="16"/>
      <c r="AF499" s="1"/>
    </row>
    <row r="500" spans="1:32" s="62" customFormat="1" ht="15">
      <c r="A500" s="1"/>
      <c r="B500" s="1"/>
      <c r="C500" s="1"/>
      <c r="D500" s="1"/>
      <c r="E500" s="1"/>
      <c r="F500" s="1"/>
      <c r="H500" s="1"/>
      <c r="J500" s="16"/>
      <c r="L500" s="16"/>
      <c r="N500" s="1"/>
      <c r="P500" s="16"/>
      <c r="R500" s="16"/>
      <c r="T500" s="1"/>
      <c r="V500" s="16"/>
      <c r="X500" s="16"/>
      <c r="Z500" s="1"/>
      <c r="AB500" s="16"/>
      <c r="AD500" s="16"/>
      <c r="AF500" s="1"/>
    </row>
    <row r="501" spans="1:32" s="62" customFormat="1" ht="15">
      <c r="A501" s="1"/>
      <c r="B501" s="1"/>
      <c r="C501" s="1"/>
      <c r="D501" s="1"/>
      <c r="E501" s="1"/>
      <c r="F501" s="1"/>
      <c r="H501" s="1"/>
      <c r="J501" s="16"/>
      <c r="L501" s="16"/>
      <c r="N501" s="1"/>
      <c r="P501" s="16"/>
      <c r="R501" s="16"/>
      <c r="T501" s="1"/>
      <c r="V501" s="16"/>
      <c r="X501" s="16"/>
      <c r="Z501" s="1"/>
      <c r="AB501" s="16"/>
      <c r="AD501" s="16"/>
      <c r="AF501" s="1"/>
    </row>
    <row r="502" spans="1:32" s="62" customFormat="1" ht="15">
      <c r="A502" s="1"/>
      <c r="B502" s="1"/>
      <c r="C502" s="1"/>
      <c r="D502" s="1"/>
      <c r="E502" s="1"/>
      <c r="F502" s="1"/>
      <c r="H502" s="1"/>
      <c r="J502" s="16"/>
      <c r="L502" s="16"/>
      <c r="N502" s="1"/>
      <c r="P502" s="16"/>
      <c r="R502" s="16"/>
      <c r="T502" s="1"/>
      <c r="V502" s="16"/>
      <c r="X502" s="16"/>
      <c r="Z502" s="1"/>
      <c r="AB502" s="16"/>
      <c r="AD502" s="16"/>
      <c r="AF502" s="1"/>
    </row>
    <row r="503" spans="1:32" s="62" customFormat="1" ht="15">
      <c r="A503" s="1"/>
      <c r="B503" s="1"/>
      <c r="C503" s="1"/>
      <c r="D503" s="1"/>
      <c r="E503" s="1"/>
      <c r="F503" s="1"/>
      <c r="H503" s="1"/>
      <c r="J503" s="16"/>
      <c r="L503" s="16"/>
      <c r="N503" s="1"/>
      <c r="P503" s="16"/>
      <c r="R503" s="16"/>
      <c r="T503" s="1"/>
      <c r="V503" s="16"/>
      <c r="X503" s="16"/>
      <c r="Z503" s="1"/>
      <c r="AB503" s="16"/>
      <c r="AD503" s="16"/>
      <c r="AF503" s="1"/>
    </row>
    <row r="504" spans="1:32" s="62" customFormat="1" ht="15">
      <c r="A504" s="1"/>
      <c r="B504" s="1"/>
      <c r="C504" s="1"/>
      <c r="D504" s="1"/>
      <c r="E504" s="1"/>
      <c r="F504" s="1"/>
      <c r="H504" s="1"/>
      <c r="J504" s="16"/>
      <c r="L504" s="16"/>
      <c r="N504" s="1"/>
      <c r="P504" s="16"/>
      <c r="R504" s="16"/>
      <c r="T504" s="1"/>
      <c r="V504" s="16"/>
      <c r="X504" s="16"/>
      <c r="Z504" s="1"/>
      <c r="AB504" s="16"/>
      <c r="AD504" s="16"/>
      <c r="AF504" s="1"/>
    </row>
    <row r="505" spans="1:32" s="62" customFormat="1" ht="15">
      <c r="A505" s="1"/>
      <c r="B505" s="1"/>
      <c r="C505" s="1"/>
      <c r="D505" s="1"/>
      <c r="E505" s="1"/>
      <c r="F505" s="1"/>
      <c r="H505" s="1"/>
      <c r="J505" s="16"/>
      <c r="L505" s="16"/>
      <c r="N505" s="1"/>
      <c r="P505" s="16"/>
      <c r="R505" s="16"/>
      <c r="T505" s="1"/>
      <c r="V505" s="16"/>
      <c r="X505" s="16"/>
      <c r="Z505" s="1"/>
      <c r="AB505" s="16"/>
      <c r="AD505" s="16"/>
      <c r="AF505" s="1"/>
    </row>
    <row r="506" spans="1:32" s="62" customFormat="1" ht="15">
      <c r="A506" s="1"/>
      <c r="B506" s="1"/>
      <c r="C506" s="1"/>
      <c r="D506" s="1"/>
      <c r="E506" s="1"/>
      <c r="F506" s="1"/>
      <c r="H506" s="1"/>
      <c r="J506" s="16"/>
      <c r="L506" s="16"/>
      <c r="N506" s="1"/>
      <c r="P506" s="16"/>
      <c r="R506" s="16"/>
      <c r="T506" s="1"/>
      <c r="V506" s="16"/>
      <c r="X506" s="16"/>
      <c r="Z506" s="1"/>
      <c r="AB506" s="16"/>
      <c r="AD506" s="16"/>
      <c r="AF506" s="1"/>
    </row>
    <row r="507" spans="1:32" s="62" customFormat="1" ht="15">
      <c r="A507" s="1"/>
      <c r="B507" s="1"/>
      <c r="C507" s="1"/>
      <c r="D507" s="1"/>
      <c r="E507" s="1"/>
      <c r="F507" s="1"/>
      <c r="H507" s="1"/>
      <c r="J507" s="16"/>
      <c r="L507" s="16"/>
      <c r="N507" s="1"/>
      <c r="P507" s="16"/>
      <c r="R507" s="16"/>
      <c r="T507" s="1"/>
      <c r="V507" s="16"/>
      <c r="X507" s="16"/>
      <c r="Z507" s="1"/>
      <c r="AB507" s="16"/>
      <c r="AD507" s="16"/>
      <c r="AF507" s="1"/>
    </row>
    <row r="508" spans="1:32" s="62" customFormat="1" ht="15">
      <c r="A508" s="1"/>
      <c r="B508" s="1"/>
      <c r="C508" s="1"/>
      <c r="D508" s="1"/>
      <c r="E508" s="1"/>
      <c r="F508" s="1"/>
      <c r="H508" s="1"/>
      <c r="J508" s="16"/>
      <c r="L508" s="16"/>
      <c r="N508" s="1"/>
      <c r="P508" s="16"/>
      <c r="R508" s="16"/>
      <c r="T508" s="1"/>
      <c r="V508" s="16"/>
      <c r="X508" s="16"/>
      <c r="Z508" s="1"/>
      <c r="AB508" s="16"/>
      <c r="AD508" s="16"/>
      <c r="AF508" s="1"/>
    </row>
    <row r="509" spans="1:32" s="62" customFormat="1" ht="15">
      <c r="A509" s="1"/>
      <c r="B509" s="1"/>
      <c r="C509" s="1"/>
      <c r="D509" s="1"/>
      <c r="E509" s="1"/>
      <c r="F509" s="1"/>
      <c r="H509" s="1"/>
      <c r="J509" s="16"/>
      <c r="L509" s="16"/>
      <c r="N509" s="1"/>
      <c r="P509" s="16"/>
      <c r="R509" s="16"/>
      <c r="T509" s="1"/>
      <c r="V509" s="16"/>
      <c r="X509" s="16"/>
      <c r="Z509" s="1"/>
      <c r="AB509" s="16"/>
      <c r="AD509" s="16"/>
      <c r="AF509" s="1"/>
    </row>
    <row r="510" spans="1:32" s="62" customFormat="1" ht="15">
      <c r="A510" s="1"/>
      <c r="B510" s="1"/>
      <c r="C510" s="1"/>
      <c r="D510" s="1"/>
      <c r="E510" s="1"/>
      <c r="F510" s="1"/>
      <c r="H510" s="1"/>
      <c r="J510" s="16"/>
      <c r="L510" s="16"/>
      <c r="N510" s="1"/>
      <c r="P510" s="16"/>
      <c r="R510" s="16"/>
      <c r="T510" s="1"/>
      <c r="V510" s="16"/>
      <c r="X510" s="16"/>
      <c r="Z510" s="1"/>
      <c r="AB510" s="16"/>
      <c r="AD510" s="16"/>
      <c r="AF510" s="1"/>
    </row>
    <row r="511" spans="1:32" s="62" customFormat="1" ht="15">
      <c r="A511" s="1"/>
      <c r="B511" s="1"/>
      <c r="C511" s="1"/>
      <c r="D511" s="1"/>
      <c r="E511" s="1"/>
      <c r="F511" s="1"/>
      <c r="H511" s="1"/>
      <c r="J511" s="16"/>
      <c r="L511" s="16"/>
      <c r="N511" s="1"/>
      <c r="P511" s="16"/>
      <c r="R511" s="16"/>
      <c r="T511" s="1"/>
      <c r="V511" s="16"/>
      <c r="X511" s="16"/>
      <c r="Z511" s="1"/>
      <c r="AB511" s="16"/>
      <c r="AD511" s="16"/>
      <c r="AF511" s="1"/>
    </row>
    <row r="512" spans="1:32" s="62" customFormat="1" ht="15">
      <c r="A512" s="1"/>
      <c r="B512" s="1"/>
      <c r="C512" s="1"/>
      <c r="D512" s="1"/>
      <c r="E512" s="1"/>
      <c r="F512" s="1"/>
      <c r="H512" s="1"/>
      <c r="J512" s="16"/>
      <c r="L512" s="16"/>
      <c r="N512" s="1"/>
      <c r="P512" s="16"/>
      <c r="R512" s="16"/>
      <c r="T512" s="1"/>
      <c r="V512" s="16"/>
      <c r="X512" s="16"/>
      <c r="Z512" s="1"/>
      <c r="AB512" s="16"/>
      <c r="AD512" s="16"/>
      <c r="AF512" s="1"/>
    </row>
    <row r="513" spans="1:32" s="62" customFormat="1" ht="15">
      <c r="A513" s="1"/>
      <c r="B513" s="1"/>
      <c r="C513" s="1"/>
      <c r="D513" s="1"/>
      <c r="E513" s="1"/>
      <c r="F513" s="1"/>
      <c r="H513" s="1"/>
      <c r="J513" s="16"/>
      <c r="L513" s="16"/>
      <c r="N513" s="1"/>
      <c r="P513" s="16"/>
      <c r="R513" s="16"/>
      <c r="T513" s="1"/>
      <c r="V513" s="16"/>
      <c r="X513" s="16"/>
      <c r="Z513" s="1"/>
      <c r="AB513" s="16"/>
      <c r="AD513" s="16"/>
      <c r="AF513" s="1"/>
    </row>
    <row r="514" spans="1:32" s="62" customFormat="1" ht="15">
      <c r="A514" s="1"/>
      <c r="B514" s="1"/>
      <c r="C514" s="1"/>
      <c r="D514" s="1"/>
      <c r="E514" s="1"/>
      <c r="F514" s="1"/>
      <c r="H514" s="1"/>
      <c r="J514" s="16"/>
      <c r="L514" s="16"/>
      <c r="N514" s="1"/>
      <c r="P514" s="16"/>
      <c r="R514" s="16"/>
      <c r="T514" s="1"/>
      <c r="V514" s="16"/>
      <c r="X514" s="16"/>
      <c r="Z514" s="1"/>
      <c r="AB514" s="16"/>
      <c r="AD514" s="16"/>
      <c r="AF514" s="1"/>
    </row>
    <row r="515" spans="1:32" s="62" customFormat="1" ht="15">
      <c r="A515" s="1"/>
      <c r="B515" s="1"/>
      <c r="C515" s="1"/>
      <c r="D515" s="1"/>
      <c r="E515" s="1"/>
      <c r="F515" s="1"/>
      <c r="H515" s="1"/>
      <c r="J515" s="16"/>
      <c r="L515" s="16"/>
      <c r="N515" s="1"/>
      <c r="P515" s="16"/>
      <c r="R515" s="16"/>
      <c r="T515" s="1"/>
      <c r="V515" s="16"/>
      <c r="X515" s="16"/>
      <c r="Z515" s="1"/>
      <c r="AB515" s="16"/>
      <c r="AD515" s="16"/>
      <c r="AF515" s="1"/>
    </row>
    <row r="516" spans="1:32" s="62" customFormat="1" ht="15">
      <c r="A516" s="1"/>
      <c r="B516" s="1"/>
      <c r="C516" s="1"/>
      <c r="D516" s="1"/>
      <c r="E516" s="1"/>
      <c r="F516" s="1"/>
      <c r="H516" s="1"/>
      <c r="J516" s="16"/>
      <c r="L516" s="16"/>
      <c r="N516" s="1"/>
      <c r="P516" s="16"/>
      <c r="R516" s="16"/>
      <c r="T516" s="1"/>
      <c r="V516" s="16"/>
      <c r="X516" s="16"/>
      <c r="Z516" s="1"/>
      <c r="AB516" s="16"/>
      <c r="AD516" s="16"/>
      <c r="AF516" s="1"/>
    </row>
    <row r="517" spans="1:32" s="62" customFormat="1" ht="15">
      <c r="A517" s="1"/>
      <c r="B517" s="1"/>
      <c r="C517" s="1"/>
      <c r="D517" s="1"/>
      <c r="E517" s="1"/>
      <c r="F517" s="1"/>
      <c r="H517" s="1"/>
      <c r="J517" s="16"/>
      <c r="L517" s="16"/>
      <c r="N517" s="1"/>
      <c r="P517" s="16"/>
      <c r="R517" s="16"/>
      <c r="T517" s="1"/>
      <c r="V517" s="16"/>
      <c r="X517" s="16"/>
      <c r="Z517" s="1"/>
      <c r="AB517" s="16"/>
      <c r="AD517" s="16"/>
      <c r="AF517" s="1"/>
    </row>
    <row r="518" spans="1:32" s="62" customFormat="1" ht="15">
      <c r="A518" s="1"/>
      <c r="B518" s="1"/>
      <c r="C518" s="1"/>
      <c r="D518" s="1"/>
      <c r="E518" s="1"/>
      <c r="F518" s="1"/>
      <c r="H518" s="1"/>
      <c r="J518" s="16"/>
      <c r="L518" s="16"/>
      <c r="N518" s="1"/>
      <c r="P518" s="16"/>
      <c r="R518" s="16"/>
      <c r="T518" s="1"/>
      <c r="V518" s="16"/>
      <c r="X518" s="16"/>
      <c r="Z518" s="1"/>
      <c r="AB518" s="16"/>
      <c r="AD518" s="16"/>
      <c r="AF518" s="1"/>
    </row>
    <row r="519" spans="1:32" s="62" customFormat="1" ht="15">
      <c r="A519" s="1"/>
      <c r="B519" s="1"/>
      <c r="C519" s="1"/>
      <c r="D519" s="1"/>
      <c r="E519" s="1"/>
      <c r="F519" s="1"/>
      <c r="H519" s="1"/>
      <c r="J519" s="16"/>
      <c r="L519" s="16"/>
      <c r="N519" s="1"/>
      <c r="P519" s="16"/>
      <c r="R519" s="16"/>
      <c r="T519" s="1"/>
      <c r="V519" s="16"/>
      <c r="X519" s="16"/>
      <c r="Z519" s="1"/>
      <c r="AB519" s="16"/>
      <c r="AD519" s="16"/>
      <c r="AF519" s="1"/>
    </row>
    <row r="520" spans="1:32" s="62" customFormat="1" ht="15">
      <c r="A520" s="1"/>
      <c r="B520" s="1"/>
      <c r="C520" s="1"/>
      <c r="D520" s="1"/>
      <c r="E520" s="1"/>
      <c r="F520" s="1"/>
      <c r="H520" s="1"/>
      <c r="J520" s="16"/>
      <c r="L520" s="16"/>
      <c r="N520" s="1"/>
      <c r="P520" s="16"/>
      <c r="R520" s="16"/>
      <c r="T520" s="1"/>
      <c r="V520" s="16"/>
      <c r="X520" s="16"/>
      <c r="Z520" s="1"/>
      <c r="AB520" s="16"/>
      <c r="AD520" s="16"/>
      <c r="AF520" s="1"/>
    </row>
    <row r="521" spans="1:32" s="62" customFormat="1" ht="15">
      <c r="A521" s="1"/>
      <c r="B521" s="1"/>
      <c r="C521" s="1"/>
      <c r="D521" s="1"/>
      <c r="E521" s="1"/>
      <c r="F521" s="1"/>
      <c r="H521" s="1"/>
      <c r="J521" s="16"/>
      <c r="L521" s="16"/>
      <c r="N521" s="1"/>
      <c r="P521" s="16"/>
      <c r="R521" s="16"/>
      <c r="T521" s="1"/>
      <c r="V521" s="16"/>
      <c r="X521" s="16"/>
      <c r="Z521" s="1"/>
      <c r="AB521" s="16"/>
      <c r="AD521" s="16"/>
      <c r="AF521" s="1"/>
    </row>
    <row r="522" spans="1:32" s="62" customFormat="1" ht="15">
      <c r="A522" s="1"/>
      <c r="B522" s="1"/>
      <c r="C522" s="1"/>
      <c r="D522" s="1"/>
      <c r="E522" s="1"/>
      <c r="F522" s="1"/>
      <c r="H522" s="1"/>
      <c r="J522" s="16"/>
      <c r="L522" s="16"/>
      <c r="N522" s="1"/>
      <c r="P522" s="16"/>
      <c r="R522" s="16"/>
      <c r="T522" s="1"/>
      <c r="V522" s="16"/>
      <c r="X522" s="16"/>
      <c r="Z522" s="1"/>
      <c r="AB522" s="16"/>
      <c r="AD522" s="16"/>
      <c r="AF522" s="1"/>
    </row>
    <row r="523" spans="1:32" s="62" customFormat="1" ht="15">
      <c r="A523" s="1"/>
      <c r="B523" s="1"/>
      <c r="C523" s="1"/>
      <c r="D523" s="1"/>
      <c r="E523" s="1"/>
      <c r="F523" s="1"/>
      <c r="H523" s="1"/>
      <c r="J523" s="16"/>
      <c r="L523" s="16"/>
      <c r="N523" s="1"/>
      <c r="P523" s="16"/>
      <c r="R523" s="16"/>
      <c r="T523" s="1"/>
      <c r="V523" s="16"/>
      <c r="X523" s="16"/>
      <c r="Z523" s="1"/>
      <c r="AB523" s="16"/>
      <c r="AD523" s="16"/>
      <c r="AF523" s="1"/>
    </row>
    <row r="524" spans="1:32" s="62" customFormat="1" ht="15">
      <c r="A524" s="1"/>
      <c r="B524" s="1"/>
      <c r="C524" s="1"/>
      <c r="D524" s="1"/>
      <c r="E524" s="1"/>
      <c r="F524" s="1"/>
      <c r="H524" s="1"/>
      <c r="J524" s="16"/>
      <c r="L524" s="16"/>
      <c r="N524" s="1"/>
      <c r="P524" s="16"/>
      <c r="R524" s="16"/>
      <c r="T524" s="1"/>
      <c r="V524" s="16"/>
      <c r="X524" s="16"/>
      <c r="Z524" s="1"/>
      <c r="AB524" s="16"/>
      <c r="AD524" s="16"/>
      <c r="AF524" s="1"/>
    </row>
    <row r="525" spans="1:32" s="62" customFormat="1" ht="15">
      <c r="A525" s="1"/>
      <c r="B525" s="1"/>
      <c r="C525" s="1"/>
      <c r="D525" s="1"/>
      <c r="E525" s="1"/>
      <c r="F525" s="1"/>
      <c r="H525" s="1"/>
      <c r="J525" s="16"/>
      <c r="L525" s="16"/>
      <c r="N525" s="1"/>
      <c r="P525" s="16"/>
      <c r="R525" s="16"/>
      <c r="T525" s="1"/>
      <c r="V525" s="16"/>
      <c r="X525" s="16"/>
      <c r="Z525" s="1"/>
      <c r="AB525" s="16"/>
      <c r="AD525" s="16"/>
      <c r="AF525" s="1"/>
    </row>
    <row r="526" spans="1:32" s="62" customFormat="1" ht="15">
      <c r="A526" s="1"/>
      <c r="B526" s="1"/>
      <c r="C526" s="1"/>
      <c r="D526" s="1"/>
      <c r="E526" s="1"/>
      <c r="F526" s="1"/>
      <c r="H526" s="1"/>
      <c r="J526" s="16"/>
      <c r="L526" s="16"/>
      <c r="N526" s="1"/>
      <c r="P526" s="16"/>
      <c r="R526" s="16"/>
      <c r="T526" s="1"/>
      <c r="V526" s="16"/>
      <c r="X526" s="16"/>
      <c r="Z526" s="1"/>
      <c r="AB526" s="16"/>
      <c r="AD526" s="16"/>
      <c r="AF526" s="1"/>
    </row>
    <row r="527" spans="1:32" s="62" customFormat="1" ht="15">
      <c r="A527" s="1"/>
      <c r="B527" s="1"/>
      <c r="C527" s="1"/>
      <c r="D527" s="1"/>
      <c r="E527" s="1"/>
      <c r="F527" s="1"/>
      <c r="H527" s="1"/>
      <c r="J527" s="16"/>
      <c r="L527" s="16"/>
      <c r="N527" s="1"/>
      <c r="P527" s="16"/>
      <c r="R527" s="16"/>
      <c r="T527" s="1"/>
      <c r="V527" s="16"/>
      <c r="X527" s="16"/>
      <c r="Z527" s="1"/>
      <c r="AB527" s="16"/>
      <c r="AD527" s="16"/>
      <c r="AF527" s="1"/>
    </row>
    <row r="528" spans="1:32" s="62" customFormat="1" ht="15">
      <c r="A528" s="1"/>
      <c r="B528" s="1"/>
      <c r="C528" s="1"/>
      <c r="D528" s="1"/>
      <c r="E528" s="1"/>
      <c r="F528" s="1"/>
      <c r="H528" s="1"/>
      <c r="J528" s="16"/>
      <c r="L528" s="16"/>
      <c r="N528" s="1"/>
      <c r="P528" s="16"/>
      <c r="R528" s="16"/>
      <c r="T528" s="1"/>
      <c r="V528" s="16"/>
      <c r="X528" s="16"/>
      <c r="Z528" s="1"/>
      <c r="AB528" s="16"/>
      <c r="AD528" s="16"/>
      <c r="AF528" s="1"/>
    </row>
    <row r="529" spans="1:32" s="62" customFormat="1" ht="15">
      <c r="A529" s="1"/>
      <c r="B529" s="1"/>
      <c r="C529" s="1"/>
      <c r="D529" s="1"/>
      <c r="E529" s="1"/>
      <c r="F529" s="1"/>
      <c r="H529" s="1"/>
      <c r="J529" s="16"/>
      <c r="L529" s="16"/>
      <c r="N529" s="1"/>
      <c r="P529" s="16"/>
      <c r="R529" s="16"/>
      <c r="T529" s="1"/>
      <c r="V529" s="16"/>
      <c r="X529" s="16"/>
      <c r="Z529" s="1"/>
      <c r="AB529" s="16"/>
      <c r="AD529" s="16"/>
      <c r="AF529" s="1"/>
    </row>
    <row r="530" spans="1:32" s="62" customFormat="1" ht="15">
      <c r="A530" s="1"/>
      <c r="B530" s="1"/>
      <c r="C530" s="1"/>
      <c r="D530" s="1"/>
      <c r="E530" s="1"/>
      <c r="F530" s="1"/>
      <c r="H530" s="1"/>
      <c r="J530" s="16"/>
      <c r="L530" s="16"/>
      <c r="N530" s="1"/>
      <c r="P530" s="16"/>
      <c r="R530" s="16"/>
      <c r="T530" s="1"/>
      <c r="V530" s="16"/>
      <c r="X530" s="16"/>
      <c r="Z530" s="1"/>
      <c r="AB530" s="16"/>
      <c r="AD530" s="16"/>
      <c r="AF530" s="1"/>
    </row>
    <row r="531" spans="1:32" s="62" customFormat="1" ht="15">
      <c r="A531" s="1"/>
      <c r="B531" s="1"/>
      <c r="C531" s="1"/>
      <c r="D531" s="1"/>
      <c r="E531" s="1"/>
      <c r="F531" s="1"/>
      <c r="H531" s="1"/>
      <c r="J531" s="16"/>
      <c r="L531" s="16"/>
      <c r="N531" s="1"/>
      <c r="P531" s="16"/>
      <c r="R531" s="16"/>
      <c r="T531" s="1"/>
      <c r="V531" s="16"/>
      <c r="X531" s="16"/>
      <c r="Z531" s="1"/>
      <c r="AB531" s="16"/>
      <c r="AD531" s="16"/>
      <c r="AF531" s="1"/>
    </row>
    <row r="532" spans="1:32" s="62" customFormat="1" ht="15">
      <c r="A532" s="1"/>
      <c r="B532" s="1"/>
      <c r="C532" s="1"/>
      <c r="D532" s="1"/>
      <c r="E532" s="1"/>
      <c r="F532" s="1"/>
      <c r="H532" s="1"/>
      <c r="J532" s="16"/>
      <c r="L532" s="16"/>
      <c r="N532" s="1"/>
      <c r="P532" s="16"/>
      <c r="R532" s="16"/>
      <c r="T532" s="1"/>
      <c r="V532" s="16"/>
      <c r="X532" s="16"/>
      <c r="Z532" s="1"/>
      <c r="AB532" s="16"/>
      <c r="AD532" s="16"/>
      <c r="AF532" s="1"/>
    </row>
    <row r="533" spans="1:32" s="62" customFormat="1" ht="15">
      <c r="A533" s="1"/>
      <c r="B533" s="1"/>
      <c r="C533" s="1"/>
      <c r="D533" s="1"/>
      <c r="E533" s="1"/>
      <c r="F533" s="1"/>
      <c r="H533" s="1"/>
      <c r="J533" s="16"/>
      <c r="L533" s="16"/>
      <c r="N533" s="1"/>
      <c r="P533" s="16"/>
      <c r="R533" s="16"/>
      <c r="T533" s="1"/>
      <c r="V533" s="16"/>
      <c r="X533" s="16"/>
      <c r="Z533" s="1"/>
      <c r="AB533" s="16"/>
      <c r="AD533" s="16"/>
      <c r="AF533" s="1"/>
    </row>
    <row r="534" spans="1:32" s="62" customFormat="1" ht="15">
      <c r="A534" s="1"/>
      <c r="B534" s="1"/>
      <c r="C534" s="1"/>
      <c r="D534" s="1"/>
      <c r="E534" s="1"/>
      <c r="F534" s="1"/>
      <c r="H534" s="1"/>
      <c r="J534" s="16"/>
      <c r="L534" s="16"/>
      <c r="N534" s="1"/>
      <c r="P534" s="16"/>
      <c r="R534" s="16"/>
      <c r="T534" s="1"/>
      <c r="V534" s="16"/>
      <c r="X534" s="16"/>
      <c r="Z534" s="1"/>
      <c r="AB534" s="16"/>
      <c r="AD534" s="16"/>
      <c r="AF534" s="1"/>
    </row>
    <row r="535" spans="1:32" s="62" customFormat="1" ht="15">
      <c r="A535" s="1"/>
      <c r="B535" s="1"/>
      <c r="C535" s="1"/>
      <c r="D535" s="1"/>
      <c r="E535" s="1"/>
      <c r="F535" s="1"/>
      <c r="H535" s="1"/>
      <c r="J535" s="16"/>
      <c r="L535" s="16"/>
      <c r="N535" s="1"/>
      <c r="P535" s="16"/>
      <c r="R535" s="16"/>
      <c r="T535" s="1"/>
      <c r="V535" s="16"/>
      <c r="X535" s="16"/>
      <c r="Z535" s="1"/>
      <c r="AB535" s="16"/>
      <c r="AD535" s="16"/>
      <c r="AF535" s="1"/>
    </row>
    <row r="536" spans="1:32" s="62" customFormat="1" ht="15">
      <c r="A536" s="1"/>
      <c r="B536" s="1"/>
      <c r="C536" s="1"/>
      <c r="D536" s="1"/>
      <c r="E536" s="1"/>
      <c r="F536" s="1"/>
      <c r="H536" s="1"/>
      <c r="J536" s="16"/>
      <c r="L536" s="16"/>
      <c r="N536" s="1"/>
      <c r="P536" s="16"/>
      <c r="R536" s="16"/>
      <c r="T536" s="1"/>
      <c r="V536" s="16"/>
      <c r="X536" s="16"/>
      <c r="Z536" s="1"/>
      <c r="AB536" s="16"/>
      <c r="AD536" s="16"/>
      <c r="AF536" s="1"/>
    </row>
    <row r="537" spans="1:32" s="62" customFormat="1" ht="15">
      <c r="A537" s="1"/>
      <c r="B537" s="1"/>
      <c r="C537" s="1"/>
      <c r="D537" s="1"/>
      <c r="E537" s="1"/>
      <c r="F537" s="1"/>
      <c r="H537" s="1"/>
      <c r="J537" s="16"/>
      <c r="L537" s="16"/>
      <c r="N537" s="1"/>
      <c r="P537" s="16"/>
      <c r="R537" s="16"/>
      <c r="T537" s="1"/>
      <c r="V537" s="16"/>
      <c r="X537" s="16"/>
      <c r="Z537" s="1"/>
      <c r="AB537" s="16"/>
      <c r="AD537" s="16"/>
      <c r="AF537" s="1"/>
    </row>
    <row r="538" spans="1:32" s="62" customFormat="1" ht="15">
      <c r="A538" s="1"/>
      <c r="B538" s="1"/>
      <c r="C538" s="1"/>
      <c r="D538" s="1"/>
      <c r="E538" s="1"/>
      <c r="F538" s="1"/>
      <c r="H538" s="1"/>
      <c r="J538" s="16"/>
      <c r="L538" s="16"/>
      <c r="N538" s="1"/>
      <c r="P538" s="16"/>
      <c r="R538" s="16"/>
      <c r="T538" s="1"/>
      <c r="V538" s="16"/>
      <c r="X538" s="16"/>
      <c r="Z538" s="1"/>
      <c r="AB538" s="16"/>
      <c r="AD538" s="16"/>
      <c r="AF538" s="1"/>
    </row>
    <row r="539" spans="1:32" s="62" customFormat="1" ht="15">
      <c r="A539" s="1"/>
      <c r="B539" s="1"/>
      <c r="C539" s="1"/>
      <c r="D539" s="1"/>
      <c r="E539" s="1"/>
      <c r="F539" s="1"/>
      <c r="H539" s="1"/>
      <c r="J539" s="16"/>
      <c r="L539" s="16"/>
      <c r="N539" s="1"/>
      <c r="P539" s="16"/>
      <c r="R539" s="16"/>
      <c r="T539" s="1"/>
      <c r="V539" s="16"/>
      <c r="X539" s="16"/>
      <c r="Z539" s="1"/>
      <c r="AB539" s="16"/>
      <c r="AD539" s="16"/>
      <c r="AF539" s="1"/>
    </row>
    <row r="540" spans="1:32" s="62" customFormat="1" ht="15">
      <c r="A540" s="1"/>
      <c r="B540" s="1"/>
      <c r="C540" s="1"/>
      <c r="D540" s="1"/>
      <c r="E540" s="1"/>
      <c r="F540" s="1"/>
      <c r="H540" s="1"/>
      <c r="J540" s="16"/>
      <c r="L540" s="16"/>
      <c r="N540" s="1"/>
      <c r="P540" s="16"/>
      <c r="R540" s="16"/>
      <c r="T540" s="1"/>
      <c r="V540" s="16"/>
      <c r="X540" s="16"/>
      <c r="Z540" s="1"/>
      <c r="AB540" s="16"/>
      <c r="AD540" s="16"/>
      <c r="AF540" s="1"/>
    </row>
    <row r="541" spans="1:32" s="62" customFormat="1" ht="15">
      <c r="A541" s="1"/>
      <c r="B541" s="1"/>
      <c r="C541" s="1"/>
      <c r="D541" s="1"/>
      <c r="E541" s="1"/>
      <c r="F541" s="1"/>
      <c r="H541" s="1"/>
      <c r="J541" s="16"/>
      <c r="L541" s="16"/>
      <c r="N541" s="1"/>
      <c r="P541" s="16"/>
      <c r="R541" s="16"/>
      <c r="T541" s="1"/>
      <c r="V541" s="16"/>
      <c r="X541" s="16"/>
      <c r="Z541" s="1"/>
      <c r="AB541" s="16"/>
      <c r="AD541" s="16"/>
      <c r="AF541" s="1"/>
    </row>
    <row r="542" spans="1:32" s="62" customFormat="1" ht="15">
      <c r="A542" s="1"/>
      <c r="B542" s="1"/>
      <c r="C542" s="1"/>
      <c r="D542" s="1"/>
      <c r="E542" s="1"/>
      <c r="F542" s="1"/>
      <c r="H542" s="1"/>
      <c r="J542" s="16"/>
      <c r="L542" s="16"/>
      <c r="N542" s="1"/>
      <c r="P542" s="16"/>
      <c r="R542" s="16"/>
      <c r="T542" s="1"/>
      <c r="V542" s="16"/>
      <c r="X542" s="16"/>
      <c r="Z542" s="1"/>
      <c r="AB542" s="16"/>
      <c r="AD542" s="16"/>
      <c r="AF542" s="1"/>
    </row>
    <row r="543" spans="1:32" s="62" customFormat="1" ht="15">
      <c r="A543" s="1"/>
      <c r="B543" s="1"/>
      <c r="C543" s="1"/>
      <c r="D543" s="1"/>
      <c r="E543" s="1"/>
      <c r="F543" s="1"/>
      <c r="H543" s="1"/>
      <c r="J543" s="16"/>
      <c r="L543" s="16"/>
      <c r="N543" s="1"/>
      <c r="P543" s="16"/>
      <c r="R543" s="16"/>
      <c r="T543" s="1"/>
      <c r="V543" s="16"/>
      <c r="X543" s="16"/>
      <c r="Z543" s="1"/>
      <c r="AB543" s="16"/>
      <c r="AD543" s="16"/>
      <c r="AF543" s="1"/>
    </row>
    <row r="544" spans="1:32" s="62" customFormat="1" ht="15">
      <c r="A544" s="1"/>
      <c r="B544" s="1"/>
      <c r="C544" s="1"/>
      <c r="D544" s="1"/>
      <c r="E544" s="1"/>
      <c r="F544" s="1"/>
      <c r="H544" s="1"/>
      <c r="J544" s="16"/>
      <c r="L544" s="16"/>
      <c r="N544" s="1"/>
      <c r="P544" s="16"/>
      <c r="R544" s="16"/>
      <c r="T544" s="1"/>
      <c r="V544" s="16"/>
      <c r="X544" s="16"/>
      <c r="Z544" s="1"/>
      <c r="AB544" s="16"/>
      <c r="AD544" s="16"/>
      <c r="AF544" s="1"/>
    </row>
    <row r="545" spans="1:32" s="62" customFormat="1" ht="15">
      <c r="A545" s="1"/>
      <c r="B545" s="1"/>
      <c r="C545" s="1"/>
      <c r="D545" s="1"/>
      <c r="E545" s="1"/>
      <c r="F545" s="1"/>
      <c r="H545" s="1"/>
      <c r="J545" s="16"/>
      <c r="L545" s="16"/>
      <c r="N545" s="1"/>
      <c r="P545" s="16"/>
      <c r="R545" s="16"/>
      <c r="T545" s="1"/>
      <c r="V545" s="16"/>
      <c r="X545" s="16"/>
      <c r="Z545" s="1"/>
      <c r="AB545" s="16"/>
      <c r="AD545" s="16"/>
      <c r="AF545" s="1"/>
    </row>
    <row r="546" spans="1:32" s="62" customFormat="1" ht="15">
      <c r="A546" s="1"/>
      <c r="B546" s="1"/>
      <c r="C546" s="1"/>
      <c r="D546" s="1"/>
      <c r="E546" s="1"/>
      <c r="F546" s="1"/>
      <c r="H546" s="1"/>
      <c r="J546" s="16"/>
      <c r="L546" s="16"/>
      <c r="N546" s="1"/>
      <c r="P546" s="16"/>
      <c r="R546" s="16"/>
      <c r="T546" s="1"/>
      <c r="V546" s="16"/>
      <c r="X546" s="16"/>
      <c r="Z546" s="1"/>
      <c r="AB546" s="16"/>
      <c r="AD546" s="16"/>
      <c r="AF546" s="1"/>
    </row>
    <row r="547" spans="1:32" s="62" customFormat="1" ht="15">
      <c r="A547" s="1"/>
      <c r="B547" s="1"/>
      <c r="C547" s="1"/>
      <c r="D547" s="1"/>
      <c r="E547" s="1"/>
      <c r="F547" s="1"/>
      <c r="H547" s="1"/>
      <c r="J547" s="16"/>
      <c r="L547" s="16"/>
      <c r="N547" s="1"/>
      <c r="P547" s="16"/>
      <c r="R547" s="16"/>
      <c r="T547" s="1"/>
      <c r="V547" s="16"/>
      <c r="X547" s="16"/>
      <c r="Z547" s="1"/>
      <c r="AB547" s="16"/>
      <c r="AD547" s="16"/>
      <c r="AF547" s="1"/>
    </row>
    <row r="548" spans="1:32" s="62" customFormat="1" ht="15">
      <c r="A548" s="1"/>
      <c r="B548" s="1"/>
      <c r="C548" s="1"/>
      <c r="D548" s="1"/>
      <c r="E548" s="1"/>
      <c r="F548" s="1"/>
      <c r="H548" s="1"/>
      <c r="J548" s="16"/>
      <c r="L548" s="16"/>
      <c r="N548" s="1"/>
      <c r="P548" s="16"/>
      <c r="R548" s="16"/>
      <c r="T548" s="1"/>
      <c r="V548" s="16"/>
      <c r="X548" s="16"/>
      <c r="Z548" s="1"/>
      <c r="AB548" s="16"/>
      <c r="AD548" s="16"/>
      <c r="AF548" s="1"/>
    </row>
    <row r="549" spans="1:32" s="62" customFormat="1" ht="15">
      <c r="A549" s="1"/>
      <c r="B549" s="1"/>
      <c r="C549" s="1"/>
      <c r="D549" s="1"/>
      <c r="E549" s="1"/>
      <c r="F549" s="1"/>
      <c r="H549" s="1"/>
      <c r="J549" s="16"/>
      <c r="L549" s="16"/>
      <c r="N549" s="1"/>
      <c r="P549" s="16"/>
      <c r="R549" s="16"/>
      <c r="T549" s="1"/>
      <c r="V549" s="16"/>
      <c r="X549" s="16"/>
      <c r="Z549" s="1"/>
      <c r="AB549" s="16"/>
      <c r="AD549" s="16"/>
      <c r="AF549" s="1"/>
    </row>
    <row r="550" spans="1:32" s="62" customFormat="1" ht="15">
      <c r="A550" s="1"/>
      <c r="B550" s="1"/>
      <c r="C550" s="1"/>
      <c r="D550" s="1"/>
      <c r="E550" s="1"/>
      <c r="F550" s="1"/>
      <c r="H550" s="1"/>
      <c r="J550" s="16"/>
      <c r="L550" s="16"/>
      <c r="N550" s="1"/>
      <c r="P550" s="16"/>
      <c r="R550" s="16"/>
      <c r="T550" s="1"/>
      <c r="V550" s="16"/>
      <c r="X550" s="16"/>
      <c r="Z550" s="1"/>
      <c r="AB550" s="16"/>
      <c r="AD550" s="16"/>
      <c r="AF550" s="1"/>
    </row>
    <row r="551" spans="1:32" s="62" customFormat="1" ht="15">
      <c r="A551" s="1"/>
      <c r="B551" s="1"/>
      <c r="C551" s="1"/>
      <c r="D551" s="1"/>
      <c r="E551" s="1"/>
      <c r="F551" s="1"/>
      <c r="H551" s="1"/>
      <c r="J551" s="16"/>
      <c r="L551" s="16"/>
      <c r="N551" s="1"/>
      <c r="P551" s="16"/>
      <c r="R551" s="16"/>
      <c r="T551" s="1"/>
      <c r="V551" s="16"/>
      <c r="X551" s="16"/>
      <c r="Z551" s="1"/>
      <c r="AB551" s="16"/>
      <c r="AD551" s="16"/>
      <c r="AF551" s="1"/>
    </row>
    <row r="552" spans="1:32" s="62" customFormat="1" ht="15">
      <c r="A552" s="1"/>
      <c r="B552" s="1"/>
      <c r="C552" s="1"/>
      <c r="D552" s="1"/>
      <c r="E552" s="1"/>
      <c r="F552" s="1"/>
      <c r="H552" s="1"/>
      <c r="J552" s="16"/>
      <c r="L552" s="16"/>
      <c r="N552" s="1"/>
      <c r="P552" s="16"/>
      <c r="R552" s="16"/>
      <c r="T552" s="1"/>
      <c r="V552" s="16"/>
      <c r="X552" s="16"/>
      <c r="Z552" s="1"/>
      <c r="AB552" s="16"/>
      <c r="AD552" s="16"/>
      <c r="AF552" s="1"/>
    </row>
    <row r="553" spans="1:32" s="62" customFormat="1" ht="15">
      <c r="A553" s="1"/>
      <c r="B553" s="1"/>
      <c r="C553" s="1"/>
      <c r="D553" s="1"/>
      <c r="E553" s="1"/>
      <c r="F553" s="1"/>
      <c r="H553" s="1"/>
      <c r="J553" s="16"/>
      <c r="L553" s="16"/>
      <c r="N553" s="1"/>
      <c r="P553" s="16"/>
      <c r="R553" s="16"/>
      <c r="T553" s="1"/>
      <c r="V553" s="16"/>
      <c r="X553" s="16"/>
      <c r="Z553" s="1"/>
      <c r="AB553" s="16"/>
      <c r="AD553" s="16"/>
      <c r="AF553" s="1"/>
    </row>
    <row r="554" spans="1:32" s="62" customFormat="1" ht="15">
      <c r="A554" s="1"/>
      <c r="B554" s="1"/>
      <c r="C554" s="1"/>
      <c r="D554" s="1"/>
      <c r="E554" s="1"/>
      <c r="F554" s="1"/>
      <c r="H554" s="1"/>
      <c r="J554" s="16"/>
      <c r="L554" s="16"/>
      <c r="N554" s="1"/>
      <c r="P554" s="16"/>
      <c r="R554" s="16"/>
      <c r="T554" s="1"/>
      <c r="V554" s="16"/>
      <c r="X554" s="16"/>
      <c r="Z554" s="1"/>
      <c r="AB554" s="16"/>
      <c r="AD554" s="16"/>
      <c r="AF554" s="1"/>
    </row>
    <row r="555" spans="1:32" s="62" customFormat="1" ht="15">
      <c r="A555" s="1"/>
      <c r="B555" s="1"/>
      <c r="C555" s="1"/>
      <c r="D555" s="1"/>
      <c r="E555" s="1"/>
      <c r="F555" s="1"/>
      <c r="H555" s="1"/>
      <c r="J555" s="16"/>
      <c r="L555" s="16"/>
      <c r="N555" s="1"/>
      <c r="P555" s="16"/>
      <c r="R555" s="16"/>
      <c r="T555" s="1"/>
      <c r="V555" s="16"/>
      <c r="X555" s="16"/>
      <c r="Z555" s="1"/>
      <c r="AB555" s="16"/>
      <c r="AD555" s="16"/>
      <c r="AF555" s="1"/>
    </row>
    <row r="556" spans="1:32" s="62" customFormat="1">
      <c r="A556" s="1"/>
      <c r="B556" s="1"/>
      <c r="C556" s="1"/>
      <c r="D556" s="1"/>
      <c r="E556" s="1"/>
      <c r="F556" s="1"/>
      <c r="H556" s="1"/>
      <c r="J556" s="1"/>
      <c r="L556" s="1"/>
      <c r="N556" s="1"/>
      <c r="P556" s="1"/>
      <c r="R556" s="1"/>
      <c r="T556" s="1"/>
      <c r="V556" s="1"/>
      <c r="X556" s="1"/>
      <c r="Z556" s="1"/>
      <c r="AB556" s="1"/>
      <c r="AD556" s="1"/>
      <c r="AF556" s="1"/>
    </row>
    <row r="557" spans="1:32" s="62" customFormat="1">
      <c r="A557" s="1"/>
      <c r="B557" s="1"/>
      <c r="C557" s="1"/>
      <c r="D557" s="1"/>
      <c r="E557" s="1"/>
      <c r="F557" s="1"/>
      <c r="H557" s="1"/>
      <c r="J557" s="1"/>
      <c r="L557" s="1"/>
      <c r="N557" s="1"/>
      <c r="P557" s="1"/>
      <c r="R557" s="1"/>
      <c r="T557" s="1"/>
      <c r="V557" s="1"/>
      <c r="X557" s="1"/>
      <c r="Z557" s="1"/>
      <c r="AB557" s="1"/>
      <c r="AD557" s="1"/>
      <c r="AF557" s="1"/>
    </row>
    <row r="558" spans="1:32" s="62" customFormat="1">
      <c r="A558" s="1"/>
      <c r="B558" s="1"/>
      <c r="C558" s="1"/>
      <c r="D558" s="1"/>
      <c r="E558" s="1"/>
      <c r="F558" s="1"/>
      <c r="H558" s="1"/>
      <c r="J558" s="1"/>
      <c r="L558" s="1"/>
      <c r="N558" s="1"/>
      <c r="P558" s="1"/>
      <c r="R558" s="1"/>
      <c r="T558" s="1"/>
      <c r="V558" s="1"/>
      <c r="X558" s="1"/>
      <c r="Z558" s="1"/>
      <c r="AB558" s="1"/>
      <c r="AD558" s="1"/>
      <c r="AF558" s="1"/>
    </row>
    <row r="559" spans="1:32" s="62" customFormat="1">
      <c r="A559" s="1"/>
      <c r="B559" s="1"/>
      <c r="C559" s="1"/>
      <c r="D559" s="1"/>
      <c r="E559" s="1"/>
      <c r="F559" s="1"/>
      <c r="H559" s="1"/>
      <c r="J559" s="1"/>
      <c r="L559" s="1"/>
      <c r="N559" s="1"/>
      <c r="P559" s="1"/>
      <c r="R559" s="1"/>
      <c r="T559" s="1"/>
      <c r="V559" s="1"/>
      <c r="X559" s="1"/>
      <c r="Z559" s="1"/>
      <c r="AB559" s="1"/>
      <c r="AD559" s="1"/>
      <c r="AF559" s="1"/>
    </row>
    <row r="560" spans="1:32" s="62" customFormat="1">
      <c r="A560" s="1"/>
      <c r="B560" s="1"/>
      <c r="C560" s="1"/>
      <c r="D560" s="1"/>
      <c r="E560" s="1"/>
      <c r="F560" s="1"/>
      <c r="H560" s="1"/>
      <c r="J560" s="1"/>
      <c r="L560" s="1"/>
      <c r="N560" s="1"/>
      <c r="P560" s="1"/>
      <c r="R560" s="1"/>
      <c r="T560" s="1"/>
      <c r="V560" s="1"/>
      <c r="X560" s="1"/>
      <c r="Z560" s="1"/>
      <c r="AB560" s="1"/>
      <c r="AD560" s="1"/>
      <c r="AF560" s="1"/>
    </row>
    <row r="561" spans="1:32" s="62" customFormat="1">
      <c r="A561" s="1"/>
      <c r="B561" s="1"/>
      <c r="C561" s="1"/>
      <c r="D561" s="1"/>
      <c r="E561" s="1"/>
      <c r="F561" s="1"/>
      <c r="H561" s="1"/>
      <c r="J561" s="1"/>
      <c r="L561" s="1"/>
      <c r="N561" s="1"/>
      <c r="P561" s="1"/>
      <c r="R561" s="1"/>
      <c r="T561" s="1"/>
      <c r="V561" s="1"/>
      <c r="X561" s="1"/>
      <c r="Z561" s="1"/>
      <c r="AB561" s="1"/>
      <c r="AD561" s="1"/>
      <c r="AF561" s="1"/>
    </row>
    <row r="562" spans="1:32" s="62" customFormat="1">
      <c r="A562" s="1"/>
      <c r="B562" s="1"/>
      <c r="C562" s="1"/>
      <c r="D562" s="1"/>
      <c r="E562" s="1"/>
      <c r="F562" s="1"/>
      <c r="H562" s="1"/>
      <c r="J562" s="1"/>
      <c r="L562" s="1"/>
      <c r="N562" s="1"/>
      <c r="P562" s="1"/>
      <c r="R562" s="1"/>
      <c r="T562" s="1"/>
      <c r="V562" s="1"/>
      <c r="X562" s="1"/>
      <c r="Z562" s="1"/>
      <c r="AB562" s="1"/>
      <c r="AD562" s="1"/>
      <c r="AF562" s="1"/>
    </row>
    <row r="563" spans="1:32" s="62" customFormat="1">
      <c r="A563" s="1"/>
      <c r="B563" s="1"/>
      <c r="C563" s="1"/>
      <c r="D563" s="1"/>
      <c r="E563" s="1"/>
      <c r="F563" s="1"/>
      <c r="H563" s="1"/>
      <c r="J563" s="1"/>
      <c r="L563" s="1"/>
      <c r="N563" s="1"/>
      <c r="P563" s="1"/>
      <c r="R563" s="1"/>
      <c r="T563" s="1"/>
      <c r="V563" s="1"/>
      <c r="X563" s="1"/>
      <c r="Z563" s="1"/>
      <c r="AB563" s="1"/>
      <c r="AD563" s="1"/>
      <c r="AF563" s="1"/>
    </row>
    <row r="564" spans="1:32" s="62" customFormat="1">
      <c r="A564" s="1"/>
      <c r="B564" s="1"/>
      <c r="C564" s="1"/>
      <c r="D564" s="1"/>
      <c r="E564" s="1"/>
      <c r="F564" s="1"/>
      <c r="H564" s="1"/>
      <c r="J564" s="1"/>
      <c r="L564" s="1"/>
      <c r="N564" s="1"/>
      <c r="P564" s="1"/>
      <c r="R564" s="1"/>
      <c r="T564" s="1"/>
      <c r="V564" s="1"/>
      <c r="X564" s="1"/>
      <c r="Z564" s="1"/>
      <c r="AB564" s="1"/>
      <c r="AD564" s="1"/>
      <c r="AF564" s="1"/>
    </row>
    <row r="565" spans="1:32" s="62" customFormat="1">
      <c r="A565" s="1"/>
      <c r="B565" s="1"/>
      <c r="C565" s="1"/>
      <c r="D565" s="1"/>
      <c r="E565" s="1"/>
      <c r="F565" s="1"/>
      <c r="H565" s="1"/>
      <c r="J565" s="1"/>
      <c r="L565" s="1"/>
      <c r="N565" s="1"/>
      <c r="P565" s="1"/>
      <c r="R565" s="1"/>
      <c r="T565" s="1"/>
      <c r="V565" s="1"/>
      <c r="X565" s="1"/>
      <c r="Z565" s="1"/>
      <c r="AB565" s="1"/>
      <c r="AD565" s="1"/>
      <c r="AF565" s="1"/>
    </row>
    <row r="566" spans="1:32" s="62" customFormat="1">
      <c r="A566" s="1"/>
      <c r="B566" s="1"/>
      <c r="C566" s="1"/>
      <c r="D566" s="1"/>
      <c r="E566" s="1"/>
      <c r="F566" s="1"/>
      <c r="H566" s="1"/>
      <c r="J566" s="1"/>
      <c r="L566" s="1"/>
      <c r="N566" s="1"/>
      <c r="P566" s="1"/>
      <c r="R566" s="1"/>
      <c r="T566" s="1"/>
      <c r="V566" s="1"/>
      <c r="X566" s="1"/>
      <c r="Z566" s="1"/>
      <c r="AB566" s="1"/>
      <c r="AD566" s="1"/>
      <c r="AF566" s="1"/>
    </row>
    <row r="567" spans="1:32" s="62" customFormat="1">
      <c r="A567" s="1"/>
      <c r="B567" s="1"/>
      <c r="C567" s="1"/>
      <c r="D567" s="1"/>
      <c r="E567" s="1"/>
      <c r="F567" s="1"/>
      <c r="H567" s="1"/>
      <c r="J567" s="1"/>
      <c r="L567" s="1"/>
      <c r="N567" s="1"/>
      <c r="P567" s="1"/>
      <c r="R567" s="1"/>
      <c r="T567" s="1"/>
      <c r="V567" s="1"/>
      <c r="X567" s="1"/>
      <c r="Z567" s="1"/>
      <c r="AB567" s="1"/>
      <c r="AD567" s="1"/>
      <c r="AF567" s="1"/>
    </row>
    <row r="568" spans="1:32" s="62" customFormat="1">
      <c r="A568" s="1"/>
      <c r="B568" s="1"/>
      <c r="C568" s="1"/>
      <c r="D568" s="1"/>
      <c r="E568" s="1"/>
      <c r="F568" s="1"/>
      <c r="H568" s="1"/>
      <c r="J568" s="1"/>
      <c r="L568" s="1"/>
      <c r="N568" s="1"/>
      <c r="P568" s="1"/>
      <c r="R568" s="1"/>
      <c r="T568" s="1"/>
      <c r="V568" s="1"/>
      <c r="X568" s="1"/>
      <c r="Z568" s="1"/>
      <c r="AB568" s="1"/>
      <c r="AD568" s="1"/>
      <c r="AF568" s="1"/>
    </row>
    <row r="569" spans="1:32" s="62" customFormat="1">
      <c r="A569" s="1"/>
      <c r="B569" s="1"/>
      <c r="C569" s="1"/>
      <c r="D569" s="1"/>
      <c r="E569" s="1"/>
      <c r="F569" s="1"/>
      <c r="H569" s="1"/>
      <c r="J569" s="1"/>
      <c r="L569" s="1"/>
      <c r="N569" s="1"/>
      <c r="P569" s="1"/>
      <c r="R569" s="1"/>
      <c r="T569" s="1"/>
      <c r="V569" s="1"/>
      <c r="X569" s="1"/>
      <c r="Z569" s="1"/>
      <c r="AB569" s="1"/>
      <c r="AD569" s="1"/>
      <c r="AF569" s="1"/>
    </row>
    <row r="570" spans="1:32" s="62" customFormat="1">
      <c r="A570" s="1"/>
      <c r="B570" s="1"/>
      <c r="C570" s="1"/>
      <c r="D570" s="1"/>
      <c r="E570" s="1"/>
      <c r="F570" s="1"/>
      <c r="H570" s="1"/>
      <c r="J570" s="1"/>
      <c r="L570" s="1"/>
      <c r="N570" s="1"/>
      <c r="P570" s="1"/>
      <c r="R570" s="1"/>
      <c r="T570" s="1"/>
      <c r="V570" s="1"/>
      <c r="X570" s="1"/>
      <c r="Z570" s="1"/>
      <c r="AB570" s="1"/>
      <c r="AD570" s="1"/>
      <c r="AF570" s="1"/>
    </row>
  </sheetData>
  <mergeCells count="1">
    <mergeCell ref="G1:O2"/>
  </mergeCells>
  <pageMargins left="0.25" right="0.25" top="0.27" bottom="0.4" header="0.18" footer="0.25"/>
  <pageSetup scale="70" fitToHeight="0" pageOrder="overThenDown" orientation="portrait" errors="blank" horizontalDpi="4294967292" r:id="rId1"/>
  <headerFooter alignWithMargins="0">
    <oddFooter>&amp;L&amp;F - &amp;A&amp;RPage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showGridLines="0" view="pageBreakPreview" zoomScale="85" zoomScaleNormal="85" zoomScaleSheetLayoutView="85" workbookViewId="0">
      <selection activeCell="AI26" sqref="AI26"/>
    </sheetView>
  </sheetViews>
  <sheetFormatPr defaultRowHeight="12.75"/>
  <cols>
    <col min="1" max="1" width="32.28515625" style="772" bestFit="1" customWidth="1"/>
    <col min="2" max="2" width="12.28515625" style="772" customWidth="1"/>
    <col min="3" max="3" width="15.7109375" style="772" customWidth="1"/>
    <col min="4" max="4" width="15.5703125" style="772" customWidth="1"/>
    <col min="5" max="6" width="14.42578125" style="772" customWidth="1"/>
    <col min="7" max="16384" width="9.140625" style="772"/>
  </cols>
  <sheetData>
    <row r="1" spans="1:7">
      <c r="A1" s="771" t="s">
        <v>1450</v>
      </c>
    </row>
    <row r="2" spans="1:7">
      <c r="A2" s="771" t="s">
        <v>1475</v>
      </c>
    </row>
    <row r="3" spans="1:7">
      <c r="A3" s="771" t="s">
        <v>491</v>
      </c>
    </row>
    <row r="5" spans="1:7" ht="13.5" thickBot="1">
      <c r="A5" s="1402" t="s">
        <v>1476</v>
      </c>
      <c r="B5" s="1402"/>
      <c r="C5" s="1402"/>
      <c r="D5" s="1402"/>
      <c r="E5" s="1402"/>
      <c r="F5" s="1402"/>
      <c r="G5" s="1402"/>
    </row>
    <row r="6" spans="1:7">
      <c r="A6" s="773"/>
      <c r="B6" s="773"/>
      <c r="C6" s="773"/>
      <c r="D6" s="773"/>
      <c r="E6" s="773"/>
      <c r="F6" s="773"/>
      <c r="G6" s="773"/>
    </row>
    <row r="7" spans="1:7" ht="15">
      <c r="A7" s="774" t="s">
        <v>1477</v>
      </c>
      <c r="B7" s="775" t="s">
        <v>1478</v>
      </c>
      <c r="C7" s="776" t="s">
        <v>1479</v>
      </c>
      <c r="D7" s="776" t="s">
        <v>1480</v>
      </c>
      <c r="E7" s="777"/>
      <c r="F7" s="778"/>
    </row>
    <row r="8" spans="1:7" ht="15">
      <c r="A8" s="779" t="s">
        <v>1481</v>
      </c>
      <c r="B8" s="620">
        <f>+'Payroll Detail'!S44</f>
        <v>72326.629338199986</v>
      </c>
      <c r="C8" s="620">
        <f>+B8-D8</f>
        <v>5716.543331799985</v>
      </c>
      <c r="D8" s="620">
        <f>+'Payroll Detail'!G44+'Payroll Detail'!H44</f>
        <v>66610.086006400001</v>
      </c>
      <c r="E8" s="777"/>
      <c r="F8" s="778"/>
    </row>
    <row r="9" spans="1:7" ht="15">
      <c r="A9" s="779" t="s">
        <v>1297</v>
      </c>
      <c r="B9" s="620">
        <f>+'Payroll Detail'!S62</f>
        <v>35440.336678000007</v>
      </c>
      <c r="C9" s="620">
        <f t="shared" ref="C9:C20" si="0">+B9-D9</f>
        <v>3167.1499990000084</v>
      </c>
      <c r="D9" s="620">
        <f>+'Payroll Detail'!G62+'Payroll Detail'!H62</f>
        <v>32273.186678999999</v>
      </c>
      <c r="E9" s="777"/>
      <c r="F9" s="778"/>
    </row>
    <row r="10" spans="1:7" ht="15">
      <c r="A10" s="779" t="s">
        <v>1482</v>
      </c>
      <c r="B10" s="620">
        <f>+'Payroll Detail'!S101</f>
        <v>75488.667748999986</v>
      </c>
      <c r="C10" s="620">
        <f t="shared" si="0"/>
        <v>3426.4033659999841</v>
      </c>
      <c r="D10" s="620">
        <f>+'Payroll Detail'!G101+'Payroll Detail'!H101</f>
        <v>72062.264383000002</v>
      </c>
      <c r="E10" s="777"/>
      <c r="F10" s="778"/>
    </row>
    <row r="11" spans="1:7" ht="15">
      <c r="A11" s="779" t="s">
        <v>23</v>
      </c>
      <c r="B11" s="620">
        <f>+'Payroll Detail'!S110</f>
        <v>12855.22666</v>
      </c>
      <c r="C11" s="620">
        <f t="shared" si="0"/>
        <v>791.98333800000182</v>
      </c>
      <c r="D11" s="620">
        <f>+'Payroll Detail'!G110+'Payroll Detail'!H110</f>
        <v>12063.243321999998</v>
      </c>
      <c r="E11" s="777"/>
      <c r="F11" s="778"/>
    </row>
    <row r="12" spans="1:7" ht="15">
      <c r="A12" s="779" t="s">
        <v>1246</v>
      </c>
      <c r="B12" s="620">
        <f>+'Payroll Detail'!S122</f>
        <v>19214.776663000001</v>
      </c>
      <c r="C12" s="620">
        <f t="shared" si="0"/>
        <v>1516.1366670000025</v>
      </c>
      <c r="D12" s="620">
        <f>+'Payroll Detail'!G122+'Payroll Detail'!H122</f>
        <v>17698.639995999998</v>
      </c>
      <c r="E12" s="777"/>
      <c r="F12" s="778"/>
    </row>
    <row r="13" spans="1:7" ht="15">
      <c r="A13" s="779" t="s">
        <v>1483</v>
      </c>
      <c r="B13" s="620">
        <f>+'Payroll Detail'!S137</f>
        <v>26906.200014000002</v>
      </c>
      <c r="C13" s="620">
        <f t="shared" si="0"/>
        <v>2477.2666749999989</v>
      </c>
      <c r="D13" s="620">
        <f>+'Payroll Detail'!G137+'Payroll Detail'!H137</f>
        <v>24428.933339000003</v>
      </c>
      <c r="E13" s="777"/>
      <c r="F13" s="778"/>
    </row>
    <row r="14" spans="1:7" ht="15">
      <c r="A14" s="779" t="s">
        <v>19</v>
      </c>
      <c r="B14" s="620">
        <f>+'Payroll Detail'!S151</f>
        <v>18711.143335999997</v>
      </c>
      <c r="C14" s="620">
        <f t="shared" si="0"/>
        <v>1560.693336999997</v>
      </c>
      <c r="D14" s="620">
        <f>+'Payroll Detail'!G151+'Payroll Detail'!H151</f>
        <v>17150.449999</v>
      </c>
      <c r="E14" s="777"/>
      <c r="F14" s="778"/>
    </row>
    <row r="15" spans="1:7" ht="15">
      <c r="A15" s="779" t="s">
        <v>1241</v>
      </c>
      <c r="B15" s="620">
        <f>+'Payroll Detail'!S159</f>
        <v>9796.9366559999999</v>
      </c>
      <c r="C15" s="620">
        <f t="shared" si="0"/>
        <v>887.19999899999857</v>
      </c>
      <c r="D15" s="620">
        <f>+'Payroll Detail'!G159+'Payroll Detail'!H159</f>
        <v>8909.7366570000013</v>
      </c>
      <c r="E15" s="777"/>
      <c r="F15" s="778"/>
    </row>
    <row r="16" spans="1:7" ht="15">
      <c r="A16" s="779" t="s">
        <v>481</v>
      </c>
      <c r="B16" s="620">
        <f>+'Payroll Detail'!S165</f>
        <v>5151.4533350000002</v>
      </c>
      <c r="C16" s="620">
        <f t="shared" si="0"/>
        <v>472</v>
      </c>
      <c r="D16" s="620">
        <f>+'Payroll Detail'!G165+'Payroll Detail'!H165</f>
        <v>4679.4533350000002</v>
      </c>
      <c r="E16" s="777"/>
      <c r="F16" s="778"/>
    </row>
    <row r="17" spans="1:6" ht="15">
      <c r="A17" s="779" t="s">
        <v>1484</v>
      </c>
      <c r="B17" s="620">
        <f>+'Payroll Detail'!S179</f>
        <v>23519.963325000001</v>
      </c>
      <c r="C17" s="620">
        <f t="shared" si="0"/>
        <v>1783.5466620000007</v>
      </c>
      <c r="D17" s="620">
        <f>+'Payroll Detail'!G179+'Payroll Detail'!H179</f>
        <v>21736.416663</v>
      </c>
      <c r="E17" s="777"/>
      <c r="F17" s="778"/>
    </row>
    <row r="18" spans="1:6" ht="15">
      <c r="A18" s="779" t="s">
        <v>1485</v>
      </c>
      <c r="B18" s="620">
        <f>+'Payroll Detail'!S209</f>
        <v>12472.753328999999</v>
      </c>
      <c r="C18" s="620">
        <f t="shared" si="0"/>
        <v>318.26666899999873</v>
      </c>
      <c r="D18" s="620">
        <f>+'Payroll Detail'!G209+'Payroll Detail'!H209</f>
        <v>12154.48666</v>
      </c>
      <c r="E18" s="777"/>
      <c r="F18" s="778"/>
    </row>
    <row r="19" spans="1:6" ht="15">
      <c r="A19" s="779" t="s">
        <v>1486</v>
      </c>
      <c r="B19" s="620">
        <f>+'Payroll Detail'!S214</f>
        <v>1029.6106668</v>
      </c>
      <c r="C19" s="620">
        <f t="shared" si="0"/>
        <v>94.073333199999979</v>
      </c>
      <c r="D19" s="620">
        <f>+'Payroll Detail'!G214+'Payroll Detail'!H214</f>
        <v>935.53733360000001</v>
      </c>
      <c r="E19" s="777"/>
      <c r="F19" s="778"/>
    </row>
    <row r="20" spans="1:6" ht="15">
      <c r="A20" s="779" t="s">
        <v>1487</v>
      </c>
      <c r="B20" s="620">
        <f>+'Payroll Detail'!S220</f>
        <v>2110.120003</v>
      </c>
      <c r="C20" s="620">
        <f t="shared" si="0"/>
        <v>102.58000000000015</v>
      </c>
      <c r="D20" s="620">
        <f>+'Payroll Detail'!G220+'Payroll Detail'!H220</f>
        <v>2007.5400029999998</v>
      </c>
      <c r="E20" s="777"/>
      <c r="F20" s="778"/>
    </row>
    <row r="21" spans="1:6" ht="15">
      <c r="A21" s="779"/>
      <c r="B21" s="620"/>
      <c r="C21" s="620"/>
      <c r="D21" s="620"/>
      <c r="E21" s="777"/>
      <c r="F21" s="778"/>
    </row>
    <row r="22" spans="1:6" ht="15">
      <c r="A22" s="779"/>
      <c r="B22" s="780">
        <f>SUM(B8:B21)</f>
        <v>315023.81775300001</v>
      </c>
      <c r="C22" s="780">
        <f>SUM(C8:C21)</f>
        <v>22313.843376999976</v>
      </c>
      <c r="D22" s="780">
        <f>SUM(D8:D21)</f>
        <v>292709.974376</v>
      </c>
      <c r="E22" s="780"/>
      <c r="F22" s="778"/>
    </row>
    <row r="23" spans="1:6" ht="15">
      <c r="A23" s="620"/>
      <c r="B23" s="620"/>
      <c r="C23" s="781"/>
      <c r="D23" s="777"/>
      <c r="E23" s="777"/>
      <c r="F23" s="778"/>
    </row>
    <row r="24" spans="1:6" ht="15">
      <c r="A24" s="782"/>
      <c r="B24" s="781"/>
      <c r="C24" s="783"/>
      <c r="D24" s="781"/>
      <c r="E24" s="781"/>
      <c r="F24" s="778"/>
    </row>
    <row r="25" spans="1:6" ht="25.5">
      <c r="A25" s="774" t="s">
        <v>1477</v>
      </c>
      <c r="B25" s="784" t="s">
        <v>1488</v>
      </c>
      <c r="C25" s="784" t="s">
        <v>1489</v>
      </c>
      <c r="D25" s="776" t="s">
        <v>1490</v>
      </c>
      <c r="E25" s="784" t="s">
        <v>1491</v>
      </c>
      <c r="F25" s="784" t="s">
        <v>1492</v>
      </c>
    </row>
    <row r="26" spans="1:6" ht="15">
      <c r="A26" s="779" t="s">
        <v>1481</v>
      </c>
      <c r="B26" s="785">
        <f>+'Payroll Detail'!R44</f>
        <v>1719801.2385</v>
      </c>
      <c r="C26" s="786">
        <f>$B$39*(B26/$B$40)</f>
        <v>-9081.0428504267202</v>
      </c>
      <c r="D26" s="785">
        <f>B26+C26</f>
        <v>1710720.1956495733</v>
      </c>
      <c r="E26" s="785">
        <f>+'Payroll Detail'!AA44</f>
        <v>37129.31349541105</v>
      </c>
      <c r="F26" s="785">
        <f>+'Payroll Detail'!AF44</f>
        <v>37519.344236862344</v>
      </c>
    </row>
    <row r="27" spans="1:6" ht="15">
      <c r="A27" s="779" t="s">
        <v>1297</v>
      </c>
      <c r="B27" s="785">
        <f>+'Payroll Detail'!R62</f>
        <v>856884.9486</v>
      </c>
      <c r="C27" s="786">
        <f t="shared" ref="C27:C38" si="1">$B$39*(B27/$B$40)</f>
        <v>-4524.5978209139994</v>
      </c>
      <c r="D27" s="785">
        <f t="shared" ref="D27:D38" si="2">B27+C27</f>
        <v>852360.350779086</v>
      </c>
      <c r="E27" s="785">
        <f>+'Payroll Detail'!AA62</f>
        <v>8416.5965067031375</v>
      </c>
      <c r="F27" s="785">
        <f>+'Payroll Detail'!AF62</f>
        <v>18134.359056201101</v>
      </c>
    </row>
    <row r="28" spans="1:6" ht="15">
      <c r="A28" s="779" t="s">
        <v>1482</v>
      </c>
      <c r="B28" s="785">
        <f>+'Payroll Detail'!R101</f>
        <v>1522627.5996000001</v>
      </c>
      <c r="C28" s="786">
        <f t="shared" si="1"/>
        <v>-8039.9095940120642</v>
      </c>
      <c r="D28" s="785">
        <f t="shared" si="2"/>
        <v>1514587.6900059881</v>
      </c>
      <c r="E28" s="785">
        <f>+'Payroll Detail'!AA101</f>
        <v>51238.753896354065</v>
      </c>
      <c r="F28" s="785">
        <f>+'Payroll Detail'!AF101</f>
        <v>35790.384515296428</v>
      </c>
    </row>
    <row r="29" spans="1:6" ht="15">
      <c r="A29" s="779" t="s">
        <v>23</v>
      </c>
      <c r="B29" s="785">
        <f>+'Payroll Detail'!R110</f>
        <v>302924.36970000004</v>
      </c>
      <c r="C29" s="786">
        <f t="shared" si="1"/>
        <v>-1599.527387294765</v>
      </c>
      <c r="D29" s="785">
        <f t="shared" si="2"/>
        <v>301324.8423127053</v>
      </c>
      <c r="E29" s="785">
        <f>+'Payroll Detail'!AA110</f>
        <v>9478.037000340335</v>
      </c>
      <c r="F29" s="785">
        <f>+'Payroll Detail'!AF110</f>
        <v>6511.8122010102115</v>
      </c>
    </row>
    <row r="30" spans="1:6" ht="15">
      <c r="A30" s="779" t="s">
        <v>1246</v>
      </c>
      <c r="B30" s="785">
        <f>+'Payroll Detail'!R122</f>
        <v>448472.54990000004</v>
      </c>
      <c r="C30" s="786">
        <f t="shared" si="1"/>
        <v>-2368.0634434442732</v>
      </c>
      <c r="D30" s="785">
        <f t="shared" si="2"/>
        <v>446104.48645655578</v>
      </c>
      <c r="E30" s="785">
        <f>+'Payroll Detail'!AA122</f>
        <v>9320.465129694514</v>
      </c>
      <c r="F30" s="785">
        <f>+'Payroll Detail'!AF122</f>
        <v>10308.460050890835</v>
      </c>
    </row>
    <row r="31" spans="1:6" ht="15">
      <c r="A31" s="779" t="s">
        <v>1483</v>
      </c>
      <c r="B31" s="785">
        <f>+'Payroll Detail'!R137</f>
        <v>641729.30969999998</v>
      </c>
      <c r="C31" s="786">
        <f t="shared" si="1"/>
        <v>-3388.5144569631962</v>
      </c>
      <c r="D31" s="785">
        <f t="shared" si="2"/>
        <v>638340.79524303682</v>
      </c>
      <c r="E31" s="785">
        <f>+'Payroll Detail'!AA137</f>
        <v>10856.956196765514</v>
      </c>
      <c r="F31" s="785">
        <f>+'Payroll Detail'!AF137</f>
        <v>12917.947100569598</v>
      </c>
    </row>
    <row r="32" spans="1:6" ht="15">
      <c r="A32" s="779" t="s">
        <v>19</v>
      </c>
      <c r="B32" s="785">
        <f>+'Payroll Detail'!R151</f>
        <v>387915.42970000004</v>
      </c>
      <c r="C32" s="786">
        <f t="shared" si="1"/>
        <v>-2048.3045136773198</v>
      </c>
      <c r="D32" s="785">
        <f t="shared" si="2"/>
        <v>385867.12518632272</v>
      </c>
      <c r="E32" s="785">
        <f>+'Payroll Detail'!AA151</f>
        <v>9441.8584265505451</v>
      </c>
      <c r="F32" s="785">
        <f>+'Payroll Detail'!AF151</f>
        <v>2871.6893200709778</v>
      </c>
    </row>
    <row r="33" spans="1:6" ht="15">
      <c r="A33" s="779" t="s">
        <v>1241</v>
      </c>
      <c r="B33" s="785">
        <f>+'Payroll Detail'!R159</f>
        <v>239799.38010000001</v>
      </c>
      <c r="C33" s="786">
        <f t="shared" si="1"/>
        <v>-1266.2093720162561</v>
      </c>
      <c r="D33" s="785">
        <f t="shared" si="2"/>
        <v>238533.17072798376</v>
      </c>
      <c r="E33" s="785">
        <f>+'Payroll Detail'!AA159</f>
        <v>2356.7146470831881</v>
      </c>
      <c r="F33" s="785">
        <f>+'Payroll Detail'!AF159</f>
        <v>5137.9312424124964</v>
      </c>
    </row>
    <row r="34" spans="1:6" ht="15">
      <c r="A34" s="779" t="s">
        <v>481</v>
      </c>
      <c r="B34" s="785">
        <f>+'Payroll Detail'!R165</f>
        <v>109259.48000000003</v>
      </c>
      <c r="C34" s="786">
        <f t="shared" si="1"/>
        <v>-576.92133107237646</v>
      </c>
      <c r="D34" s="785">
        <f t="shared" si="2"/>
        <v>108682.55866892765</v>
      </c>
      <c r="E34" s="785">
        <f>+'Payroll Detail'!AA165</f>
        <v>1499.5669518851489</v>
      </c>
      <c r="F34" s="785">
        <f>+'Payroll Detail'!AF165</f>
        <v>2138.2611737971292</v>
      </c>
    </row>
    <row r="35" spans="1:6" ht="15">
      <c r="A35" s="779" t="s">
        <v>1484</v>
      </c>
      <c r="B35" s="785">
        <f>+'Payroll Detail'!R179</f>
        <v>573634.69940000004</v>
      </c>
      <c r="C35" s="786">
        <f t="shared" si="1"/>
        <v>-3028.9554217826267</v>
      </c>
      <c r="D35" s="785">
        <f t="shared" si="2"/>
        <v>570605.74397821736</v>
      </c>
      <c r="E35" s="785">
        <f>+'Payroll Detail'!AA179</f>
        <v>16256.217451225988</v>
      </c>
      <c r="F35" s="785">
        <f>+'Payroll Detail'!AF179</f>
        <v>11411.850143715314</v>
      </c>
    </row>
    <row r="36" spans="1:6" ht="15">
      <c r="A36" s="779" t="s">
        <v>1485</v>
      </c>
      <c r="B36" s="785">
        <f>+'Payroll Detail'!R209</f>
        <v>213351.8401</v>
      </c>
      <c r="C36" s="786">
        <f t="shared" si="1"/>
        <v>-1126.5587899304737</v>
      </c>
      <c r="D36" s="785">
        <f t="shared" si="2"/>
        <v>212225.28131006952</v>
      </c>
      <c r="E36" s="785">
        <f>+'Payroll Detail'!AA209</f>
        <v>1848.4204594829371</v>
      </c>
      <c r="F36" s="785">
        <f>+'Payroll Detail'!AF209</f>
        <v>8091.1166232570204</v>
      </c>
    </row>
    <row r="37" spans="1:6" ht="15">
      <c r="A37" s="779" t="s">
        <v>1486</v>
      </c>
      <c r="B37" s="785">
        <f>+'Payroll Detail'!R214</f>
        <v>25150.700000000004</v>
      </c>
      <c r="C37" s="786">
        <f t="shared" si="1"/>
        <v>-132.8028956517276</v>
      </c>
      <c r="D37" s="785">
        <f t="shared" si="2"/>
        <v>25017.897104348278</v>
      </c>
      <c r="E37" s="785">
        <f>+'Payroll Detail'!AA214</f>
        <v>243.84772567232883</v>
      </c>
      <c r="F37" s="785">
        <f>+'Payroll Detail'!AF214</f>
        <v>525.6267517701699</v>
      </c>
    </row>
    <row r="38" spans="1:6" ht="15">
      <c r="A38" s="779" t="s">
        <v>1487</v>
      </c>
      <c r="B38" s="785">
        <f>+'Payroll Detail'!R220</f>
        <v>30203.31</v>
      </c>
      <c r="C38" s="786">
        <f t="shared" si="1"/>
        <v>-159.48212281434633</v>
      </c>
      <c r="D38" s="785">
        <f t="shared" si="2"/>
        <v>30043.827877185657</v>
      </c>
      <c r="E38" s="785">
        <f>+'Payroll Detail'!AA220</f>
        <v>154.59482613277137</v>
      </c>
      <c r="F38" s="785">
        <f>+'Payroll Detail'!AF220</f>
        <v>66.614750000000001</v>
      </c>
    </row>
    <row r="39" spans="1:6" ht="15">
      <c r="A39" s="782" t="s">
        <v>1493</v>
      </c>
      <c r="B39" s="785">
        <f>+'Payroll Detail'!R365</f>
        <v>-37340.890000000145</v>
      </c>
      <c r="D39" s="785"/>
      <c r="E39" s="785"/>
      <c r="F39" s="785"/>
    </row>
    <row r="40" spans="1:6" ht="15">
      <c r="A40" s="620"/>
      <c r="B40" s="787">
        <f>SUM(B26:B38)</f>
        <v>7071754.8552999999</v>
      </c>
      <c r="C40" s="787">
        <f>SUM(C26:C38)</f>
        <v>-37340.890000000152</v>
      </c>
      <c r="D40" s="787">
        <f>SUM(D26:D38)</f>
        <v>7034413.9653000003</v>
      </c>
      <c r="E40" s="787">
        <f>SUM(E26:E39)</f>
        <v>158241.34271330151</v>
      </c>
      <c r="F40" s="787">
        <f>SUM(F26:F39)</f>
        <v>151425.39716585362</v>
      </c>
    </row>
    <row r="41" spans="1:6" ht="15">
      <c r="A41" s="620"/>
      <c r="B41" s="620"/>
      <c r="C41" s="781"/>
      <c r="D41" s="777"/>
      <c r="E41" s="777"/>
      <c r="F41" s="778"/>
    </row>
    <row r="42" spans="1:6" ht="15">
      <c r="A42" s="620"/>
      <c r="B42" s="620"/>
      <c r="C42" s="781"/>
      <c r="D42" s="777"/>
      <c r="E42" s="777"/>
      <c r="F42" s="778"/>
    </row>
    <row r="43" spans="1:6" ht="25.5">
      <c r="A43" s="774" t="s">
        <v>1494</v>
      </c>
      <c r="B43" s="784" t="s">
        <v>1488</v>
      </c>
      <c r="C43" s="784" t="s">
        <v>1489</v>
      </c>
      <c r="D43" s="776" t="s">
        <v>1490</v>
      </c>
      <c r="E43" s="784" t="s">
        <v>1491</v>
      </c>
      <c r="F43" s="784" t="s">
        <v>1492</v>
      </c>
    </row>
    <row r="44" spans="1:6" ht="15">
      <c r="A44" s="788" t="s">
        <v>447</v>
      </c>
      <c r="B44" s="789">
        <f>+'Payroll Detail'!R248</f>
        <v>1065733.4596000002</v>
      </c>
      <c r="C44" s="789">
        <f>'Payroll Detail'!R382</f>
        <v>73801.81</v>
      </c>
      <c r="D44" s="789">
        <f>B44+C44</f>
        <v>1139535.2696000002</v>
      </c>
      <c r="E44" s="789">
        <f>+'Payroll Detail'!AA248</f>
        <v>23253.207303645042</v>
      </c>
      <c r="F44" s="789">
        <f>+'Payroll Detail'!AF248</f>
        <v>34879.785158897939</v>
      </c>
    </row>
    <row r="45" spans="1:6" ht="15">
      <c r="A45" s="788" t="s">
        <v>310</v>
      </c>
      <c r="B45" s="789">
        <f>+'Payroll Detail'!R338-B46</f>
        <v>2334802.1413000007</v>
      </c>
      <c r="C45" s="789">
        <f>'Payroll Detail'!R453</f>
        <v>534245.77999999991</v>
      </c>
      <c r="D45" s="789">
        <f t="shared" ref="D45:D49" si="3">B45+C45</f>
        <v>2869047.9213000005</v>
      </c>
      <c r="E45" s="789">
        <f>+'Payroll Detail'!AA338-E46</f>
        <v>27387.15044634353</v>
      </c>
      <c r="F45" s="789">
        <f>+'Payroll Detail'!AF338-F46</f>
        <v>41561.586019877257</v>
      </c>
    </row>
    <row r="46" spans="1:6" ht="15">
      <c r="A46" s="788" t="s">
        <v>1497</v>
      </c>
      <c r="B46" s="789">
        <f>+SUM('Payroll Detail'!R280,'Payroll Detail'!R331:R335)</f>
        <v>262923.91019999998</v>
      </c>
      <c r="C46" s="789"/>
      <c r="D46" s="789">
        <f t="shared" si="3"/>
        <v>262923.91019999998</v>
      </c>
      <c r="E46" s="789">
        <f>+SUM('Payroll Detail'!AA280,'Payroll Detail'!AA331:AA335)</f>
        <v>1582.9825081904905</v>
      </c>
      <c r="F46" s="789">
        <f>+SUM('Payroll Detail'!AF280,'Payroll Detail'!AF331:AF335)</f>
        <v>7470.5411004525777</v>
      </c>
    </row>
    <row r="47" spans="1:6" ht="15">
      <c r="A47" s="788" t="s">
        <v>463</v>
      </c>
      <c r="B47" s="789">
        <f>+'Payroll Detail'!R355</f>
        <v>562238.92969999998</v>
      </c>
      <c r="C47" s="789">
        <f>'Payroll Detail'!R436</f>
        <v>53673.580000000009</v>
      </c>
      <c r="D47" s="789">
        <f t="shared" si="3"/>
        <v>615912.50969999994</v>
      </c>
      <c r="E47" s="789">
        <f>+'Payroll Detail'!AA355</f>
        <v>6034.6869772977116</v>
      </c>
      <c r="F47" s="789">
        <f>+'Payroll Detail'!AF355</f>
        <v>16257.677194397373</v>
      </c>
    </row>
    <row r="48" spans="1:6" ht="15">
      <c r="A48" s="788" t="s">
        <v>930</v>
      </c>
      <c r="B48" s="789">
        <f>+'Payroll Detail'!R271</f>
        <v>342196.14980000001</v>
      </c>
      <c r="C48" s="789">
        <f>+'Payroll Detail'!R471</f>
        <v>-7018.2000000000025</v>
      </c>
      <c r="D48" s="789">
        <f t="shared" si="3"/>
        <v>335177.9498</v>
      </c>
      <c r="E48" s="789">
        <f>+'Payroll Detail'!AA271</f>
        <v>6950.3935706381626</v>
      </c>
      <c r="F48" s="789">
        <f>+'Payroll Detail'!AF271</f>
        <v>6127.3596570658565</v>
      </c>
    </row>
    <row r="49" spans="1:6" ht="15">
      <c r="A49" s="788" t="s">
        <v>91</v>
      </c>
      <c r="B49" s="789">
        <f>+'Payroll Detail'!R253</f>
        <v>38804</v>
      </c>
      <c r="C49" s="789">
        <f>+'Payroll Detail'!R422</f>
        <v>35959.94</v>
      </c>
      <c r="D49" s="789">
        <f t="shared" si="3"/>
        <v>74763.94</v>
      </c>
      <c r="E49" s="789">
        <f>+'Payroll Detail'!AA253</f>
        <v>6114.8630551141578</v>
      </c>
      <c r="F49" s="789">
        <f>+'Payroll Detail'!AF253</f>
        <v>1061.0688263778538</v>
      </c>
    </row>
    <row r="50" spans="1:6" ht="15">
      <c r="A50" s="788"/>
      <c r="B50" s="789"/>
      <c r="C50" s="789"/>
      <c r="D50" s="789"/>
      <c r="E50" s="789"/>
      <c r="F50" s="789"/>
    </row>
    <row r="51" spans="1:6">
      <c r="B51" s="790">
        <f>SUM(B44:B50)</f>
        <v>4606698.5906000007</v>
      </c>
      <c r="C51" s="790">
        <f>SUM(C44:C50)</f>
        <v>690662.90999999992</v>
      </c>
      <c r="D51" s="790">
        <f>SUM(D44:D50)</f>
        <v>5297361.5006000008</v>
      </c>
      <c r="E51" s="790">
        <f>SUM(E44:E50)</f>
        <v>71323.283861229094</v>
      </c>
      <c r="F51" s="790">
        <f>SUM(F44:F50)</f>
        <v>107358.01795706886</v>
      </c>
    </row>
    <row r="53" spans="1:6" ht="15">
      <c r="B53" s="624">
        <v>0</v>
      </c>
      <c r="C53" s="1135">
        <v>4.9112713895738125E-11</v>
      </c>
      <c r="D53" s="791">
        <v>-27404.034100000747</v>
      </c>
      <c r="E53" s="624">
        <v>0</v>
      </c>
      <c r="F53" s="624">
        <v>0</v>
      </c>
    </row>
    <row r="54" spans="1:6">
      <c r="D54" s="792" t="s">
        <v>1495</v>
      </c>
    </row>
  </sheetData>
  <mergeCells count="1">
    <mergeCell ref="A5:G5"/>
  </mergeCells>
  <pageMargins left="0.7" right="0.7" top="0.75" bottom="0.75" header="0.3" footer="0.3"/>
  <pageSetup scale="79" orientation="portrait" r:id="rId1"/>
  <headerFooter>
    <oddFooter xml:space="preserve">&amp;L&amp;F - &amp;A
&amp;RPage &amp;P of &amp;N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497"/>
  <sheetViews>
    <sheetView view="pageBreakPreview" topLeftCell="A379" zoomScale="85" zoomScaleNormal="100" zoomScaleSheetLayoutView="85" workbookViewId="0">
      <selection activeCell="AD423" sqref="AD423"/>
    </sheetView>
  </sheetViews>
  <sheetFormatPr defaultRowHeight="11.25" outlineLevelCol="1"/>
  <cols>
    <col min="1" max="1" width="9.140625" style="1155"/>
    <col min="2" max="4" width="9.5703125" style="1155" customWidth="1"/>
    <col min="5" max="5" width="22.28515625" style="1155" customWidth="1"/>
    <col min="6" max="6" width="33.85546875" style="1157" customWidth="1"/>
    <col min="7" max="7" width="10.28515625" style="1157" hidden="1" customWidth="1" outlineLevel="1"/>
    <col min="8" max="8" width="8.85546875" style="1157" hidden="1" customWidth="1" outlineLevel="1"/>
    <col min="9" max="9" width="12.7109375" style="1157" hidden="1" customWidth="1" outlineLevel="1"/>
    <col min="10" max="10" width="7.7109375" style="1157" hidden="1" customWidth="1" outlineLevel="1"/>
    <col min="11" max="11" width="9.140625" style="1157" hidden="1" customWidth="1" outlineLevel="1"/>
    <col min="12" max="12" width="9.5703125" style="1157" hidden="1" customWidth="1" outlineLevel="1"/>
    <col min="13" max="13" width="8.85546875" style="1157" hidden="1" customWidth="1" outlineLevel="1"/>
    <col min="14" max="14" width="13.85546875" style="1157" hidden="1" customWidth="1" outlineLevel="1"/>
    <col min="15" max="15" width="7.5703125" style="1157" hidden="1" customWidth="1" outlineLevel="1"/>
    <col min="16" max="16" width="9.28515625" style="1157" hidden="1" customWidth="1" outlineLevel="1"/>
    <col min="17" max="17" width="9.140625" style="1157" hidden="1" customWidth="1" outlineLevel="1"/>
    <col min="18" max="18" width="14.42578125" style="1158" customWidth="1" collapsed="1"/>
    <col min="19" max="19" width="9.28515625" style="1159" bestFit="1" customWidth="1"/>
    <col min="20" max="20" width="11.7109375" style="1159" customWidth="1"/>
    <col min="21" max="21" width="9.140625" style="1159" bestFit="1" customWidth="1"/>
    <col min="22" max="22" width="3.5703125" style="1160" customWidth="1"/>
    <col min="23" max="23" width="3.42578125" style="1155" customWidth="1"/>
    <col min="24" max="24" width="14.140625" style="1155" bestFit="1" customWidth="1"/>
    <col min="25" max="25" width="13.7109375" style="1161" bestFit="1" customWidth="1"/>
    <col min="26" max="26" width="11.5703125" style="1162" bestFit="1" customWidth="1"/>
    <col min="27" max="27" width="15.7109375" style="1163" bestFit="1" customWidth="1"/>
    <col min="28" max="28" width="4.42578125" style="1160" bestFit="1" customWidth="1"/>
    <col min="29" max="29" width="14.140625" style="1155" bestFit="1" customWidth="1"/>
    <col min="30" max="30" width="13.7109375" style="1164" bestFit="1" customWidth="1"/>
    <col min="31" max="31" width="11.5703125" style="1155" bestFit="1" customWidth="1"/>
    <col min="32" max="32" width="13" style="1155" bestFit="1" customWidth="1"/>
    <col min="33" max="33" width="1.85546875" style="1155" customWidth="1"/>
    <col min="34" max="34" width="11.28515625" style="1155" bestFit="1" customWidth="1"/>
    <col min="35" max="35" width="20" style="1155" customWidth="1"/>
    <col min="36" max="36" width="17.85546875" style="1155" bestFit="1" customWidth="1"/>
    <col min="37" max="37" width="11.140625" style="1155" bestFit="1" customWidth="1"/>
    <col min="38" max="16384" width="9.140625" style="1155"/>
  </cols>
  <sheetData>
    <row r="1" spans="1:59">
      <c r="A1" s="1154" t="s">
        <v>2606</v>
      </c>
      <c r="E1" s="1156"/>
    </row>
    <row r="2" spans="1:59" ht="16.5">
      <c r="A2" s="1154" t="s">
        <v>2607</v>
      </c>
      <c r="E2" s="1156"/>
      <c r="F2" s="1165"/>
      <c r="X2" s="1403" t="s">
        <v>2608</v>
      </c>
      <c r="Y2" s="1403"/>
      <c r="Z2" s="1403"/>
      <c r="AA2" s="1403"/>
      <c r="AB2" s="1403"/>
      <c r="AC2" s="1403"/>
      <c r="AD2" s="1403"/>
      <c r="AE2" s="1403"/>
      <c r="AF2" s="1403"/>
      <c r="AG2" s="1403"/>
    </row>
    <row r="3" spans="1:59">
      <c r="A3" s="1154" t="s">
        <v>491</v>
      </c>
      <c r="E3" s="1154"/>
      <c r="Y3" s="1166"/>
    </row>
    <row r="4" spans="1:59">
      <c r="B4" s="1167"/>
      <c r="C4" s="1167"/>
      <c r="D4" s="1167"/>
      <c r="E4" s="1167"/>
      <c r="F4" s="1168"/>
      <c r="G4" s="1168"/>
      <c r="H4" s="1168"/>
      <c r="I4" s="1168"/>
      <c r="J4" s="1168"/>
      <c r="K4" s="1168"/>
      <c r="L4" s="1168"/>
      <c r="M4" s="1168"/>
      <c r="N4" s="1168"/>
      <c r="O4" s="1168"/>
      <c r="P4" s="1168"/>
      <c r="Q4" s="1168"/>
      <c r="R4" s="1169"/>
    </row>
    <row r="5" spans="1:59" ht="12" thickBot="1">
      <c r="A5" s="1170" t="s">
        <v>2609</v>
      </c>
      <c r="B5" s="1171"/>
      <c r="C5" s="1171"/>
      <c r="D5" s="1171"/>
      <c r="E5" s="1171"/>
      <c r="F5" s="1172"/>
      <c r="G5" s="1172"/>
      <c r="H5" s="1172"/>
      <c r="I5" s="1172"/>
      <c r="J5" s="1172"/>
      <c r="K5" s="1172"/>
      <c r="L5" s="1172"/>
      <c r="M5" s="1172"/>
      <c r="N5" s="1172"/>
      <c r="O5" s="1172"/>
      <c r="P5" s="1172"/>
      <c r="Q5" s="1172"/>
      <c r="R5" s="1173"/>
      <c r="AI5" s="1174" t="s">
        <v>2610</v>
      </c>
      <c r="AJ5" s="1175">
        <v>42644</v>
      </c>
    </row>
    <row r="6" spans="1:59">
      <c r="E6" s="1176"/>
      <c r="G6" s="1177"/>
      <c r="H6" s="1177"/>
      <c r="I6" s="1177"/>
      <c r="J6" s="1177"/>
      <c r="K6" s="1177"/>
      <c r="L6" s="1178"/>
      <c r="M6" s="1179"/>
      <c r="N6" s="1179"/>
      <c r="O6" s="1177"/>
      <c r="P6" s="1177"/>
      <c r="Q6" s="1177"/>
      <c r="R6" s="1180"/>
      <c r="AI6" s="1174"/>
      <c r="AL6" s="1175"/>
      <c r="AM6" s="1175"/>
      <c r="AN6" s="1175"/>
      <c r="AO6" s="1175"/>
      <c r="AP6" s="1175"/>
      <c r="AQ6" s="1175"/>
      <c r="AR6" s="1175"/>
      <c r="AS6" s="1175"/>
      <c r="AT6" s="1175"/>
      <c r="AU6" s="1175"/>
      <c r="AV6" s="1175"/>
      <c r="AW6" s="1175"/>
      <c r="AX6" s="1175"/>
      <c r="AY6" s="1175"/>
      <c r="AZ6" s="1175"/>
      <c r="BA6" s="1175"/>
      <c r="BB6" s="1175"/>
      <c r="BC6" s="1175"/>
      <c r="BD6" s="1175"/>
      <c r="BE6" s="1175"/>
      <c r="BF6" s="1175"/>
      <c r="BG6" s="1175"/>
    </row>
    <row r="7" spans="1:59">
      <c r="G7" s="1179" t="s">
        <v>2611</v>
      </c>
      <c r="H7" s="1179" t="s">
        <v>2612</v>
      </c>
      <c r="I7" s="1179" t="s">
        <v>2613</v>
      </c>
      <c r="J7" s="1179" t="s">
        <v>2614</v>
      </c>
      <c r="K7" s="1179" t="s">
        <v>2615</v>
      </c>
      <c r="L7" s="1181" t="s">
        <v>2611</v>
      </c>
      <c r="M7" s="1179" t="s">
        <v>2612</v>
      </c>
      <c r="N7" s="1179" t="s">
        <v>2613</v>
      </c>
      <c r="O7" s="1179" t="s">
        <v>2614</v>
      </c>
      <c r="P7" s="1179" t="s">
        <v>2616</v>
      </c>
      <c r="Q7" s="1179" t="s">
        <v>2615</v>
      </c>
      <c r="R7" s="1182"/>
      <c r="X7" s="1183">
        <v>2017</v>
      </c>
      <c r="Y7" s="1183">
        <v>2017</v>
      </c>
      <c r="Z7" s="1183">
        <v>2017</v>
      </c>
      <c r="AA7" s="1183">
        <v>2017</v>
      </c>
      <c r="AB7" s="1183"/>
      <c r="AC7" s="1184">
        <v>2018</v>
      </c>
      <c r="AD7" s="1184">
        <v>2018</v>
      </c>
      <c r="AE7" s="1184">
        <v>2018</v>
      </c>
      <c r="AF7" s="1184">
        <v>2018</v>
      </c>
      <c r="AI7" s="1174"/>
      <c r="AJ7" s="1185"/>
      <c r="AK7" s="1186"/>
    </row>
    <row r="8" spans="1:59" ht="23.25" thickBot="1">
      <c r="A8" s="1187" t="s">
        <v>2617</v>
      </c>
      <c r="B8" s="1187" t="s">
        <v>2618</v>
      </c>
      <c r="C8" s="1187"/>
      <c r="D8" s="1187"/>
      <c r="E8" s="1187" t="s">
        <v>2619</v>
      </c>
      <c r="F8" s="1187" t="s">
        <v>2620</v>
      </c>
      <c r="G8" s="1188" t="s">
        <v>2621</v>
      </c>
      <c r="H8" s="1188" t="s">
        <v>2621</v>
      </c>
      <c r="I8" s="1188" t="s">
        <v>2621</v>
      </c>
      <c r="J8" s="1188" t="s">
        <v>2621</v>
      </c>
      <c r="K8" s="1188" t="s">
        <v>2621</v>
      </c>
      <c r="L8" s="1189" t="s">
        <v>1762</v>
      </c>
      <c r="M8" s="1189" t="s">
        <v>1762</v>
      </c>
      <c r="N8" s="1189" t="s">
        <v>1762</v>
      </c>
      <c r="O8" s="1189" t="s">
        <v>1762</v>
      </c>
      <c r="P8" s="1189" t="s">
        <v>1762</v>
      </c>
      <c r="Q8" s="1189" t="s">
        <v>1762</v>
      </c>
      <c r="R8" s="1190" t="s">
        <v>2622</v>
      </c>
      <c r="S8" s="1191" t="s">
        <v>409</v>
      </c>
      <c r="T8" s="1191" t="s">
        <v>2623</v>
      </c>
      <c r="U8" s="1192" t="s">
        <v>2624</v>
      </c>
      <c r="V8" s="1192"/>
      <c r="X8" s="1184" t="s">
        <v>2625</v>
      </c>
      <c r="Y8" s="1193" t="s">
        <v>2626</v>
      </c>
      <c r="Z8" s="1194" t="s">
        <v>2627</v>
      </c>
      <c r="AA8" s="1195" t="s">
        <v>2628</v>
      </c>
      <c r="AB8" s="1195"/>
      <c r="AC8" s="1184" t="s">
        <v>2625</v>
      </c>
      <c r="AD8" s="1196" t="s">
        <v>2626</v>
      </c>
      <c r="AE8" s="1184" t="s">
        <v>2627</v>
      </c>
      <c r="AF8" s="1184" t="s">
        <v>2629</v>
      </c>
      <c r="AI8" s="1186"/>
      <c r="AJ8" s="1186" t="s">
        <v>2630</v>
      </c>
      <c r="AK8" s="1186" t="s">
        <v>2631</v>
      </c>
    </row>
    <row r="9" spans="1:59" ht="12.75" thickTop="1" thickBot="1">
      <c r="A9" s="1197"/>
      <c r="B9" s="1197"/>
      <c r="C9" s="1197"/>
      <c r="D9" s="1197"/>
      <c r="E9" s="1197"/>
      <c r="F9" s="1197"/>
      <c r="G9" s="1179"/>
      <c r="H9" s="1179"/>
      <c r="I9" s="1179"/>
      <c r="J9" s="1179"/>
      <c r="K9" s="1179"/>
      <c r="L9" s="1181"/>
      <c r="M9" s="1179"/>
      <c r="N9" s="1179"/>
      <c r="O9" s="1179"/>
      <c r="P9" s="1179"/>
      <c r="Q9" s="1179"/>
      <c r="R9" s="1198"/>
      <c r="S9" s="1191"/>
      <c r="T9" s="1191"/>
      <c r="U9" s="1192"/>
      <c r="V9" s="1192"/>
      <c r="X9" s="1184"/>
      <c r="Y9" s="1193"/>
      <c r="Z9" s="1194"/>
      <c r="AA9" s="1195"/>
      <c r="AB9" s="1195"/>
      <c r="AC9" s="1184"/>
      <c r="AD9" s="1196"/>
      <c r="AE9" s="1184"/>
      <c r="AF9" s="1184"/>
      <c r="AJ9" s="1175">
        <v>42644</v>
      </c>
      <c r="AK9" s="1185">
        <f>+AJ9-$AJ$5</f>
        <v>0</v>
      </c>
      <c r="AL9" s="1175"/>
    </row>
    <row r="10" spans="1:59" ht="12.75" thickTop="1" thickBot="1">
      <c r="A10" s="1199"/>
      <c r="B10" s="1200" t="s">
        <v>2632</v>
      </c>
      <c r="C10" s="1200"/>
      <c r="D10" s="1200"/>
      <c r="E10" s="1201"/>
      <c r="F10" s="1202"/>
      <c r="G10" s="1179"/>
      <c r="H10" s="1179"/>
      <c r="I10" s="1179"/>
      <c r="J10" s="1179"/>
      <c r="K10" s="1179"/>
      <c r="L10" s="1181"/>
      <c r="M10" s="1179"/>
      <c r="N10" s="1179"/>
      <c r="O10" s="1179"/>
      <c r="P10" s="1179"/>
      <c r="Q10" s="1179"/>
      <c r="R10" s="1198"/>
      <c r="S10" s="1191"/>
      <c r="T10" s="1191"/>
      <c r="U10" s="1192"/>
      <c r="V10" s="1192"/>
      <c r="X10" s="1184"/>
      <c r="Y10" s="1193"/>
      <c r="Z10" s="1194"/>
      <c r="AA10" s="1195"/>
      <c r="AB10" s="1195"/>
      <c r="AC10" s="1184"/>
      <c r="AD10" s="1196"/>
      <c r="AE10" s="1184"/>
      <c r="AF10" s="1184"/>
      <c r="AJ10" s="1175">
        <v>42675</v>
      </c>
      <c r="AK10" s="1185">
        <f t="shared" ref="AK10:AK30" si="0">+AJ10-$AJ$5</f>
        <v>31</v>
      </c>
    </row>
    <row r="11" spans="1:59" ht="12" thickTop="1">
      <c r="A11" s="1203" t="s">
        <v>1481</v>
      </c>
      <c r="B11" s="1204"/>
      <c r="C11" s="1204"/>
      <c r="D11" s="1204"/>
      <c r="E11" s="1205"/>
      <c r="F11" s="1206"/>
      <c r="G11" s="1207"/>
      <c r="H11" s="1207"/>
      <c r="I11" s="1207"/>
      <c r="J11" s="1207"/>
      <c r="K11" s="1207"/>
      <c r="L11" s="1208"/>
      <c r="M11" s="1207"/>
      <c r="N11" s="1207"/>
      <c r="O11" s="1207"/>
      <c r="P11" s="1207"/>
      <c r="Q11" s="1207"/>
      <c r="R11" s="1209"/>
      <c r="U11" s="1210"/>
      <c r="V11" s="1211"/>
      <c r="W11" s="1212"/>
      <c r="X11" s="1213"/>
      <c r="Y11" s="1214"/>
      <c r="Z11" s="1215"/>
      <c r="AA11" s="1213"/>
      <c r="AB11" s="1216"/>
      <c r="AC11" s="1159"/>
      <c r="AD11" s="1214"/>
      <c r="AE11" s="1215"/>
      <c r="AF11" s="1213"/>
      <c r="AJ11" s="1175">
        <v>42705</v>
      </c>
      <c r="AK11" s="1185">
        <f t="shared" si="0"/>
        <v>61</v>
      </c>
    </row>
    <row r="12" spans="1:59">
      <c r="A12" s="1217">
        <v>2010</v>
      </c>
      <c r="B12" s="1218">
        <v>102534</v>
      </c>
      <c r="C12" s="1219">
        <v>1</v>
      </c>
      <c r="D12" s="1219">
        <v>2534</v>
      </c>
      <c r="E12" s="1219" t="s">
        <v>2633</v>
      </c>
      <c r="F12" s="1217" t="s">
        <v>2957</v>
      </c>
      <c r="G12" s="1207">
        <v>1744.0000020000002</v>
      </c>
      <c r="H12" s="1207">
        <v>164.63999699999999</v>
      </c>
      <c r="I12" s="1207">
        <v>112</v>
      </c>
      <c r="J12" s="1207">
        <v>56</v>
      </c>
      <c r="K12" s="1207">
        <v>68.099998999999997</v>
      </c>
      <c r="L12" s="1208">
        <v>37182.909899999999</v>
      </c>
      <c r="M12" s="1207">
        <v>5334.33</v>
      </c>
      <c r="N12" s="1207">
        <v>2393.52</v>
      </c>
      <c r="O12" s="1207">
        <v>1194.96</v>
      </c>
      <c r="P12" s="1207">
        <v>1624.9999999999998</v>
      </c>
      <c r="Q12" s="1207">
        <v>1484.3700000000001</v>
      </c>
      <c r="R12" s="1209">
        <f t="shared" ref="R12:R41" si="1">SUM(L12:Q12)</f>
        <v>49215.089899999999</v>
      </c>
      <c r="S12" s="1159">
        <f t="shared" ref="S12:S42" si="2">SUM(G12:K12)</f>
        <v>2144.739998</v>
      </c>
      <c r="T12" s="1159">
        <f t="shared" ref="T12:T42" si="3">I12+J12+K12</f>
        <v>236.099999</v>
      </c>
      <c r="U12" s="1210">
        <f t="shared" ref="U12:U42" si="4">S12-T12</f>
        <v>1908.639999</v>
      </c>
      <c r="V12" s="1211"/>
      <c r="W12" s="1212"/>
      <c r="X12" s="1213">
        <f>SUM(L12,N12:O12)*((VLOOKUP(Y12,$AJ$9:$AK$30,2,FALSE))/365)</f>
        <v>27143.692453972602</v>
      </c>
      <c r="Y12" s="1214">
        <v>42887</v>
      </c>
      <c r="Z12" s="1220">
        <v>2.12E-2</v>
      </c>
      <c r="AA12" s="1213">
        <f t="shared" ref="AA12:AA42" si="5">X12*Z12</f>
        <v>575.44628002421916</v>
      </c>
      <c r="AB12" s="1216"/>
      <c r="AC12" s="1159">
        <f t="shared" ref="AC12:AC42" si="6">SUM(L12,N12:O12)+AA12</f>
        <v>41346.836180024213</v>
      </c>
      <c r="AD12" s="1214">
        <v>43252</v>
      </c>
      <c r="AE12" s="1220">
        <v>0.03</v>
      </c>
      <c r="AF12" s="1213">
        <f t="shared" ref="AF12:AF42" si="7">AC12*AE12</f>
        <v>1240.4050854007264</v>
      </c>
      <c r="AI12" s="1212"/>
      <c r="AJ12" s="1175">
        <v>42724</v>
      </c>
      <c r="AK12" s="1185">
        <f t="shared" si="0"/>
        <v>80</v>
      </c>
    </row>
    <row r="13" spans="1:59">
      <c r="A13" s="1217">
        <v>2010</v>
      </c>
      <c r="B13" s="1218">
        <v>102537</v>
      </c>
      <c r="C13" s="1219">
        <v>1</v>
      </c>
      <c r="D13" s="1219">
        <v>2537</v>
      </c>
      <c r="E13" s="1219" t="s">
        <v>2634</v>
      </c>
      <c r="F13" s="1217" t="s">
        <v>2957</v>
      </c>
      <c r="G13" s="1207">
        <v>1805.233334</v>
      </c>
      <c r="H13" s="1207">
        <v>322.86333200000001</v>
      </c>
      <c r="I13" s="1207">
        <v>184</v>
      </c>
      <c r="J13" s="1207">
        <v>56</v>
      </c>
      <c r="K13" s="1207">
        <v>39.983333000000002</v>
      </c>
      <c r="L13" s="1208">
        <v>38528.009900000019</v>
      </c>
      <c r="M13" s="1207">
        <v>10453.970000000001</v>
      </c>
      <c r="N13" s="1207">
        <v>3920.6400000000003</v>
      </c>
      <c r="O13" s="1207">
        <v>1194.96</v>
      </c>
      <c r="P13" s="1207">
        <v>1599.9999999999998</v>
      </c>
      <c r="Q13" s="1207">
        <v>886.31</v>
      </c>
      <c r="R13" s="1209">
        <f t="shared" si="1"/>
        <v>56583.889900000016</v>
      </c>
      <c r="S13" s="1159">
        <f t="shared" si="2"/>
        <v>2408.079999</v>
      </c>
      <c r="T13" s="1159">
        <f t="shared" si="3"/>
        <v>279.98333300000002</v>
      </c>
      <c r="U13" s="1210">
        <f t="shared" si="4"/>
        <v>2128.0966659999999</v>
      </c>
      <c r="V13" s="1211"/>
      <c r="W13" s="1212"/>
      <c r="X13" s="1213">
        <f t="shared" ref="X13:X42" si="8">SUM(L13,N13:O13)*((VLOOKUP(Y13,$AJ$9:$AK$30,2,FALSE))/365)</f>
        <v>29055.882755342478</v>
      </c>
      <c r="Y13" s="1214">
        <v>42887</v>
      </c>
      <c r="Z13" s="1220">
        <v>2.1216407355021182E-2</v>
      </c>
      <c r="AA13" s="1213">
        <f t="shared" si="5"/>
        <v>616.46144459708125</v>
      </c>
      <c r="AB13" s="1216"/>
      <c r="AC13" s="1159">
        <f t="shared" si="6"/>
        <v>44260.071344597098</v>
      </c>
      <c r="AD13" s="1214">
        <v>43252</v>
      </c>
      <c r="AE13" s="1220">
        <v>0.03</v>
      </c>
      <c r="AF13" s="1213">
        <f t="shared" si="7"/>
        <v>1327.802140337913</v>
      </c>
      <c r="AJ13" s="1175">
        <v>42736</v>
      </c>
      <c r="AK13" s="1185">
        <f t="shared" si="0"/>
        <v>92</v>
      </c>
    </row>
    <row r="14" spans="1:59">
      <c r="A14" s="1217">
        <v>2010</v>
      </c>
      <c r="B14" s="1218">
        <v>102086</v>
      </c>
      <c r="C14" s="1219">
        <v>1</v>
      </c>
      <c r="D14" s="1219">
        <v>2086</v>
      </c>
      <c r="E14" s="1219" t="s">
        <v>2635</v>
      </c>
      <c r="F14" s="1217" t="s">
        <v>2957</v>
      </c>
      <c r="G14" s="1207">
        <v>1839.6000319999998</v>
      </c>
      <c r="H14" s="1207">
        <v>571.95996799999989</v>
      </c>
      <c r="I14" s="1207">
        <v>168</v>
      </c>
      <c r="J14" s="1207">
        <v>56</v>
      </c>
      <c r="K14" s="1207">
        <v>15.666668</v>
      </c>
      <c r="L14" s="1208">
        <v>39241.059900000007</v>
      </c>
      <c r="M14" s="1207">
        <v>18543.859999999997</v>
      </c>
      <c r="N14" s="1207">
        <v>3584.8800000000006</v>
      </c>
      <c r="O14" s="1207">
        <v>1194.96</v>
      </c>
      <c r="P14" s="1207">
        <v>1799.9999999999998</v>
      </c>
      <c r="Q14" s="1207">
        <v>369.6</v>
      </c>
      <c r="R14" s="1209">
        <f t="shared" si="1"/>
        <v>64734.359900000003</v>
      </c>
      <c r="S14" s="1159">
        <f t="shared" si="2"/>
        <v>2651.2266679999993</v>
      </c>
      <c r="T14" s="1159">
        <f t="shared" si="3"/>
        <v>239.66666799999999</v>
      </c>
      <c r="U14" s="1210">
        <f t="shared" si="4"/>
        <v>2411.5599999999995</v>
      </c>
      <c r="V14" s="1211"/>
      <c r="W14" s="1212"/>
      <c r="X14" s="1213">
        <f t="shared" si="8"/>
        <v>29307.064864931512</v>
      </c>
      <c r="Y14" s="1214">
        <v>42887</v>
      </c>
      <c r="Z14" s="1220">
        <v>2.1216407355021182E-2</v>
      </c>
      <c r="AA14" s="1213">
        <f t="shared" si="5"/>
        <v>621.79062655441578</v>
      </c>
      <c r="AB14" s="1216"/>
      <c r="AC14" s="1159">
        <f t="shared" si="6"/>
        <v>44642.690526554419</v>
      </c>
      <c r="AD14" s="1214">
        <v>43252</v>
      </c>
      <c r="AE14" s="1220">
        <v>0.03</v>
      </c>
      <c r="AF14" s="1213">
        <f t="shared" si="7"/>
        <v>1339.2807157966324</v>
      </c>
      <c r="AJ14" s="1175">
        <v>42744</v>
      </c>
      <c r="AK14" s="1185">
        <f t="shared" si="0"/>
        <v>100</v>
      </c>
    </row>
    <row r="15" spans="1:59">
      <c r="A15" s="1217">
        <v>2010</v>
      </c>
      <c r="B15" s="1218">
        <v>102599</v>
      </c>
      <c r="C15" s="1219">
        <v>1</v>
      </c>
      <c r="D15" s="1219">
        <v>2599</v>
      </c>
      <c r="E15" s="1219" t="s">
        <v>2636</v>
      </c>
      <c r="F15" s="1217" t="s">
        <v>2957</v>
      </c>
      <c r="G15" s="1207">
        <v>1840.1999990000002</v>
      </c>
      <c r="H15" s="1207">
        <v>416.17666499999996</v>
      </c>
      <c r="I15" s="1207">
        <v>128</v>
      </c>
      <c r="J15" s="1207">
        <v>56</v>
      </c>
      <c r="K15" s="1207">
        <v>18.160000000000004</v>
      </c>
      <c r="L15" s="1208">
        <v>39245.160000000003</v>
      </c>
      <c r="M15" s="1207">
        <v>13355.380000000001</v>
      </c>
      <c r="N15" s="1207">
        <v>2743.68</v>
      </c>
      <c r="O15" s="1207">
        <v>1194.96</v>
      </c>
      <c r="P15" s="1207">
        <v>399.99999999999983</v>
      </c>
      <c r="Q15" s="1207">
        <v>422.93</v>
      </c>
      <c r="R15" s="1209">
        <f t="shared" si="1"/>
        <v>57362.110000000008</v>
      </c>
      <c r="S15" s="1159">
        <f t="shared" si="2"/>
        <v>2458.5366640000002</v>
      </c>
      <c r="T15" s="1159">
        <f t="shared" si="3"/>
        <v>202.16</v>
      </c>
      <c r="U15" s="1210">
        <f t="shared" si="4"/>
        <v>2256.3766640000003</v>
      </c>
      <c r="V15" s="1211"/>
      <c r="W15" s="1212"/>
      <c r="X15" s="1213">
        <f t="shared" si="8"/>
        <v>28749.762739726029</v>
      </c>
      <c r="Y15" s="1214">
        <v>42887</v>
      </c>
      <c r="Z15" s="1220">
        <v>2.1216407355021182E-2</v>
      </c>
      <c r="AA15" s="1213">
        <f t="shared" si="5"/>
        <v>609.96667764623726</v>
      </c>
      <c r="AB15" s="1216"/>
      <c r="AC15" s="1159">
        <f t="shared" si="6"/>
        <v>43793.766677646243</v>
      </c>
      <c r="AD15" s="1214">
        <v>43252</v>
      </c>
      <c r="AE15" s="1220">
        <v>0.03</v>
      </c>
      <c r="AF15" s="1213">
        <f t="shared" si="7"/>
        <v>1313.8130003293873</v>
      </c>
      <c r="AJ15" s="1175">
        <v>42760</v>
      </c>
      <c r="AK15" s="1185">
        <f t="shared" si="0"/>
        <v>116</v>
      </c>
    </row>
    <row r="16" spans="1:59">
      <c r="A16" s="1217">
        <v>2010</v>
      </c>
      <c r="B16" s="1218">
        <v>113553</v>
      </c>
      <c r="C16" s="1219">
        <v>1</v>
      </c>
      <c r="D16" s="1219">
        <v>13553</v>
      </c>
      <c r="E16" s="1219" t="s">
        <v>2637</v>
      </c>
      <c r="F16" s="1217" t="s">
        <v>2957</v>
      </c>
      <c r="G16" s="1207">
        <v>1624.833333</v>
      </c>
      <c r="H16" s="1207">
        <v>401.95000099999999</v>
      </c>
      <c r="I16" s="1207">
        <v>128</v>
      </c>
      <c r="J16" s="1207">
        <v>48</v>
      </c>
      <c r="K16" s="1207">
        <v>15.083333</v>
      </c>
      <c r="L16" s="1208">
        <v>34775.160000000003</v>
      </c>
      <c r="M16" s="1207">
        <v>12855.990000000002</v>
      </c>
      <c r="N16" s="1207">
        <v>2736.4800000000005</v>
      </c>
      <c r="O16" s="1207">
        <v>1021.6800000000001</v>
      </c>
      <c r="P16" s="1207">
        <v>1099.9999999999998</v>
      </c>
      <c r="Q16" s="1207">
        <v>358.13</v>
      </c>
      <c r="R16" s="1209">
        <f t="shared" si="1"/>
        <v>52847.44000000001</v>
      </c>
      <c r="S16" s="1159">
        <f t="shared" si="2"/>
        <v>2217.8666669999998</v>
      </c>
      <c r="T16" s="1159">
        <f t="shared" si="3"/>
        <v>191.08333300000001</v>
      </c>
      <c r="U16" s="1210">
        <f t="shared" si="4"/>
        <v>2026.7833339999997</v>
      </c>
      <c r="V16" s="1211"/>
      <c r="W16" s="1212"/>
      <c r="X16" s="1213">
        <f t="shared" si="8"/>
        <v>25653.689753424664</v>
      </c>
      <c r="Y16" s="1214">
        <v>42887</v>
      </c>
      <c r="Z16" s="1220">
        <v>2.1216407355021182E-2</v>
      </c>
      <c r="AA16" s="1213">
        <f t="shared" si="5"/>
        <v>544.27913196799057</v>
      </c>
      <c r="AB16" s="1216"/>
      <c r="AC16" s="1159">
        <f t="shared" si="6"/>
        <v>39077.599131967996</v>
      </c>
      <c r="AD16" s="1214">
        <v>43252</v>
      </c>
      <c r="AE16" s="1220">
        <v>0.03</v>
      </c>
      <c r="AF16" s="1213">
        <f t="shared" si="7"/>
        <v>1172.3279739590398</v>
      </c>
      <c r="AJ16" s="1175">
        <v>42767</v>
      </c>
      <c r="AK16" s="1185">
        <f t="shared" si="0"/>
        <v>123</v>
      </c>
    </row>
    <row r="17" spans="1:45">
      <c r="A17" s="1217">
        <v>2010</v>
      </c>
      <c r="B17" s="1218">
        <v>102486</v>
      </c>
      <c r="C17" s="1219">
        <v>1</v>
      </c>
      <c r="D17" s="1219">
        <v>2486</v>
      </c>
      <c r="E17" s="1219" t="s">
        <v>2638</v>
      </c>
      <c r="F17" s="1217" t="s">
        <v>2957</v>
      </c>
      <c r="G17" s="1207">
        <v>1830.85</v>
      </c>
      <c r="H17" s="1207">
        <v>702.28333000000009</v>
      </c>
      <c r="I17" s="1207">
        <v>128</v>
      </c>
      <c r="J17" s="1207">
        <v>48</v>
      </c>
      <c r="K17" s="1207">
        <v>0</v>
      </c>
      <c r="L17" s="1208">
        <v>39059.140000000014</v>
      </c>
      <c r="M17" s="1207">
        <v>22769.660099999994</v>
      </c>
      <c r="N17" s="1207">
        <v>2732.88</v>
      </c>
      <c r="O17" s="1207">
        <v>1025.28</v>
      </c>
      <c r="P17" s="1207">
        <v>2050</v>
      </c>
      <c r="Q17" s="1207">
        <v>37.130000000000003</v>
      </c>
      <c r="R17" s="1209">
        <f t="shared" si="1"/>
        <v>67674.090100000016</v>
      </c>
      <c r="S17" s="1159">
        <f t="shared" si="2"/>
        <v>2709.1333300000001</v>
      </c>
      <c r="T17" s="1159">
        <f t="shared" si="3"/>
        <v>176</v>
      </c>
      <c r="U17" s="1210">
        <f t="shared" si="4"/>
        <v>2533.1333300000001</v>
      </c>
      <c r="V17" s="1211"/>
      <c r="W17" s="1212"/>
      <c r="X17" s="1213">
        <f t="shared" si="8"/>
        <v>28505.76410958905</v>
      </c>
      <c r="Y17" s="1214">
        <v>42887</v>
      </c>
      <c r="Z17" s="1220">
        <v>2.1216407355021182E-2</v>
      </c>
      <c r="AA17" s="1213">
        <f t="shared" si="5"/>
        <v>604.78990331518401</v>
      </c>
      <c r="AB17" s="1216"/>
      <c r="AC17" s="1159">
        <f t="shared" si="6"/>
        <v>43422.089903315195</v>
      </c>
      <c r="AD17" s="1214">
        <v>43252</v>
      </c>
      <c r="AE17" s="1220">
        <v>0.03</v>
      </c>
      <c r="AF17" s="1213">
        <f t="shared" si="7"/>
        <v>1302.6626970994557</v>
      </c>
      <c r="AJ17" s="1175">
        <v>42795</v>
      </c>
      <c r="AK17" s="1185">
        <f t="shared" si="0"/>
        <v>151</v>
      </c>
    </row>
    <row r="18" spans="1:45">
      <c r="A18" s="1217">
        <v>2010</v>
      </c>
      <c r="B18" s="1218">
        <v>103481</v>
      </c>
      <c r="C18" s="1219">
        <v>1</v>
      </c>
      <c r="D18" s="1219">
        <v>3481</v>
      </c>
      <c r="E18" s="1219" t="s">
        <v>2639</v>
      </c>
      <c r="F18" s="1217" t="s">
        <v>2957</v>
      </c>
      <c r="G18" s="1207">
        <v>1874.756668</v>
      </c>
      <c r="H18" s="1207">
        <v>450.24333700000011</v>
      </c>
      <c r="I18" s="1207">
        <v>104</v>
      </c>
      <c r="J18" s="1207">
        <v>56</v>
      </c>
      <c r="K18" s="1207">
        <v>20.166665999999999</v>
      </c>
      <c r="L18" s="1208">
        <v>40005.689900000012</v>
      </c>
      <c r="M18" s="1207">
        <v>14557.489999999996</v>
      </c>
      <c r="N18" s="1207">
        <v>2205.8398999999999</v>
      </c>
      <c r="O18" s="1207">
        <v>1194.96</v>
      </c>
      <c r="P18" s="1207">
        <v>1299.9999999999998</v>
      </c>
      <c r="Q18" s="1207">
        <v>465.05</v>
      </c>
      <c r="R18" s="1209">
        <f t="shared" si="1"/>
        <v>59729.029800000011</v>
      </c>
      <c r="S18" s="1159">
        <f t="shared" si="2"/>
        <v>2505.166671</v>
      </c>
      <c r="T18" s="1159">
        <f t="shared" si="3"/>
        <v>180.16666599999999</v>
      </c>
      <c r="U18" s="1210">
        <f t="shared" si="4"/>
        <v>2325.0000049999999</v>
      </c>
      <c r="V18" s="1211"/>
      <c r="W18" s="1212"/>
      <c r="X18" s="1213">
        <f t="shared" si="8"/>
        <v>28898.019236712338</v>
      </c>
      <c r="Y18" s="1214">
        <v>42887</v>
      </c>
      <c r="Z18" s="1220">
        <v>2.1216407355021182E-2</v>
      </c>
      <c r="AA18" s="1213">
        <f t="shared" si="5"/>
        <v>613.11214787932727</v>
      </c>
      <c r="AB18" s="1216"/>
      <c r="AC18" s="1159">
        <f t="shared" si="6"/>
        <v>44019.601947879339</v>
      </c>
      <c r="AD18" s="1214">
        <v>43252</v>
      </c>
      <c r="AE18" s="1220">
        <v>0.03</v>
      </c>
      <c r="AF18" s="1213">
        <f t="shared" si="7"/>
        <v>1320.5880584363802</v>
      </c>
      <c r="AJ18" s="1175">
        <v>42800</v>
      </c>
      <c r="AK18" s="1185">
        <f t="shared" si="0"/>
        <v>156</v>
      </c>
      <c r="AL18" s="1175"/>
      <c r="AM18" s="1175"/>
      <c r="AN18" s="1175"/>
      <c r="AO18" s="1175"/>
      <c r="AP18" s="1175"/>
      <c r="AQ18" s="1175"/>
      <c r="AR18" s="1175"/>
      <c r="AS18" s="1175"/>
    </row>
    <row r="19" spans="1:45">
      <c r="A19" s="1217">
        <v>2010</v>
      </c>
      <c r="B19" s="1218">
        <v>103803</v>
      </c>
      <c r="C19" s="1219">
        <v>1</v>
      </c>
      <c r="D19" s="1219">
        <v>3803</v>
      </c>
      <c r="E19" s="1219" t="s">
        <v>2640</v>
      </c>
      <c r="F19" s="1217" t="s">
        <v>2957</v>
      </c>
      <c r="G19" s="1207">
        <v>1829.9</v>
      </c>
      <c r="H19" s="1207">
        <v>810.34666300000004</v>
      </c>
      <c r="I19" s="1207">
        <v>176</v>
      </c>
      <c r="J19" s="1207">
        <v>56</v>
      </c>
      <c r="K19" s="1207">
        <v>13.583333</v>
      </c>
      <c r="L19" s="1208">
        <v>39030.839800000002</v>
      </c>
      <c r="M19" s="1207">
        <v>26471.659999999996</v>
      </c>
      <c r="N19" s="1207">
        <v>3758.16</v>
      </c>
      <c r="O19" s="1207">
        <v>1194.96</v>
      </c>
      <c r="P19" s="1207">
        <v>3584.7799999999997</v>
      </c>
      <c r="Q19" s="1207">
        <v>326.18</v>
      </c>
      <c r="R19" s="1209">
        <f t="shared" si="1"/>
        <v>74366.579799999992</v>
      </c>
      <c r="S19" s="1159">
        <f t="shared" si="2"/>
        <v>2885.8299959999999</v>
      </c>
      <c r="T19" s="1159">
        <f t="shared" si="3"/>
        <v>245.58333300000001</v>
      </c>
      <c r="U19" s="1210">
        <f t="shared" si="4"/>
        <v>2640.2466629999999</v>
      </c>
      <c r="V19" s="1211"/>
      <c r="W19" s="1212"/>
      <c r="X19" s="1213">
        <f t="shared" si="8"/>
        <v>29282.471866849319</v>
      </c>
      <c r="Y19" s="1214">
        <v>42887</v>
      </c>
      <c r="Z19" s="1220">
        <v>2.1216407355021182E-2</v>
      </c>
      <c r="AA19" s="1213">
        <f t="shared" si="5"/>
        <v>621.26885148902272</v>
      </c>
      <c r="AB19" s="1216"/>
      <c r="AC19" s="1159">
        <f t="shared" si="6"/>
        <v>44605.228651489029</v>
      </c>
      <c r="AD19" s="1214">
        <v>43252</v>
      </c>
      <c r="AE19" s="1220">
        <v>0.03</v>
      </c>
      <c r="AF19" s="1213">
        <f t="shared" si="7"/>
        <v>1338.1568595446709</v>
      </c>
      <c r="AJ19" s="1175">
        <v>42811</v>
      </c>
      <c r="AK19" s="1185">
        <f t="shared" si="0"/>
        <v>167</v>
      </c>
    </row>
    <row r="20" spans="1:45">
      <c r="A20" s="1217">
        <v>2010</v>
      </c>
      <c r="B20" s="1218">
        <v>112148</v>
      </c>
      <c r="C20" s="1219">
        <v>1</v>
      </c>
      <c r="D20" s="1219">
        <v>12148</v>
      </c>
      <c r="E20" s="1219" t="s">
        <v>2641</v>
      </c>
      <c r="F20" s="1217" t="s">
        <v>2957</v>
      </c>
      <c r="G20" s="1207">
        <v>1877.4333350000002</v>
      </c>
      <c r="H20" s="1207">
        <v>458.35667199999995</v>
      </c>
      <c r="I20" s="1207">
        <v>88</v>
      </c>
      <c r="J20" s="1207">
        <v>56</v>
      </c>
      <c r="K20" s="1207">
        <v>20.733331999999997</v>
      </c>
      <c r="L20" s="1208">
        <v>40063.790000000008</v>
      </c>
      <c r="M20" s="1207">
        <v>14882.750000000004</v>
      </c>
      <c r="N20" s="1207">
        <v>1866.48</v>
      </c>
      <c r="O20" s="1207">
        <v>1194.96</v>
      </c>
      <c r="P20" s="1207">
        <v>2100</v>
      </c>
      <c r="Q20" s="1207">
        <v>478.4</v>
      </c>
      <c r="R20" s="1209">
        <f t="shared" si="1"/>
        <v>60586.380000000012</v>
      </c>
      <c r="S20" s="1159">
        <f t="shared" si="2"/>
        <v>2500.5233389999999</v>
      </c>
      <c r="T20" s="1159">
        <f t="shared" si="3"/>
        <v>164.73333199999999</v>
      </c>
      <c r="U20" s="1210">
        <f t="shared" si="4"/>
        <v>2335.7900070000001</v>
      </c>
      <c r="V20" s="1211"/>
      <c r="W20" s="1212"/>
      <c r="X20" s="1213">
        <f t="shared" si="8"/>
        <v>28710.769561643843</v>
      </c>
      <c r="Y20" s="1214">
        <v>42887</v>
      </c>
      <c r="Z20" s="1220">
        <v>2.1216407355021182E-2</v>
      </c>
      <c r="AA20" s="1213">
        <f t="shared" si="5"/>
        <v>609.13938249597868</v>
      </c>
      <c r="AB20" s="1216"/>
      <c r="AC20" s="1159">
        <f t="shared" si="6"/>
        <v>43734.369382495992</v>
      </c>
      <c r="AD20" s="1214">
        <v>43252</v>
      </c>
      <c r="AE20" s="1220">
        <v>0.03</v>
      </c>
      <c r="AF20" s="1213">
        <f t="shared" si="7"/>
        <v>1312.0310814748798</v>
      </c>
      <c r="AJ20" s="1175">
        <v>42826</v>
      </c>
      <c r="AK20" s="1185">
        <f t="shared" si="0"/>
        <v>182</v>
      </c>
    </row>
    <row r="21" spans="1:45">
      <c r="A21" s="1217">
        <v>2010</v>
      </c>
      <c r="B21" s="1218">
        <v>111774</v>
      </c>
      <c r="C21" s="1219">
        <v>1</v>
      </c>
      <c r="D21" s="1219">
        <v>11774</v>
      </c>
      <c r="E21" s="1219" t="s">
        <v>2642</v>
      </c>
      <c r="F21" s="1217" t="s">
        <v>2957</v>
      </c>
      <c r="G21" s="1207">
        <v>1697.55</v>
      </c>
      <c r="H21" s="1207">
        <v>269.02333800000002</v>
      </c>
      <c r="I21" s="1207">
        <v>136</v>
      </c>
      <c r="J21" s="1207">
        <v>56</v>
      </c>
      <c r="K21" s="1207">
        <v>99.416665999999992</v>
      </c>
      <c r="L21" s="1208">
        <v>36203.950000000004</v>
      </c>
      <c r="M21" s="1207">
        <v>8763.68</v>
      </c>
      <c r="N21" s="1207">
        <v>2909.7599999999998</v>
      </c>
      <c r="O21" s="1207">
        <v>1194.96</v>
      </c>
      <c r="P21" s="1207">
        <v>2100</v>
      </c>
      <c r="Q21" s="1207">
        <v>2155.9300000000003</v>
      </c>
      <c r="R21" s="1209">
        <f t="shared" si="1"/>
        <v>53328.280000000006</v>
      </c>
      <c r="S21" s="1159">
        <f t="shared" si="2"/>
        <v>2257.9900040000002</v>
      </c>
      <c r="T21" s="1159">
        <f t="shared" si="3"/>
        <v>291.41666599999996</v>
      </c>
      <c r="U21" s="1210">
        <f t="shared" si="4"/>
        <v>1966.5733380000001</v>
      </c>
      <c r="V21" s="1211"/>
      <c r="W21" s="1212"/>
      <c r="X21" s="1213">
        <f t="shared" si="8"/>
        <v>26835.635095890415</v>
      </c>
      <c r="Y21" s="1214">
        <v>42887</v>
      </c>
      <c r="Z21" s="1220">
        <v>2.1216407355021182E-2</v>
      </c>
      <c r="AA21" s="1213">
        <f t="shared" si="5"/>
        <v>569.35576582511396</v>
      </c>
      <c r="AB21" s="1216"/>
      <c r="AC21" s="1159">
        <f t="shared" si="6"/>
        <v>40878.025765825121</v>
      </c>
      <c r="AD21" s="1214">
        <v>43252</v>
      </c>
      <c r="AE21" s="1220">
        <v>0.03</v>
      </c>
      <c r="AF21" s="1213">
        <f t="shared" si="7"/>
        <v>1226.3407729747537</v>
      </c>
      <c r="AJ21" s="1175">
        <v>42828</v>
      </c>
      <c r="AK21" s="1185">
        <f t="shared" si="0"/>
        <v>184</v>
      </c>
    </row>
    <row r="22" spans="1:45">
      <c r="A22" s="1217">
        <v>2010</v>
      </c>
      <c r="B22" s="1218">
        <v>113771</v>
      </c>
      <c r="C22" s="1219">
        <v>1</v>
      </c>
      <c r="D22" s="1219">
        <v>13771</v>
      </c>
      <c r="E22" s="1219" t="s">
        <v>2643</v>
      </c>
      <c r="F22" s="1217" t="s">
        <v>2957</v>
      </c>
      <c r="G22" s="1207">
        <v>1672.0299990000001</v>
      </c>
      <c r="H22" s="1207">
        <v>257.81666700000005</v>
      </c>
      <c r="I22" s="1207">
        <v>120</v>
      </c>
      <c r="J22" s="1207">
        <v>48</v>
      </c>
      <c r="K22" s="1207">
        <v>46.670000999999992</v>
      </c>
      <c r="L22" s="1208">
        <v>35689.139900000002</v>
      </c>
      <c r="M22" s="1207">
        <v>8299.5299999999988</v>
      </c>
      <c r="N22" s="1207">
        <v>2556</v>
      </c>
      <c r="O22" s="1207">
        <v>1025.28</v>
      </c>
      <c r="P22" s="1207">
        <v>750</v>
      </c>
      <c r="Q22" s="1207">
        <v>1031.01</v>
      </c>
      <c r="R22" s="1209">
        <f t="shared" si="1"/>
        <v>49350.959900000002</v>
      </c>
      <c r="S22" s="1159">
        <f t="shared" si="2"/>
        <v>2144.5166670000003</v>
      </c>
      <c r="T22" s="1159">
        <f t="shared" si="3"/>
        <v>214.67000099999998</v>
      </c>
      <c r="U22" s="1210">
        <f t="shared" si="4"/>
        <v>1929.8466660000004</v>
      </c>
      <c r="V22" s="1211"/>
      <c r="W22" s="1212"/>
      <c r="X22" s="1213">
        <f t="shared" si="8"/>
        <v>26144.416536164386</v>
      </c>
      <c r="Y22" s="1214">
        <v>42887</v>
      </c>
      <c r="Z22" s="1220">
        <v>2.3030861354214647E-2</v>
      </c>
      <c r="AA22" s="1213">
        <f t="shared" si="5"/>
        <v>602.12843243123871</v>
      </c>
      <c r="AB22" s="1216"/>
      <c r="AC22" s="1159">
        <f t="shared" si="6"/>
        <v>39872.548332431237</v>
      </c>
      <c r="AD22" s="1214">
        <v>43252</v>
      </c>
      <c r="AE22" s="1220">
        <v>0.03</v>
      </c>
      <c r="AF22" s="1213">
        <f t="shared" si="7"/>
        <v>1196.176449972937</v>
      </c>
      <c r="AJ22" s="1175">
        <v>42856</v>
      </c>
      <c r="AK22" s="1185">
        <f t="shared" si="0"/>
        <v>212</v>
      </c>
    </row>
    <row r="23" spans="1:45">
      <c r="A23" s="1217">
        <v>2010</v>
      </c>
      <c r="B23" s="1218">
        <v>150108</v>
      </c>
      <c r="C23" s="1219">
        <v>1</v>
      </c>
      <c r="D23" s="1219">
        <v>50108</v>
      </c>
      <c r="E23" s="1219" t="s">
        <v>2644</v>
      </c>
      <c r="F23" s="1217" t="s">
        <v>2957</v>
      </c>
      <c r="G23" s="1207">
        <v>1896.983334</v>
      </c>
      <c r="H23" s="1207">
        <v>459.98666400000008</v>
      </c>
      <c r="I23" s="1207">
        <v>88</v>
      </c>
      <c r="J23" s="1207">
        <v>56</v>
      </c>
      <c r="K23" s="1207">
        <v>11.116667</v>
      </c>
      <c r="L23" s="1208">
        <v>39500.239900000015</v>
      </c>
      <c r="M23" s="1207">
        <v>14559.890000000003</v>
      </c>
      <c r="N23" s="1207">
        <v>1723.6799999999998</v>
      </c>
      <c r="O23" s="1207">
        <v>1170.56</v>
      </c>
      <c r="P23" s="1207">
        <v>599.99999999999977</v>
      </c>
      <c r="Q23" s="1207">
        <v>272.92</v>
      </c>
      <c r="R23" s="1209">
        <f t="shared" si="1"/>
        <v>57827.289900000011</v>
      </c>
      <c r="S23" s="1159">
        <f t="shared" si="2"/>
        <v>2512.0866649999998</v>
      </c>
      <c r="T23" s="1159">
        <f t="shared" si="3"/>
        <v>155.11666700000001</v>
      </c>
      <c r="U23" s="1210">
        <f t="shared" si="4"/>
        <v>2356.9699979999996</v>
      </c>
      <c r="V23" s="1211"/>
      <c r="W23" s="1212"/>
      <c r="X23" s="1213">
        <f t="shared" si="8"/>
        <v>28224.27018000001</v>
      </c>
      <c r="Y23" s="1214">
        <v>42887</v>
      </c>
      <c r="Z23" s="1220">
        <v>0.19273127753303959</v>
      </c>
      <c r="AA23" s="1213">
        <f t="shared" si="5"/>
        <v>5439.6996492290755</v>
      </c>
      <c r="AB23" s="1216"/>
      <c r="AC23" s="1159">
        <f t="shared" si="6"/>
        <v>47834.179549229091</v>
      </c>
      <c r="AD23" s="1214">
        <v>43252</v>
      </c>
      <c r="AE23" s="1220">
        <v>0.03</v>
      </c>
      <c r="AF23" s="1213">
        <f t="shared" si="7"/>
        <v>1435.0253864768727</v>
      </c>
      <c r="AJ23" s="1175">
        <v>42887</v>
      </c>
      <c r="AK23" s="1185">
        <f t="shared" si="0"/>
        <v>243</v>
      </c>
    </row>
    <row r="24" spans="1:45">
      <c r="A24" s="1217">
        <v>2010</v>
      </c>
      <c r="B24" s="1218">
        <v>114347</v>
      </c>
      <c r="C24" s="1219">
        <v>1</v>
      </c>
      <c r="D24" s="1219">
        <v>14347</v>
      </c>
      <c r="E24" s="1219" t="s">
        <v>2645</v>
      </c>
      <c r="F24" s="1217" t="s">
        <v>2957</v>
      </c>
      <c r="G24" s="1207">
        <v>1775.3166679999999</v>
      </c>
      <c r="H24" s="1207">
        <v>311.18667100000005</v>
      </c>
      <c r="I24" s="1207">
        <v>112</v>
      </c>
      <c r="J24" s="1207">
        <v>48</v>
      </c>
      <c r="K24" s="1207">
        <v>54.366666000000009</v>
      </c>
      <c r="L24" s="1208">
        <v>37874.380000000005</v>
      </c>
      <c r="M24" s="1207">
        <v>10073.67</v>
      </c>
      <c r="N24" s="1207">
        <v>2393.52</v>
      </c>
      <c r="O24" s="1207">
        <v>1025.28</v>
      </c>
      <c r="P24" s="1207">
        <v>1799.9999999999998</v>
      </c>
      <c r="Q24" s="1207">
        <v>1196.7400000000002</v>
      </c>
      <c r="R24" s="1209">
        <f t="shared" si="1"/>
        <v>54363.59</v>
      </c>
      <c r="S24" s="1159">
        <f t="shared" si="2"/>
        <v>2300.8700049999998</v>
      </c>
      <c r="T24" s="1159">
        <f t="shared" si="3"/>
        <v>214.36666600000001</v>
      </c>
      <c r="U24" s="1210">
        <f t="shared" si="4"/>
        <v>2086.5033389999999</v>
      </c>
      <c r="V24" s="1211"/>
      <c r="W24" s="1212"/>
      <c r="X24" s="1213">
        <f t="shared" si="8"/>
        <v>27491.076000000001</v>
      </c>
      <c r="Y24" s="1214">
        <v>42887</v>
      </c>
      <c r="Z24" s="1220">
        <v>2.1216407355021182E-2</v>
      </c>
      <c r="AA24" s="1213">
        <f t="shared" si="5"/>
        <v>583.26186704384634</v>
      </c>
      <c r="AB24" s="1216"/>
      <c r="AC24" s="1159">
        <f t="shared" si="6"/>
        <v>41876.441867043846</v>
      </c>
      <c r="AD24" s="1214">
        <v>43252</v>
      </c>
      <c r="AE24" s="1220">
        <v>0.03</v>
      </c>
      <c r="AF24" s="1213">
        <f t="shared" si="7"/>
        <v>1256.2932560113154</v>
      </c>
      <c r="AJ24" s="1175">
        <v>42898</v>
      </c>
      <c r="AK24" s="1185">
        <f t="shared" si="0"/>
        <v>254</v>
      </c>
    </row>
    <row r="25" spans="1:45">
      <c r="A25" s="1217">
        <v>2010</v>
      </c>
      <c r="B25" s="1218">
        <v>111605</v>
      </c>
      <c r="C25" s="1219">
        <v>1</v>
      </c>
      <c r="D25" s="1219">
        <v>11605</v>
      </c>
      <c r="E25" s="1219" t="s">
        <v>2646</v>
      </c>
      <c r="F25" s="1217" t="s">
        <v>2957</v>
      </c>
      <c r="G25" s="1207">
        <v>1847.88</v>
      </c>
      <c r="H25" s="1207">
        <v>405.33666699999992</v>
      </c>
      <c r="I25" s="1207">
        <v>184</v>
      </c>
      <c r="J25" s="1207">
        <v>48</v>
      </c>
      <c r="K25" s="1207">
        <v>21.95</v>
      </c>
      <c r="L25" s="1208">
        <v>39405.989900000015</v>
      </c>
      <c r="M25" s="1207">
        <v>13157.729999999996</v>
      </c>
      <c r="N25" s="1207">
        <v>3938.6400000000003</v>
      </c>
      <c r="O25" s="1207">
        <v>1025.28</v>
      </c>
      <c r="P25" s="1207">
        <v>2100</v>
      </c>
      <c r="Q25" s="1207">
        <v>502.73</v>
      </c>
      <c r="R25" s="1209">
        <f t="shared" si="1"/>
        <v>60130.369900000012</v>
      </c>
      <c r="S25" s="1159">
        <f t="shared" si="2"/>
        <v>2507.166667</v>
      </c>
      <c r="T25" s="1159">
        <f t="shared" si="3"/>
        <v>253.95</v>
      </c>
      <c r="U25" s="1210">
        <f t="shared" si="4"/>
        <v>2253.2166670000001</v>
      </c>
      <c r="V25" s="1211"/>
      <c r="W25" s="1212"/>
      <c r="X25" s="1213">
        <f t="shared" si="8"/>
        <v>29539.419467671243</v>
      </c>
      <c r="Y25" s="1214">
        <v>42887</v>
      </c>
      <c r="Z25" s="1220">
        <v>2.12E-2</v>
      </c>
      <c r="AA25" s="1213">
        <f t="shared" si="5"/>
        <v>626.23569271463032</v>
      </c>
      <c r="AB25" s="1216"/>
      <c r="AC25" s="1159">
        <f t="shared" si="6"/>
        <v>44996.145592714645</v>
      </c>
      <c r="AD25" s="1214">
        <v>43252</v>
      </c>
      <c r="AE25" s="1220">
        <v>0.03</v>
      </c>
      <c r="AF25" s="1213">
        <f t="shared" si="7"/>
        <v>1349.8843677814393</v>
      </c>
      <c r="AJ25" s="1175">
        <v>42917</v>
      </c>
      <c r="AK25" s="1185">
        <f t="shared" si="0"/>
        <v>273</v>
      </c>
    </row>
    <row r="26" spans="1:45">
      <c r="A26" s="1217">
        <v>2010</v>
      </c>
      <c r="B26" s="1218">
        <v>117964</v>
      </c>
      <c r="C26" s="1219">
        <v>1</v>
      </c>
      <c r="D26" s="1219">
        <v>17964</v>
      </c>
      <c r="E26" s="1219" t="s">
        <v>2647</v>
      </c>
      <c r="F26" s="1217" t="s">
        <v>2957</v>
      </c>
      <c r="G26" s="1207">
        <v>1871.3333339999999</v>
      </c>
      <c r="H26" s="1207">
        <v>545.61666300000002</v>
      </c>
      <c r="I26" s="1207">
        <v>56</v>
      </c>
      <c r="J26" s="1207">
        <v>56</v>
      </c>
      <c r="K26" s="1207">
        <v>8.4333329999999993</v>
      </c>
      <c r="L26" s="1208">
        <v>39929.269800000009</v>
      </c>
      <c r="M26" s="1207">
        <v>17614.39</v>
      </c>
      <c r="N26" s="1207">
        <v>1187.76</v>
      </c>
      <c r="O26" s="1207">
        <v>1194.96</v>
      </c>
      <c r="P26" s="1207">
        <v>1349.9999999999998</v>
      </c>
      <c r="Q26" s="1207">
        <v>216</v>
      </c>
      <c r="R26" s="1209">
        <f t="shared" si="1"/>
        <v>61492.37980000001</v>
      </c>
      <c r="S26" s="1159">
        <f t="shared" si="2"/>
        <v>2537.3833299999997</v>
      </c>
      <c r="T26" s="1159">
        <f t="shared" si="3"/>
        <v>120.433333</v>
      </c>
      <c r="U26" s="1210">
        <f t="shared" si="4"/>
        <v>2416.9499969999997</v>
      </c>
      <c r="V26" s="1211"/>
      <c r="W26" s="1212"/>
      <c r="X26" s="1213">
        <f t="shared" si="8"/>
        <v>28169.352113424666</v>
      </c>
      <c r="Y26" s="1214">
        <v>42887</v>
      </c>
      <c r="Z26" s="1220">
        <v>2.1216407355021182E-2</v>
      </c>
      <c r="AA26" s="1213">
        <f t="shared" si="5"/>
        <v>597.65244936544457</v>
      </c>
      <c r="AB26" s="1216"/>
      <c r="AC26" s="1159">
        <f t="shared" si="6"/>
        <v>42909.642249365454</v>
      </c>
      <c r="AD26" s="1214">
        <v>43252</v>
      </c>
      <c r="AE26" s="1220">
        <v>0.03</v>
      </c>
      <c r="AF26" s="1213">
        <f t="shared" si="7"/>
        <v>1287.2892674809636</v>
      </c>
      <c r="AJ26" s="1175">
        <v>42919</v>
      </c>
      <c r="AK26" s="1185">
        <f t="shared" si="0"/>
        <v>275</v>
      </c>
    </row>
    <row r="27" spans="1:45">
      <c r="A27" s="1217">
        <v>2010</v>
      </c>
      <c r="B27" s="1218">
        <v>102966</v>
      </c>
      <c r="C27" s="1219">
        <v>1</v>
      </c>
      <c r="D27" s="1219">
        <v>2966</v>
      </c>
      <c r="E27" s="1219" t="s">
        <v>2648</v>
      </c>
      <c r="F27" s="1217" t="s">
        <v>2957</v>
      </c>
      <c r="G27" s="1207">
        <v>1825.7366670000001</v>
      </c>
      <c r="H27" s="1207">
        <v>282.08333399999998</v>
      </c>
      <c r="I27" s="1207">
        <v>104</v>
      </c>
      <c r="J27" s="1207">
        <v>56</v>
      </c>
      <c r="K27" s="1207">
        <v>39</v>
      </c>
      <c r="L27" s="1208">
        <v>38956.770000000011</v>
      </c>
      <c r="M27" s="1207">
        <v>9159.7900000000009</v>
      </c>
      <c r="N27" s="1207">
        <v>2213.04</v>
      </c>
      <c r="O27" s="1207">
        <v>1194.96</v>
      </c>
      <c r="P27" s="1207">
        <v>1799.9999999999998</v>
      </c>
      <c r="Q27" s="1207">
        <v>865.99000000000024</v>
      </c>
      <c r="R27" s="1209">
        <f t="shared" si="1"/>
        <v>54190.55000000001</v>
      </c>
      <c r="S27" s="1159">
        <f t="shared" si="2"/>
        <v>2306.820001</v>
      </c>
      <c r="T27" s="1159">
        <f t="shared" si="3"/>
        <v>199</v>
      </c>
      <c r="U27" s="1210">
        <f t="shared" si="4"/>
        <v>2107.820001</v>
      </c>
      <c r="V27" s="1211"/>
      <c r="W27" s="1212"/>
      <c r="X27" s="1213">
        <f t="shared" si="8"/>
        <v>28204.490712328778</v>
      </c>
      <c r="Y27" s="1214">
        <v>42887</v>
      </c>
      <c r="Z27" s="1220">
        <v>2.1216407355021182E-2</v>
      </c>
      <c r="AA27" s="1213">
        <f t="shared" si="5"/>
        <v>598.39796419367894</v>
      </c>
      <c r="AB27" s="1216"/>
      <c r="AC27" s="1159">
        <f t="shared" si="6"/>
        <v>42963.167964193693</v>
      </c>
      <c r="AD27" s="1214">
        <v>43252</v>
      </c>
      <c r="AE27" s="1220">
        <v>0.03</v>
      </c>
      <c r="AF27" s="1213">
        <f t="shared" si="7"/>
        <v>1288.8950389258107</v>
      </c>
      <c r="AJ27" s="1175">
        <v>42928</v>
      </c>
      <c r="AK27" s="1185">
        <f t="shared" si="0"/>
        <v>284</v>
      </c>
    </row>
    <row r="28" spans="1:45">
      <c r="A28" s="1217">
        <v>2010</v>
      </c>
      <c r="B28" s="1218">
        <v>118216</v>
      </c>
      <c r="C28" s="1219">
        <v>1</v>
      </c>
      <c r="D28" s="1219">
        <v>18216</v>
      </c>
      <c r="E28" s="1219" t="s">
        <v>2649</v>
      </c>
      <c r="F28" s="1217" t="s">
        <v>2957</v>
      </c>
      <c r="G28" s="1207">
        <v>1885.8166669999998</v>
      </c>
      <c r="H28" s="1207">
        <v>651.58666699999992</v>
      </c>
      <c r="I28" s="1207">
        <v>72</v>
      </c>
      <c r="J28" s="1207">
        <v>56</v>
      </c>
      <c r="K28" s="1207">
        <v>21.866666000000002</v>
      </c>
      <c r="L28" s="1208">
        <v>36555.249900000003</v>
      </c>
      <c r="M28" s="1207">
        <v>19312.18</v>
      </c>
      <c r="N28" s="1207">
        <v>1447.52</v>
      </c>
      <c r="O28" s="1207">
        <v>1097.3600000000001</v>
      </c>
      <c r="P28" s="1207">
        <v>1299.9999999999998</v>
      </c>
      <c r="Q28" s="1207">
        <v>460.75</v>
      </c>
      <c r="R28" s="1209">
        <f t="shared" si="1"/>
        <v>60173.0599</v>
      </c>
      <c r="S28" s="1159">
        <f t="shared" si="2"/>
        <v>2687.2699999999995</v>
      </c>
      <c r="T28" s="1159">
        <f t="shared" si="3"/>
        <v>149.86666600000001</v>
      </c>
      <c r="U28" s="1210">
        <f t="shared" si="4"/>
        <v>2537.4033339999996</v>
      </c>
      <c r="V28" s="1211"/>
      <c r="W28" s="1212"/>
      <c r="X28" s="1213">
        <f t="shared" si="8"/>
        <v>26031.045385479454</v>
      </c>
      <c r="Y28" s="1214">
        <v>42887</v>
      </c>
      <c r="Z28" s="1220">
        <v>0.19273127753303959</v>
      </c>
      <c r="AA28" s="1213">
        <f t="shared" si="5"/>
        <v>5016.9966326639906</v>
      </c>
      <c r="AB28" s="1216"/>
      <c r="AC28" s="1159">
        <f t="shared" si="6"/>
        <v>44117.126532663991</v>
      </c>
      <c r="AD28" s="1214">
        <v>43252</v>
      </c>
      <c r="AE28" s="1220">
        <v>0.03</v>
      </c>
      <c r="AF28" s="1213">
        <f t="shared" si="7"/>
        <v>1323.5137959799197</v>
      </c>
      <c r="AJ28" s="1175">
        <v>42948</v>
      </c>
      <c r="AK28" s="1185">
        <f t="shared" si="0"/>
        <v>304</v>
      </c>
    </row>
    <row r="29" spans="1:45">
      <c r="A29" s="1217">
        <v>2010</v>
      </c>
      <c r="B29" s="1218">
        <v>150605</v>
      </c>
      <c r="C29" s="1219">
        <v>1</v>
      </c>
      <c r="D29" s="1219">
        <v>50605</v>
      </c>
      <c r="E29" s="1219" t="s">
        <v>2650</v>
      </c>
      <c r="F29" s="1217" t="s">
        <v>2957</v>
      </c>
      <c r="G29" s="1207">
        <v>1821.65</v>
      </c>
      <c r="H29" s="1207">
        <v>671.13333099999977</v>
      </c>
      <c r="I29" s="1207">
        <v>72</v>
      </c>
      <c r="J29" s="1207">
        <v>56</v>
      </c>
      <c r="K29" s="1207">
        <v>10.35</v>
      </c>
      <c r="L29" s="1208">
        <v>33708.030000000006</v>
      </c>
      <c r="M29" s="1207">
        <v>18906.48</v>
      </c>
      <c r="N29" s="1207">
        <v>1321.92</v>
      </c>
      <c r="O29" s="1207">
        <v>1049.76</v>
      </c>
      <c r="P29" s="1207">
        <v>1799.9999999999998</v>
      </c>
      <c r="Q29" s="1207">
        <v>225.42</v>
      </c>
      <c r="R29" s="1209">
        <f t="shared" si="1"/>
        <v>57011.610000000008</v>
      </c>
      <c r="S29" s="1159">
        <f t="shared" si="2"/>
        <v>2631.1333309999995</v>
      </c>
      <c r="T29" s="1159">
        <f t="shared" si="3"/>
        <v>138.35</v>
      </c>
      <c r="U29" s="1210">
        <f t="shared" si="4"/>
        <v>2492.7833309999996</v>
      </c>
      <c r="V29" s="1211"/>
      <c r="W29" s="1212"/>
      <c r="X29" s="1213">
        <f>SUM(L29,N29:O29)*((VLOOKUP(Y29,$AJ$9:$AK$30,2,FALSE))/365)</f>
        <v>30049.95024657535</v>
      </c>
      <c r="Y29" s="1214">
        <v>42948</v>
      </c>
      <c r="Z29" s="1220">
        <v>0.19273127753303979</v>
      </c>
      <c r="AA29" s="1213">
        <f t="shared" si="5"/>
        <v>5791.5653008267509</v>
      </c>
      <c r="AB29" s="1216"/>
      <c r="AC29" s="1159">
        <f t="shared" si="6"/>
        <v>41871.275300826761</v>
      </c>
      <c r="AD29" s="1214">
        <v>43252</v>
      </c>
      <c r="AE29" s="1220">
        <v>0.03</v>
      </c>
      <c r="AF29" s="1213">
        <f t="shared" si="7"/>
        <v>1256.1382590248029</v>
      </c>
      <c r="AJ29" s="1175">
        <v>42964</v>
      </c>
      <c r="AK29" s="1185">
        <f t="shared" si="0"/>
        <v>320</v>
      </c>
    </row>
    <row r="30" spans="1:45">
      <c r="A30" s="1217">
        <v>2010</v>
      </c>
      <c r="B30" s="1218">
        <v>102762</v>
      </c>
      <c r="C30" s="1219">
        <v>1</v>
      </c>
      <c r="D30" s="1219">
        <v>2762</v>
      </c>
      <c r="E30" s="1219" t="s">
        <v>2651</v>
      </c>
      <c r="F30" s="1217" t="s">
        <v>2957</v>
      </c>
      <c r="G30" s="1207">
        <v>502.28333299999997</v>
      </c>
      <c r="H30" s="1207">
        <v>85.813333</v>
      </c>
      <c r="I30" s="1207">
        <v>64.599999999999994</v>
      </c>
      <c r="J30" s="1207">
        <v>32</v>
      </c>
      <c r="K30" s="1207">
        <v>9.1000000000000014</v>
      </c>
      <c r="L30" s="1208">
        <v>10653.44</v>
      </c>
      <c r="M30" s="1207">
        <v>2814.23</v>
      </c>
      <c r="N30" s="1207">
        <v>1370.17</v>
      </c>
      <c r="O30" s="1207">
        <v>678.72</v>
      </c>
      <c r="P30" s="1207">
        <v>1100</v>
      </c>
      <c r="Q30" s="1207">
        <v>1587.5900000000001</v>
      </c>
      <c r="R30" s="1209">
        <f t="shared" si="1"/>
        <v>18204.149999999998</v>
      </c>
      <c r="S30" s="1159">
        <f t="shared" si="2"/>
        <v>693.79666599999996</v>
      </c>
      <c r="T30" s="1159">
        <f t="shared" si="3"/>
        <v>105.69999999999999</v>
      </c>
      <c r="U30" s="1210">
        <f t="shared" si="4"/>
        <v>588.09666599999991</v>
      </c>
      <c r="V30" s="1211"/>
      <c r="W30" s="1212"/>
      <c r="X30" s="1221"/>
      <c r="Y30" s="1214"/>
      <c r="Z30" s="1220">
        <v>0</v>
      </c>
      <c r="AA30" s="1213">
        <f t="shared" si="5"/>
        <v>0</v>
      </c>
      <c r="AB30" s="1216"/>
      <c r="AC30" s="1159">
        <f t="shared" si="6"/>
        <v>12702.33</v>
      </c>
      <c r="AD30" s="1214"/>
      <c r="AE30" s="1220">
        <v>0</v>
      </c>
      <c r="AF30" s="1213">
        <f t="shared" si="7"/>
        <v>0</v>
      </c>
      <c r="AJ30" s="1175">
        <v>42979</v>
      </c>
      <c r="AK30" s="1185">
        <f t="shared" si="0"/>
        <v>335</v>
      </c>
    </row>
    <row r="31" spans="1:45">
      <c r="A31" s="1217">
        <v>2010</v>
      </c>
      <c r="B31" s="1218">
        <v>113163</v>
      </c>
      <c r="C31" s="1219">
        <v>1</v>
      </c>
      <c r="D31" s="1219">
        <v>13163</v>
      </c>
      <c r="E31" s="1219" t="s">
        <v>2652</v>
      </c>
      <c r="F31" s="1217" t="s">
        <v>2957</v>
      </c>
      <c r="G31" s="1207">
        <v>1728.383333</v>
      </c>
      <c r="H31" s="1207">
        <v>315.883329</v>
      </c>
      <c r="I31" s="1207">
        <v>120</v>
      </c>
      <c r="J31" s="1207">
        <v>48</v>
      </c>
      <c r="K31" s="1207">
        <v>41.316668</v>
      </c>
      <c r="L31" s="1208">
        <v>36839.430200000003</v>
      </c>
      <c r="M31" s="1207">
        <v>10237.879999999999</v>
      </c>
      <c r="N31" s="1207">
        <v>2552.4000000000005</v>
      </c>
      <c r="O31" s="1207">
        <v>1021.6800000000001</v>
      </c>
      <c r="P31" s="1207">
        <v>1799.9999999999998</v>
      </c>
      <c r="Q31" s="1207">
        <v>923.87999999999988</v>
      </c>
      <c r="R31" s="1209">
        <f t="shared" si="1"/>
        <v>53375.270199999999</v>
      </c>
      <c r="S31" s="1159">
        <f t="shared" si="2"/>
        <v>2253.5833299999999</v>
      </c>
      <c r="T31" s="1159">
        <f t="shared" si="3"/>
        <v>209.31666799999999</v>
      </c>
      <c r="U31" s="1210">
        <f t="shared" si="4"/>
        <v>2044.266662</v>
      </c>
      <c r="V31" s="1211"/>
      <c r="W31" s="1212"/>
      <c r="X31" s="1213">
        <f t="shared" si="8"/>
        <v>26905.432818082198</v>
      </c>
      <c r="Y31" s="1214">
        <v>42887</v>
      </c>
      <c r="Z31" s="1220">
        <v>2.12E-2</v>
      </c>
      <c r="AA31" s="1213">
        <f t="shared" si="5"/>
        <v>570.39517574334263</v>
      </c>
      <c r="AB31" s="1216"/>
      <c r="AC31" s="1159">
        <f t="shared" si="6"/>
        <v>40983.90537574335</v>
      </c>
      <c r="AD31" s="1214">
        <v>43252</v>
      </c>
      <c r="AE31" s="1220">
        <v>0.03</v>
      </c>
      <c r="AF31" s="1213">
        <f t="shared" si="7"/>
        <v>1229.5171612723004</v>
      </c>
    </row>
    <row r="32" spans="1:45">
      <c r="A32" s="1217">
        <v>2010</v>
      </c>
      <c r="B32" s="1218">
        <v>150601</v>
      </c>
      <c r="C32" s="1219">
        <v>1</v>
      </c>
      <c r="D32" s="1219">
        <v>50601</v>
      </c>
      <c r="E32" s="1219" t="s">
        <v>2653</v>
      </c>
      <c r="F32" s="1217" t="s">
        <v>2957</v>
      </c>
      <c r="G32" s="1207">
        <v>1836.2000000000003</v>
      </c>
      <c r="H32" s="1207">
        <v>596.36334199999999</v>
      </c>
      <c r="I32" s="1207">
        <v>88</v>
      </c>
      <c r="J32" s="1207">
        <v>56</v>
      </c>
      <c r="K32" s="1207">
        <v>10.199999999999999</v>
      </c>
      <c r="L32" s="1208">
        <v>33938.480100000001</v>
      </c>
      <c r="M32" s="1207">
        <v>16818.73</v>
      </c>
      <c r="N32" s="1207">
        <v>1612.48</v>
      </c>
      <c r="O32" s="1207">
        <v>1049.76</v>
      </c>
      <c r="P32" s="1207">
        <v>2100</v>
      </c>
      <c r="Q32" s="1207">
        <v>228.48000000000002</v>
      </c>
      <c r="R32" s="1209">
        <f t="shared" si="1"/>
        <v>55747.930100000005</v>
      </c>
      <c r="S32" s="1159">
        <f t="shared" si="2"/>
        <v>2586.7633420000002</v>
      </c>
      <c r="T32" s="1159">
        <f t="shared" si="3"/>
        <v>154.19999999999999</v>
      </c>
      <c r="U32" s="1210">
        <f t="shared" si="4"/>
        <v>2432.5633420000004</v>
      </c>
      <c r="V32" s="1211"/>
      <c r="W32" s="1212"/>
      <c r="X32" s="1213">
        <f t="shared" si="8"/>
        <v>30483.88742575343</v>
      </c>
      <c r="Y32" s="1214">
        <v>42948</v>
      </c>
      <c r="Z32" s="1220">
        <v>0.19273127753303979</v>
      </c>
      <c r="AA32" s="1213">
        <f t="shared" si="5"/>
        <v>5875.1985677388257</v>
      </c>
      <c r="AB32" s="1216"/>
      <c r="AC32" s="1159">
        <f t="shared" si="6"/>
        <v>42475.918667738835</v>
      </c>
      <c r="AD32" s="1214">
        <v>43252</v>
      </c>
      <c r="AE32" s="1220">
        <v>0.03</v>
      </c>
      <c r="AF32" s="1213">
        <f t="shared" si="7"/>
        <v>1274.277560032165</v>
      </c>
    </row>
    <row r="33" spans="1:32">
      <c r="A33" s="1217">
        <v>2010</v>
      </c>
      <c r="B33" s="1218">
        <v>117871</v>
      </c>
      <c r="C33" s="1219">
        <v>1</v>
      </c>
      <c r="D33" s="1219">
        <v>17871</v>
      </c>
      <c r="E33" s="1219" t="s">
        <v>2654</v>
      </c>
      <c r="F33" s="1217" t="s">
        <v>2957</v>
      </c>
      <c r="G33" s="1207">
        <v>1822.1666680000001</v>
      </c>
      <c r="H33" s="1207">
        <v>454.64666399999999</v>
      </c>
      <c r="I33" s="1207">
        <v>32</v>
      </c>
      <c r="J33" s="1207">
        <v>56</v>
      </c>
      <c r="K33" s="1207">
        <v>34.233331999999997</v>
      </c>
      <c r="L33" s="1208">
        <v>38865.290000000008</v>
      </c>
      <c r="M33" s="1207">
        <v>14780.099999999999</v>
      </c>
      <c r="N33" s="1207">
        <v>693.12</v>
      </c>
      <c r="O33" s="1207">
        <v>1194.96</v>
      </c>
      <c r="P33" s="1207">
        <v>2100</v>
      </c>
      <c r="Q33" s="1207">
        <v>768.0200000000001</v>
      </c>
      <c r="R33" s="1209">
        <f t="shared" si="1"/>
        <v>58401.490000000005</v>
      </c>
      <c r="S33" s="1159">
        <f t="shared" si="2"/>
        <v>2399.046664</v>
      </c>
      <c r="T33" s="1159">
        <f t="shared" si="3"/>
        <v>122.23333199999999</v>
      </c>
      <c r="U33" s="1210">
        <f t="shared" si="4"/>
        <v>2276.8133320000002</v>
      </c>
      <c r="V33" s="1211"/>
      <c r="W33" s="1212"/>
      <c r="X33" s="1213">
        <f t="shared" si="8"/>
        <v>27131.695643835625</v>
      </c>
      <c r="Y33" s="1214">
        <v>42887</v>
      </c>
      <c r="Z33" s="1220">
        <v>2.1216407355021182E-2</v>
      </c>
      <c r="AA33" s="1213">
        <f t="shared" si="5"/>
        <v>575.63710701207037</v>
      </c>
      <c r="AB33" s="1216"/>
      <c r="AC33" s="1159">
        <f t="shared" si="6"/>
        <v>41329.007107012083</v>
      </c>
      <c r="AD33" s="1214">
        <v>43252</v>
      </c>
      <c r="AE33" s="1220">
        <v>0.03</v>
      </c>
      <c r="AF33" s="1213">
        <f t="shared" si="7"/>
        <v>1239.8702132103624</v>
      </c>
    </row>
    <row r="34" spans="1:32">
      <c r="A34" s="1217">
        <v>2010</v>
      </c>
      <c r="B34" s="1218">
        <v>113401</v>
      </c>
      <c r="C34" s="1219">
        <v>1</v>
      </c>
      <c r="D34" s="1219">
        <v>13401</v>
      </c>
      <c r="E34" s="1219" t="s">
        <v>2655</v>
      </c>
      <c r="F34" s="1217" t="s">
        <v>2957</v>
      </c>
      <c r="G34" s="1207">
        <v>1889.2966690000003</v>
      </c>
      <c r="H34" s="1207">
        <v>423.69000300000005</v>
      </c>
      <c r="I34" s="1207">
        <v>112</v>
      </c>
      <c r="J34" s="1207">
        <v>56</v>
      </c>
      <c r="K34" s="1207">
        <v>16.583331999999999</v>
      </c>
      <c r="L34" s="1208">
        <v>40307.6299</v>
      </c>
      <c r="M34" s="1207">
        <v>13753.240000000002</v>
      </c>
      <c r="N34" s="1207">
        <v>2382.7200000000003</v>
      </c>
      <c r="O34" s="1207">
        <v>1194.96</v>
      </c>
      <c r="P34" s="1207">
        <v>1999.9999999999998</v>
      </c>
      <c r="Q34" s="1207">
        <v>392.99999999999994</v>
      </c>
      <c r="R34" s="1209">
        <f t="shared" si="1"/>
        <v>60031.549900000005</v>
      </c>
      <c r="S34" s="1159">
        <f t="shared" si="2"/>
        <v>2497.5700040000006</v>
      </c>
      <c r="T34" s="1159">
        <f t="shared" si="3"/>
        <v>184.58333199999998</v>
      </c>
      <c r="U34" s="1210">
        <f t="shared" si="4"/>
        <v>2312.9866720000005</v>
      </c>
      <c r="V34" s="1211"/>
      <c r="W34" s="1212"/>
      <c r="X34" s="1213">
        <f t="shared" si="8"/>
        <v>29216.795358082192</v>
      </c>
      <c r="Y34" s="1214">
        <v>42887</v>
      </c>
      <c r="Z34" s="1220">
        <v>2.1216407355021182E-2</v>
      </c>
      <c r="AA34" s="1213">
        <f t="shared" si="5"/>
        <v>619.87543192536373</v>
      </c>
      <c r="AB34" s="1216"/>
      <c r="AC34" s="1159">
        <f t="shared" si="6"/>
        <v>44505.185331925364</v>
      </c>
      <c r="AD34" s="1214">
        <v>43252</v>
      </c>
      <c r="AE34" s="1220">
        <v>0.03</v>
      </c>
      <c r="AF34" s="1213">
        <f t="shared" si="7"/>
        <v>1335.1555599577609</v>
      </c>
    </row>
    <row r="35" spans="1:32">
      <c r="A35" s="1217">
        <v>2010</v>
      </c>
      <c r="B35" s="1218">
        <v>103315</v>
      </c>
      <c r="C35" s="1219">
        <v>1</v>
      </c>
      <c r="D35" s="1219">
        <v>3315</v>
      </c>
      <c r="E35" s="1219" t="s">
        <v>2656</v>
      </c>
      <c r="F35" s="1217" t="s">
        <v>2957</v>
      </c>
      <c r="G35" s="1207">
        <v>1968.2166670000001</v>
      </c>
      <c r="H35" s="1207">
        <v>405.84000299999997</v>
      </c>
      <c r="I35" s="1207">
        <v>120</v>
      </c>
      <c r="J35" s="1207">
        <v>56</v>
      </c>
      <c r="K35" s="1207">
        <v>15.783333000000001</v>
      </c>
      <c r="L35" s="1208">
        <v>41989.220000000008</v>
      </c>
      <c r="M35" s="1207">
        <v>13172.810000000003</v>
      </c>
      <c r="N35" s="1207">
        <v>2545.2000000000003</v>
      </c>
      <c r="O35" s="1207">
        <v>1194.96</v>
      </c>
      <c r="P35" s="1207">
        <v>1999.9999999999998</v>
      </c>
      <c r="Q35" s="1207">
        <v>373.53</v>
      </c>
      <c r="R35" s="1209">
        <f t="shared" si="1"/>
        <v>61275.720000000008</v>
      </c>
      <c r="S35" s="1159">
        <f t="shared" si="2"/>
        <v>2565.8400029999998</v>
      </c>
      <c r="T35" s="1159">
        <f t="shared" si="3"/>
        <v>191.783333</v>
      </c>
      <c r="U35" s="1210">
        <f t="shared" si="4"/>
        <v>2374.0566699999999</v>
      </c>
      <c r="V35" s="1211"/>
      <c r="W35" s="1212"/>
      <c r="X35" s="1213">
        <f t="shared" si="8"/>
        <v>30444.491342465757</v>
      </c>
      <c r="Y35" s="1214">
        <v>42887</v>
      </c>
      <c r="Z35" s="1220">
        <v>2.12E-2</v>
      </c>
      <c r="AA35" s="1213">
        <f t="shared" si="5"/>
        <v>645.42321646027403</v>
      </c>
      <c r="AB35" s="1216"/>
      <c r="AC35" s="1159">
        <f t="shared" si="6"/>
        <v>46374.803216460277</v>
      </c>
      <c r="AD35" s="1214">
        <v>43252</v>
      </c>
      <c r="AE35" s="1220">
        <v>0.03</v>
      </c>
      <c r="AF35" s="1213">
        <f t="shared" si="7"/>
        <v>1391.2440964938082</v>
      </c>
    </row>
    <row r="36" spans="1:32">
      <c r="A36" s="1217">
        <v>2010</v>
      </c>
      <c r="B36" s="1218">
        <v>112470</v>
      </c>
      <c r="C36" s="1219">
        <v>1</v>
      </c>
      <c r="D36" s="1219">
        <v>12470</v>
      </c>
      <c r="E36" s="1219" t="s">
        <v>2657</v>
      </c>
      <c r="F36" s="1217" t="s">
        <v>2957</v>
      </c>
      <c r="G36" s="1207">
        <v>1846.729998</v>
      </c>
      <c r="H36" s="1207">
        <v>426.79333100000002</v>
      </c>
      <c r="I36" s="1207">
        <v>144</v>
      </c>
      <c r="J36" s="1207">
        <v>56</v>
      </c>
      <c r="K36" s="1207">
        <v>26.750001999999999</v>
      </c>
      <c r="L36" s="1208">
        <v>39413.49980000002</v>
      </c>
      <c r="M36" s="1207">
        <v>13803.610000000002</v>
      </c>
      <c r="N36" s="1207">
        <v>3054.2400000000002</v>
      </c>
      <c r="O36" s="1207">
        <v>1194.96</v>
      </c>
      <c r="P36" s="1207">
        <v>1448.4799999999998</v>
      </c>
      <c r="Q36" s="1207">
        <v>605.10000000000014</v>
      </c>
      <c r="R36" s="1209">
        <f t="shared" si="1"/>
        <v>59519.889800000019</v>
      </c>
      <c r="S36" s="1159">
        <f t="shared" si="2"/>
        <v>2500.2733310000003</v>
      </c>
      <c r="T36" s="1159">
        <f t="shared" si="3"/>
        <v>226.75000199999999</v>
      </c>
      <c r="U36" s="1210">
        <f t="shared" si="4"/>
        <v>2273.5233290000006</v>
      </c>
      <c r="V36" s="1211"/>
      <c r="W36" s="1212"/>
      <c r="X36" s="1213">
        <f t="shared" si="8"/>
        <v>29068.591921643849</v>
      </c>
      <c r="Y36" s="1214">
        <v>42887</v>
      </c>
      <c r="Z36" s="1220">
        <v>2.12E-2</v>
      </c>
      <c r="AA36" s="1213">
        <f t="shared" si="5"/>
        <v>616.25414873884961</v>
      </c>
      <c r="AB36" s="1216"/>
      <c r="AC36" s="1159">
        <f t="shared" si="6"/>
        <v>44278.953948738868</v>
      </c>
      <c r="AD36" s="1214">
        <v>43252</v>
      </c>
      <c r="AE36" s="1220">
        <v>0.03</v>
      </c>
      <c r="AF36" s="1213">
        <f t="shared" si="7"/>
        <v>1328.3686184621661</v>
      </c>
    </row>
    <row r="37" spans="1:32">
      <c r="A37" s="1217">
        <v>2010</v>
      </c>
      <c r="B37" s="1218">
        <v>112170</v>
      </c>
      <c r="C37" s="1219">
        <v>1</v>
      </c>
      <c r="D37" s="1219">
        <v>12170</v>
      </c>
      <c r="E37" s="1219" t="s">
        <v>2658</v>
      </c>
      <c r="F37" s="1217" t="s">
        <v>2957</v>
      </c>
      <c r="G37" s="1207">
        <v>1882.3333340000001</v>
      </c>
      <c r="H37" s="1207">
        <v>419.23666599999996</v>
      </c>
      <c r="I37" s="1207">
        <v>88</v>
      </c>
      <c r="J37" s="1207">
        <v>56</v>
      </c>
      <c r="K37" s="1207">
        <v>3.2166670000000002</v>
      </c>
      <c r="L37" s="1208">
        <v>40147.269900000007</v>
      </c>
      <c r="M37" s="1207">
        <v>13548.180000000002</v>
      </c>
      <c r="N37" s="1207">
        <v>1888.08</v>
      </c>
      <c r="O37" s="1207">
        <v>1194.96</v>
      </c>
      <c r="P37" s="1207">
        <v>1599.9999999999998</v>
      </c>
      <c r="Q37" s="1207">
        <v>105.68</v>
      </c>
      <c r="R37" s="1209">
        <f t="shared" si="1"/>
        <v>58484.169900000008</v>
      </c>
      <c r="S37" s="1159">
        <f t="shared" si="2"/>
        <v>2448.7866670000003</v>
      </c>
      <c r="T37" s="1159">
        <f t="shared" si="3"/>
        <v>147.216667</v>
      </c>
      <c r="U37" s="1210">
        <f t="shared" si="4"/>
        <v>2301.5700000000002</v>
      </c>
      <c r="V37" s="1211"/>
      <c r="W37" s="1212"/>
      <c r="X37" s="1213">
        <f t="shared" si="8"/>
        <v>28780.726864931512</v>
      </c>
      <c r="Y37" s="1214">
        <v>42887</v>
      </c>
      <c r="Z37" s="1220">
        <v>2.12E-2</v>
      </c>
      <c r="AA37" s="1213">
        <f t="shared" si="5"/>
        <v>610.15140953654804</v>
      </c>
      <c r="AB37" s="1216"/>
      <c r="AC37" s="1159">
        <f t="shared" si="6"/>
        <v>43840.461309536557</v>
      </c>
      <c r="AD37" s="1214">
        <v>43252</v>
      </c>
      <c r="AE37" s="1220">
        <v>0.03</v>
      </c>
      <c r="AF37" s="1213">
        <f t="shared" si="7"/>
        <v>1315.2138392860966</v>
      </c>
    </row>
    <row r="38" spans="1:32">
      <c r="A38" s="1217">
        <v>2010</v>
      </c>
      <c r="B38" s="1218">
        <v>113193</v>
      </c>
      <c r="C38" s="1219">
        <v>1</v>
      </c>
      <c r="D38" s="1219">
        <v>13193</v>
      </c>
      <c r="E38" s="1219" t="s">
        <v>2659</v>
      </c>
      <c r="F38" s="1217" t="s">
        <v>2957</v>
      </c>
      <c r="G38" s="1207">
        <v>1816.4500009999997</v>
      </c>
      <c r="H38" s="1207">
        <v>470.883332</v>
      </c>
      <c r="I38" s="1207">
        <v>112</v>
      </c>
      <c r="J38" s="1207">
        <v>56</v>
      </c>
      <c r="K38" s="1207">
        <v>13.153333</v>
      </c>
      <c r="L38" s="1208">
        <v>38767.219900000011</v>
      </c>
      <c r="M38" s="1207">
        <v>15253.940000000002</v>
      </c>
      <c r="N38" s="1207">
        <v>2375.52</v>
      </c>
      <c r="O38" s="1207">
        <v>1194.96</v>
      </c>
      <c r="P38" s="1207">
        <v>1999.9999999999998</v>
      </c>
      <c r="Q38" s="1207">
        <v>317.12</v>
      </c>
      <c r="R38" s="1209">
        <f t="shared" si="1"/>
        <v>59908.759900000012</v>
      </c>
      <c r="S38" s="1159">
        <f t="shared" si="2"/>
        <v>2468.4866659999998</v>
      </c>
      <c r="T38" s="1159">
        <f t="shared" si="3"/>
        <v>181.153333</v>
      </c>
      <c r="U38" s="1210">
        <f t="shared" si="4"/>
        <v>2287.3333329999996</v>
      </c>
      <c r="V38" s="1211"/>
      <c r="W38" s="1212"/>
      <c r="X38" s="1213">
        <f t="shared" si="8"/>
        <v>28186.46870054795</v>
      </c>
      <c r="Y38" s="1214">
        <v>42887</v>
      </c>
      <c r="Z38" s="1220">
        <v>2.12E-2</v>
      </c>
      <c r="AA38" s="1213">
        <f t="shared" si="5"/>
        <v>597.55313645161652</v>
      </c>
      <c r="AB38" s="1216"/>
      <c r="AC38" s="1159">
        <f t="shared" si="6"/>
        <v>42935.253036451621</v>
      </c>
      <c r="AD38" s="1214">
        <v>43252</v>
      </c>
      <c r="AE38" s="1220">
        <v>0.03</v>
      </c>
      <c r="AF38" s="1213">
        <f t="shared" si="7"/>
        <v>1288.0575910935486</v>
      </c>
    </row>
    <row r="39" spans="1:32">
      <c r="A39" s="1217">
        <v>2010</v>
      </c>
      <c r="B39" s="1218">
        <v>102376</v>
      </c>
      <c r="C39" s="1219">
        <v>1</v>
      </c>
      <c r="D39" s="1219">
        <v>2376</v>
      </c>
      <c r="E39" s="1219" t="s">
        <v>2660</v>
      </c>
      <c r="F39" s="1217" t="s">
        <v>2957</v>
      </c>
      <c r="G39" s="1207">
        <v>1883.8666620000001</v>
      </c>
      <c r="H39" s="1207">
        <v>517.006666</v>
      </c>
      <c r="I39" s="1207">
        <v>88</v>
      </c>
      <c r="J39" s="1207">
        <v>40</v>
      </c>
      <c r="K39" s="1207">
        <v>21.683336000000001</v>
      </c>
      <c r="L39" s="1208">
        <v>40200.589900000014</v>
      </c>
      <c r="M39" s="1207">
        <v>16605.810000000005</v>
      </c>
      <c r="N39" s="1207">
        <v>1866.4800000000002</v>
      </c>
      <c r="O39" s="1207">
        <v>855.6</v>
      </c>
      <c r="P39" s="1207">
        <v>599.99999999999977</v>
      </c>
      <c r="Q39" s="1207">
        <v>498.1</v>
      </c>
      <c r="R39" s="1209">
        <f t="shared" si="1"/>
        <v>60626.579900000019</v>
      </c>
      <c r="S39" s="1159">
        <f t="shared" si="2"/>
        <v>2550.5566640000002</v>
      </c>
      <c r="T39" s="1159">
        <f t="shared" si="3"/>
        <v>149.683336</v>
      </c>
      <c r="U39" s="1210">
        <f t="shared" si="4"/>
        <v>2400.8733280000001</v>
      </c>
      <c r="V39" s="1211"/>
      <c r="W39" s="1212"/>
      <c r="X39" s="1213">
        <f t="shared" si="8"/>
        <v>28575.914481369877</v>
      </c>
      <c r="Y39" s="1214">
        <v>42887</v>
      </c>
      <c r="Z39" s="1220">
        <v>2.12E-2</v>
      </c>
      <c r="AA39" s="1213">
        <f t="shared" si="5"/>
        <v>605.80938700504134</v>
      </c>
      <c r="AB39" s="1216"/>
      <c r="AC39" s="1159">
        <f t="shared" si="6"/>
        <v>43528.479287005059</v>
      </c>
      <c r="AD39" s="1214">
        <v>43252</v>
      </c>
      <c r="AE39" s="1220">
        <v>0.03</v>
      </c>
      <c r="AF39" s="1213">
        <f t="shared" si="7"/>
        <v>1305.8543786101518</v>
      </c>
    </row>
    <row r="40" spans="1:32">
      <c r="A40" s="1217">
        <v>2010</v>
      </c>
      <c r="B40" s="1218">
        <v>103407</v>
      </c>
      <c r="C40" s="1219">
        <v>1</v>
      </c>
      <c r="D40" s="1219">
        <v>3407</v>
      </c>
      <c r="E40" s="1219" t="s">
        <v>2661</v>
      </c>
      <c r="F40" s="1217" t="s">
        <v>2957</v>
      </c>
      <c r="G40" s="1207">
        <v>1826.586667</v>
      </c>
      <c r="H40" s="1207">
        <v>687.66666499999997</v>
      </c>
      <c r="I40" s="1207">
        <v>120</v>
      </c>
      <c r="J40" s="1207">
        <v>56</v>
      </c>
      <c r="K40" s="1207">
        <v>16.25</v>
      </c>
      <c r="L40" s="1208">
        <v>38967.55000000001</v>
      </c>
      <c r="M40" s="1207">
        <v>22245.239999999998</v>
      </c>
      <c r="N40" s="1207">
        <v>2563.1999999999998</v>
      </c>
      <c r="O40" s="1207">
        <v>1194.96</v>
      </c>
      <c r="P40" s="1207">
        <v>1899.9999999999998</v>
      </c>
      <c r="Q40" s="1207">
        <v>383.01000000000005</v>
      </c>
      <c r="R40" s="1209">
        <f t="shared" si="1"/>
        <v>67253.959999999992</v>
      </c>
      <c r="S40" s="1159">
        <f t="shared" si="2"/>
        <v>2706.5033320000002</v>
      </c>
      <c r="T40" s="1159">
        <f t="shared" si="3"/>
        <v>192.25</v>
      </c>
      <c r="U40" s="1210">
        <f t="shared" si="4"/>
        <v>2514.2533320000002</v>
      </c>
      <c r="V40" s="1211"/>
      <c r="W40" s="1212"/>
      <c r="X40" s="1213">
        <f t="shared" si="8"/>
        <v>28444.787753424662</v>
      </c>
      <c r="Y40" s="1214">
        <v>42887</v>
      </c>
      <c r="Z40" s="1220">
        <v>2.12E-2</v>
      </c>
      <c r="AA40" s="1213">
        <f t="shared" si="5"/>
        <v>603.0295003726028</v>
      </c>
      <c r="AB40" s="1216"/>
      <c r="AC40" s="1159">
        <f t="shared" si="6"/>
        <v>43328.739500372612</v>
      </c>
      <c r="AD40" s="1214">
        <v>43252</v>
      </c>
      <c r="AE40" s="1220">
        <v>0.03</v>
      </c>
      <c r="AF40" s="1213">
        <f t="shared" si="7"/>
        <v>1299.8621850111783</v>
      </c>
    </row>
    <row r="41" spans="1:32">
      <c r="A41" s="1217">
        <v>2010</v>
      </c>
      <c r="B41" s="1218">
        <v>117908</v>
      </c>
      <c r="C41" s="1219">
        <v>1</v>
      </c>
      <c r="D41" s="1219">
        <v>17908</v>
      </c>
      <c r="E41" s="1219" t="s">
        <v>2662</v>
      </c>
      <c r="F41" s="1217" t="s">
        <v>2957</v>
      </c>
      <c r="G41" s="1207">
        <v>613.54333399999996</v>
      </c>
      <c r="H41" s="1207">
        <v>73.20666700000001</v>
      </c>
      <c r="I41" s="1207">
        <v>24</v>
      </c>
      <c r="J41" s="1207">
        <v>32</v>
      </c>
      <c r="K41" s="1207">
        <v>1.916666</v>
      </c>
      <c r="L41" s="1208">
        <v>13171.53</v>
      </c>
      <c r="M41" s="1207">
        <v>2441.59</v>
      </c>
      <c r="N41" s="1207">
        <v>509.04</v>
      </c>
      <c r="O41" s="1207">
        <v>678.72</v>
      </c>
      <c r="P41" s="1207">
        <v>1400</v>
      </c>
      <c r="Q41" s="1207">
        <v>77.78</v>
      </c>
      <c r="R41" s="1209">
        <f t="shared" si="1"/>
        <v>18278.66</v>
      </c>
      <c r="S41" s="1159">
        <f t="shared" si="2"/>
        <v>744.66666699999996</v>
      </c>
      <c r="T41" s="1159">
        <f t="shared" si="3"/>
        <v>57.916665999999999</v>
      </c>
      <c r="U41" s="1210">
        <f t="shared" si="4"/>
        <v>686.750001</v>
      </c>
      <c r="V41" s="1211"/>
      <c r="W41" s="1212"/>
      <c r="X41" s="1213">
        <f t="shared" si="8"/>
        <v>9559.7464931506856</v>
      </c>
      <c r="Y41" s="1214">
        <v>42887</v>
      </c>
      <c r="Z41" s="1220">
        <v>2.12E-2</v>
      </c>
      <c r="AA41" s="1213">
        <f t="shared" si="5"/>
        <v>202.66662565479453</v>
      </c>
      <c r="AB41" s="1216"/>
      <c r="AC41" s="1159">
        <f t="shared" si="6"/>
        <v>14561.956625654795</v>
      </c>
      <c r="AD41" s="1214">
        <v>43252</v>
      </c>
      <c r="AE41" s="1220">
        <v>0.03</v>
      </c>
      <c r="AF41" s="1213">
        <f t="shared" si="7"/>
        <v>436.85869876964381</v>
      </c>
    </row>
    <row r="42" spans="1:32">
      <c r="A42" s="1217">
        <v>2010</v>
      </c>
      <c r="B42" s="1222">
        <v>102277</v>
      </c>
      <c r="C42" s="1219">
        <v>1</v>
      </c>
      <c r="D42" s="1219">
        <v>2277</v>
      </c>
      <c r="E42" s="1219" t="s">
        <v>2663</v>
      </c>
      <c r="F42" s="1217" t="s">
        <v>2958</v>
      </c>
      <c r="G42" s="1207">
        <v>1085.28</v>
      </c>
      <c r="H42" s="1207">
        <v>318.0260004000001</v>
      </c>
      <c r="I42" s="1207">
        <v>96</v>
      </c>
      <c r="J42" s="1207">
        <v>33.6</v>
      </c>
      <c r="K42" s="1207">
        <v>11.509999800000001</v>
      </c>
      <c r="L42" s="1208">
        <v>23140.830000000005</v>
      </c>
      <c r="M42" s="1207">
        <v>10314.041999999998</v>
      </c>
      <c r="N42" s="1207">
        <v>2057.7599999999998</v>
      </c>
      <c r="O42" s="1207">
        <v>716.976</v>
      </c>
      <c r="P42" s="1207">
        <v>1230</v>
      </c>
      <c r="Q42" s="1207">
        <v>266.44200000000001</v>
      </c>
      <c r="R42" s="1209">
        <f t="shared" ref="R42" si="9">SUM(L42:Q42)</f>
        <v>37726.05000000001</v>
      </c>
      <c r="S42" s="1159">
        <f t="shared" si="2"/>
        <v>1544.4160002000001</v>
      </c>
      <c r="T42" s="1159">
        <f t="shared" si="3"/>
        <v>141.1099998</v>
      </c>
      <c r="U42" s="1210">
        <f t="shared" si="4"/>
        <v>1403.3060004000001</v>
      </c>
      <c r="V42" s="1211"/>
      <c r="W42" s="1212"/>
      <c r="X42" s="1213">
        <f t="shared" si="8"/>
        <v>17253.376816438358</v>
      </c>
      <c r="Y42" s="1214">
        <v>42887</v>
      </c>
      <c r="Z42" s="1220">
        <v>2.12E-2</v>
      </c>
      <c r="AA42" s="1213">
        <f t="shared" si="5"/>
        <v>365.77158850849321</v>
      </c>
      <c r="AB42" s="1216"/>
      <c r="AC42" s="1159">
        <f t="shared" si="6"/>
        <v>26281.337588508497</v>
      </c>
      <c r="AD42" s="1214">
        <v>43252</v>
      </c>
      <c r="AE42" s="1220">
        <v>0.03</v>
      </c>
      <c r="AF42" s="1213">
        <f t="shared" si="7"/>
        <v>788.44012765525486</v>
      </c>
    </row>
    <row r="43" spans="1:32">
      <c r="A43" s="1217"/>
      <c r="B43" s="1223"/>
      <c r="C43" s="1223"/>
      <c r="D43" s="1223"/>
      <c r="E43" s="1186"/>
      <c r="F43" s="1217"/>
      <c r="G43" s="1207"/>
      <c r="H43" s="1207"/>
      <c r="I43" s="1207"/>
      <c r="J43" s="1207"/>
      <c r="K43" s="1224"/>
      <c r="L43" s="1225"/>
      <c r="M43" s="1207"/>
      <c r="N43" s="1207"/>
      <c r="O43" s="1207"/>
      <c r="P43" s="1207"/>
      <c r="Q43" s="1207"/>
      <c r="R43" s="1209"/>
      <c r="U43" s="1210"/>
      <c r="V43" s="1211"/>
      <c r="W43" s="1212"/>
      <c r="X43" s="1213"/>
      <c r="Y43" s="1214"/>
      <c r="Z43" s="1226"/>
      <c r="AA43" s="1213"/>
      <c r="AB43" s="1216"/>
      <c r="AC43" s="1159"/>
      <c r="AD43" s="1227"/>
      <c r="AE43" s="1228"/>
      <c r="AF43" s="1213"/>
    </row>
    <row r="44" spans="1:32">
      <c r="A44" s="1217"/>
      <c r="B44" s="1223"/>
      <c r="C44" s="1223"/>
      <c r="D44" s="1223"/>
      <c r="E44" s="1229" t="s">
        <v>2664</v>
      </c>
      <c r="F44" s="1217"/>
      <c r="G44" s="1230">
        <f t="shared" ref="G44:U44" si="10">+SUM(G12:G43)</f>
        <v>53262.440038000008</v>
      </c>
      <c r="H44" s="1230">
        <f t="shared" si="10"/>
        <v>13347.645968399998</v>
      </c>
      <c r="I44" s="1230">
        <f t="shared" si="10"/>
        <v>3368.6</v>
      </c>
      <c r="J44" s="1230">
        <f t="shared" si="10"/>
        <v>1601.6</v>
      </c>
      <c r="K44" s="1231">
        <f t="shared" si="10"/>
        <v>746.3433318000001</v>
      </c>
      <c r="L44" s="1230">
        <f t="shared" si="10"/>
        <v>1121356.7585000005</v>
      </c>
      <c r="M44" s="1230">
        <f t="shared" si="10"/>
        <v>424861.83209999994</v>
      </c>
      <c r="N44" s="1230">
        <f t="shared" si="10"/>
        <v>71104.809899999978</v>
      </c>
      <c r="O44" s="1230">
        <f t="shared" si="10"/>
        <v>33756.255999999994</v>
      </c>
      <c r="P44" s="1230">
        <f t="shared" si="10"/>
        <v>50438.26</v>
      </c>
      <c r="Q44" s="1230">
        <f t="shared" si="10"/>
        <v>18283.321999999993</v>
      </c>
      <c r="R44" s="1232">
        <f>+SUM(R12:R43)</f>
        <v>1719801.2385</v>
      </c>
      <c r="S44" s="1233">
        <f t="shared" si="10"/>
        <v>72326.629338199986</v>
      </c>
      <c r="T44" s="1233">
        <f t="shared" si="10"/>
        <v>5716.5433317999987</v>
      </c>
      <c r="U44" s="1233">
        <f t="shared" si="10"/>
        <v>66610.086006400015</v>
      </c>
      <c r="V44" s="1233"/>
      <c r="W44" s="1233"/>
      <c r="X44" s="1233">
        <f>+SUM(X12:X43)</f>
        <v>820048.68869945209</v>
      </c>
      <c r="Y44" s="1233"/>
      <c r="Z44" s="1233"/>
      <c r="AA44" s="1233">
        <f>+SUM(AA12:AA43)</f>
        <v>37129.31349541105</v>
      </c>
      <c r="AB44" s="1233"/>
      <c r="AC44" s="1233">
        <f>+SUM(AC12:AC43)</f>
        <v>1263347.1378954113</v>
      </c>
      <c r="AD44" s="1233"/>
      <c r="AE44" s="1233"/>
      <c r="AF44" s="1233">
        <f>+SUM(AF12:AF43)</f>
        <v>37519.344236862344</v>
      </c>
    </row>
    <row r="45" spans="1:32">
      <c r="A45" s="1217"/>
      <c r="B45" s="1234"/>
      <c r="C45" s="1234"/>
      <c r="D45" s="1234"/>
      <c r="E45" s="1235"/>
      <c r="F45" s="1217"/>
      <c r="G45" s="1225"/>
      <c r="H45" s="1225"/>
      <c r="I45" s="1225"/>
      <c r="J45" s="1225"/>
      <c r="K45" s="1224"/>
      <c r="L45" s="1225"/>
      <c r="M45" s="1225"/>
      <c r="N45" s="1225"/>
      <c r="O45" s="1225"/>
      <c r="P45" s="1225"/>
      <c r="Q45" s="1225"/>
      <c r="R45" s="1209"/>
      <c r="S45" s="1236"/>
      <c r="T45" s="1236"/>
      <c r="U45" s="1236"/>
      <c r="V45" s="1236"/>
      <c r="W45" s="1236"/>
      <c r="X45" s="1236"/>
      <c r="Y45" s="1236"/>
      <c r="Z45" s="1236"/>
      <c r="AA45" s="1236"/>
      <c r="AB45" s="1236"/>
      <c r="AC45" s="1236"/>
      <c r="AD45" s="1236"/>
      <c r="AE45" s="1236"/>
      <c r="AF45" s="1236"/>
    </row>
    <row r="46" spans="1:32">
      <c r="A46" s="1203" t="s">
        <v>2665</v>
      </c>
      <c r="B46" s="1204"/>
      <c r="C46" s="1204"/>
      <c r="D46" s="1204"/>
      <c r="E46" s="1205"/>
      <c r="F46" s="1206"/>
      <c r="G46" s="1207"/>
      <c r="H46" s="1207"/>
      <c r="I46" s="1207"/>
      <c r="J46" s="1207"/>
      <c r="K46" s="1224"/>
      <c r="L46" s="1225"/>
      <c r="M46" s="1207"/>
      <c r="N46" s="1207"/>
      <c r="O46" s="1207"/>
      <c r="P46" s="1207"/>
      <c r="Q46" s="1207"/>
      <c r="R46" s="1209"/>
      <c r="U46" s="1210"/>
      <c r="V46" s="1211"/>
      <c r="W46" s="1212"/>
      <c r="X46" s="1213"/>
      <c r="Y46" s="1227"/>
      <c r="Z46" s="1226"/>
      <c r="AA46" s="1213"/>
      <c r="AB46" s="1216"/>
      <c r="AC46" s="1159"/>
      <c r="AD46" s="1227"/>
      <c r="AE46" s="1228"/>
      <c r="AF46" s="1213"/>
    </row>
    <row r="47" spans="1:32">
      <c r="A47" s="1217">
        <v>2010</v>
      </c>
      <c r="B47" s="1219">
        <v>102592</v>
      </c>
      <c r="C47" s="1219">
        <v>1</v>
      </c>
      <c r="D47" s="1219">
        <v>2592</v>
      </c>
      <c r="E47" s="1219" t="s">
        <v>2666</v>
      </c>
      <c r="F47" s="1217" t="s">
        <v>2959</v>
      </c>
      <c r="G47" s="1207">
        <v>1775.150001</v>
      </c>
      <c r="H47" s="1207">
        <v>343.17332999999996</v>
      </c>
      <c r="I47" s="1207">
        <v>200</v>
      </c>
      <c r="J47" s="1207">
        <v>56</v>
      </c>
      <c r="K47" s="1207">
        <v>24.666665999999999</v>
      </c>
      <c r="L47" s="1208">
        <v>37841.830000000009</v>
      </c>
      <c r="M47" s="1207">
        <v>11117.650000000001</v>
      </c>
      <c r="N47" s="1207">
        <v>4296</v>
      </c>
      <c r="O47" s="1207">
        <v>1194.96</v>
      </c>
      <c r="P47" s="1207">
        <v>1599.9999999999998</v>
      </c>
      <c r="Q47" s="1207">
        <v>560.34999999999991</v>
      </c>
      <c r="R47" s="1209">
        <f t="shared" ref="R47:R52" si="11">SUM(L47:Q47)</f>
        <v>56610.790000000008</v>
      </c>
      <c r="S47" s="1159">
        <f t="shared" ref="S47" si="12">SUM(G47:K47)</f>
        <v>2398.9899970000001</v>
      </c>
      <c r="T47" s="1159">
        <f t="shared" ref="T47:T60" si="13">I47+J47+K47</f>
        <v>280.66666600000002</v>
      </c>
      <c r="U47" s="1210">
        <f t="shared" ref="U47:U60" si="14">S47-T47</f>
        <v>2118.3233310000001</v>
      </c>
      <c r="V47" s="1211"/>
      <c r="W47" s="1212"/>
      <c r="X47" s="1213">
        <f t="shared" ref="X47:X60" si="15">SUM(L47,N47:O47)*((VLOOKUP(Y47,$AJ$9:$AK$30,2,FALSE))/365)</f>
        <v>28848.95334246576</v>
      </c>
      <c r="Y47" s="1214">
        <v>42887</v>
      </c>
      <c r="Z47" s="1220">
        <v>2.1216407355021182E-2</v>
      </c>
      <c r="AA47" s="1213">
        <f t="shared" ref="AA47:AA60" si="16">X47*Z47</f>
        <v>612.07114587975343</v>
      </c>
      <c r="AB47" s="1216"/>
      <c r="AC47" s="1159">
        <f t="shared" ref="AC47:AC60" si="17">SUM(L47,N47:O47)+AA47</f>
        <v>43944.86114587976</v>
      </c>
      <c r="AD47" s="1214">
        <v>43252</v>
      </c>
      <c r="AE47" s="1220">
        <v>0.03</v>
      </c>
      <c r="AF47" s="1213">
        <f t="shared" ref="AF47:AF60" si="18">AC47*AE47</f>
        <v>1318.3458343763928</v>
      </c>
    </row>
    <row r="48" spans="1:32">
      <c r="A48" s="1217">
        <v>2010</v>
      </c>
      <c r="B48" s="1219">
        <v>102390</v>
      </c>
      <c r="C48" s="1219">
        <v>1</v>
      </c>
      <c r="D48" s="1219">
        <v>2390</v>
      </c>
      <c r="E48" s="1219" t="s">
        <v>2667</v>
      </c>
      <c r="F48" s="1217" t="s">
        <v>2959</v>
      </c>
      <c r="G48" s="1207">
        <v>1809.2833329999999</v>
      </c>
      <c r="H48" s="1207">
        <v>530.44667299999992</v>
      </c>
      <c r="I48" s="1207">
        <v>160</v>
      </c>
      <c r="J48" s="1207">
        <v>56</v>
      </c>
      <c r="K48" s="1207">
        <v>6.7166669999999993</v>
      </c>
      <c r="L48" s="1208">
        <v>38583.719900000011</v>
      </c>
      <c r="M48" s="1207">
        <v>17110.140000000003</v>
      </c>
      <c r="N48" s="1207">
        <v>3429.6</v>
      </c>
      <c r="O48" s="1207">
        <v>1194.96</v>
      </c>
      <c r="P48" s="1207">
        <v>1174.9999999999998</v>
      </c>
      <c r="Q48" s="1207">
        <v>179.6</v>
      </c>
      <c r="R48" s="1209">
        <f t="shared" si="11"/>
        <v>61673.019900000007</v>
      </c>
      <c r="S48" s="1159">
        <f t="shared" ref="S48:S60" si="19">SUM(G48:K48)</f>
        <v>2562.4466729999999</v>
      </c>
      <c r="T48" s="1159">
        <f t="shared" si="13"/>
        <v>222.716667</v>
      </c>
      <c r="U48" s="1210">
        <f t="shared" si="14"/>
        <v>2339.7300059999998</v>
      </c>
      <c r="V48" s="1211"/>
      <c r="W48" s="1212"/>
      <c r="X48" s="1213">
        <f t="shared" si="15"/>
        <v>28766.06031698631</v>
      </c>
      <c r="Y48" s="1214">
        <v>42887</v>
      </c>
      <c r="Z48" s="1220">
        <v>2.1216407355021182E-2</v>
      </c>
      <c r="AA48" s="1213">
        <f t="shared" si="16"/>
        <v>610.31245368429131</v>
      </c>
      <c r="AB48" s="1216"/>
      <c r="AC48" s="1159">
        <f t="shared" si="17"/>
        <v>43818.592353684297</v>
      </c>
      <c r="AD48" s="1214">
        <v>43252</v>
      </c>
      <c r="AE48" s="1220">
        <v>0.03</v>
      </c>
      <c r="AF48" s="1213">
        <f t="shared" si="18"/>
        <v>1314.5577706105289</v>
      </c>
    </row>
    <row r="49" spans="1:32">
      <c r="A49" s="1217">
        <v>2010</v>
      </c>
      <c r="B49" s="1219">
        <v>103541</v>
      </c>
      <c r="C49" s="1219">
        <v>1</v>
      </c>
      <c r="D49" s="1219">
        <v>3541</v>
      </c>
      <c r="E49" s="1219" t="s">
        <v>2668</v>
      </c>
      <c r="F49" s="1217" t="s">
        <v>2959</v>
      </c>
      <c r="G49" s="1207">
        <v>1793.9966669999999</v>
      </c>
      <c r="H49" s="1207">
        <v>464.67999800000007</v>
      </c>
      <c r="I49" s="1207">
        <v>144</v>
      </c>
      <c r="J49" s="1207">
        <v>56</v>
      </c>
      <c r="K49" s="1207">
        <v>15.8</v>
      </c>
      <c r="L49" s="1208">
        <v>38265.289900000003</v>
      </c>
      <c r="M49" s="1207">
        <v>15070.989999999998</v>
      </c>
      <c r="N49" s="1207">
        <v>3072.2400000000002</v>
      </c>
      <c r="O49" s="1207">
        <v>1194.96</v>
      </c>
      <c r="P49" s="1207">
        <v>1599.9999999999998</v>
      </c>
      <c r="Q49" s="1207">
        <v>372.27</v>
      </c>
      <c r="R49" s="1209">
        <f t="shared" si="11"/>
        <v>59575.749899999995</v>
      </c>
      <c r="S49" s="1159">
        <f t="shared" si="19"/>
        <v>2474.4766650000001</v>
      </c>
      <c r="T49" s="1159">
        <f t="shared" si="13"/>
        <v>215.8</v>
      </c>
      <c r="U49" s="1210">
        <f t="shared" si="14"/>
        <v>2258.676665</v>
      </c>
      <c r="V49" s="1211"/>
      <c r="W49" s="1212"/>
      <c r="X49" s="1213">
        <f t="shared" si="15"/>
        <v>28316.150810136987</v>
      </c>
      <c r="Y49" s="1214">
        <v>42887</v>
      </c>
      <c r="Z49" s="1220">
        <v>2.1216407355021182E-2</v>
      </c>
      <c r="AA49" s="1213">
        <f t="shared" si="16"/>
        <v>600.76699031407941</v>
      </c>
      <c r="AB49" s="1216"/>
      <c r="AC49" s="1159">
        <f t="shared" si="17"/>
        <v>43133.256890314078</v>
      </c>
      <c r="AD49" s="1214">
        <v>43252</v>
      </c>
      <c r="AE49" s="1220">
        <v>0.03</v>
      </c>
      <c r="AF49" s="1213">
        <f t="shared" si="18"/>
        <v>1293.9977067094223</v>
      </c>
    </row>
    <row r="50" spans="1:32">
      <c r="A50" s="1217">
        <v>2010</v>
      </c>
      <c r="B50" s="1219">
        <v>102450</v>
      </c>
      <c r="C50" s="1219">
        <v>1</v>
      </c>
      <c r="D50" s="1219">
        <v>2450</v>
      </c>
      <c r="E50" s="1219" t="s">
        <v>2669</v>
      </c>
      <c r="F50" s="1217" t="s">
        <v>2959</v>
      </c>
      <c r="G50" s="1207">
        <v>1836.216666</v>
      </c>
      <c r="H50" s="1207">
        <v>558.62666499999989</v>
      </c>
      <c r="I50" s="1207">
        <v>192</v>
      </c>
      <c r="J50" s="1207">
        <v>56</v>
      </c>
      <c r="K50" s="1207">
        <v>11.783334</v>
      </c>
      <c r="L50" s="1208">
        <v>39172.969900000011</v>
      </c>
      <c r="M50" s="1207">
        <v>18089.87</v>
      </c>
      <c r="N50" s="1207">
        <v>4090.32</v>
      </c>
      <c r="O50" s="1207">
        <v>1194.96</v>
      </c>
      <c r="P50" s="1207">
        <v>1799.9999999999998</v>
      </c>
      <c r="Q50" s="1207">
        <v>287.05</v>
      </c>
      <c r="R50" s="1209">
        <f t="shared" si="11"/>
        <v>64635.169900000008</v>
      </c>
      <c r="S50" s="1159">
        <f t="shared" si="19"/>
        <v>2654.6266650000002</v>
      </c>
      <c r="T50" s="1159">
        <f t="shared" si="13"/>
        <v>259.78333400000002</v>
      </c>
      <c r="U50" s="1210">
        <f t="shared" si="14"/>
        <v>2394.843331</v>
      </c>
      <c r="V50" s="1211"/>
      <c r="W50" s="1212"/>
      <c r="X50" s="1213">
        <f t="shared" si="15"/>
        <v>29598.232125205486</v>
      </c>
      <c r="Y50" s="1214">
        <v>42887</v>
      </c>
      <c r="Z50" s="1220">
        <v>2.1216407355021182E-2</v>
      </c>
      <c r="AA50" s="1213">
        <f t="shared" si="16"/>
        <v>627.9681497568339</v>
      </c>
      <c r="AB50" s="1216"/>
      <c r="AC50" s="1159">
        <f t="shared" si="17"/>
        <v>45086.218049756841</v>
      </c>
      <c r="AD50" s="1214">
        <v>43252</v>
      </c>
      <c r="AE50" s="1220">
        <v>0.03</v>
      </c>
      <c r="AF50" s="1213">
        <f t="shared" si="18"/>
        <v>1352.5865414927052</v>
      </c>
    </row>
    <row r="51" spans="1:32">
      <c r="A51" s="1217">
        <v>2010</v>
      </c>
      <c r="B51" s="1219">
        <v>103719</v>
      </c>
      <c r="C51" s="1219">
        <v>1</v>
      </c>
      <c r="D51" s="1219">
        <v>3719</v>
      </c>
      <c r="E51" s="1219" t="s">
        <v>2670</v>
      </c>
      <c r="F51" s="1217" t="s">
        <v>2959</v>
      </c>
      <c r="G51" s="1207">
        <v>1808.8000010000001</v>
      </c>
      <c r="H51" s="1207">
        <v>498.27999800000009</v>
      </c>
      <c r="I51" s="1207">
        <v>120</v>
      </c>
      <c r="J51" s="1207">
        <v>56</v>
      </c>
      <c r="K51" s="1207">
        <v>19.866666000000002</v>
      </c>
      <c r="L51" s="1208">
        <v>38560.359800000006</v>
      </c>
      <c r="M51" s="1207">
        <v>16117.900000000001</v>
      </c>
      <c r="N51" s="1207">
        <v>2570.3999999999996</v>
      </c>
      <c r="O51" s="1207">
        <v>1194.96</v>
      </c>
      <c r="P51" s="1207">
        <v>1600.0000000000002</v>
      </c>
      <c r="Q51" s="1207">
        <v>459.82000000000005</v>
      </c>
      <c r="R51" s="1209">
        <f t="shared" si="11"/>
        <v>60503.439800000007</v>
      </c>
      <c r="S51" s="1159">
        <f t="shared" si="19"/>
        <v>2502.9466649999999</v>
      </c>
      <c r="T51" s="1159">
        <f t="shared" si="13"/>
        <v>195.86666600000001</v>
      </c>
      <c r="U51" s="1210">
        <f t="shared" si="14"/>
        <v>2307.079999</v>
      </c>
      <c r="V51" s="1211"/>
      <c r="W51" s="1212"/>
      <c r="X51" s="1213">
        <f t="shared" si="15"/>
        <v>28178.492907945212</v>
      </c>
      <c r="Y51" s="1214">
        <v>42887</v>
      </c>
      <c r="Z51" s="1220">
        <v>2.1216407355021182E-2</v>
      </c>
      <c r="AA51" s="1213">
        <f t="shared" si="16"/>
        <v>597.84638418554107</v>
      </c>
      <c r="AB51" s="1216"/>
      <c r="AC51" s="1159">
        <f t="shared" si="17"/>
        <v>42923.566184185547</v>
      </c>
      <c r="AD51" s="1214">
        <v>43252</v>
      </c>
      <c r="AE51" s="1220">
        <v>0.03</v>
      </c>
      <c r="AF51" s="1213">
        <f t="shared" si="18"/>
        <v>1287.7069855255663</v>
      </c>
    </row>
    <row r="52" spans="1:32">
      <c r="A52" s="1217">
        <v>2010</v>
      </c>
      <c r="B52" s="1219">
        <v>102301</v>
      </c>
      <c r="C52" s="1219">
        <v>1</v>
      </c>
      <c r="D52" s="1219">
        <v>2301</v>
      </c>
      <c r="E52" s="1219" t="s">
        <v>2671</v>
      </c>
      <c r="F52" s="1217" t="s">
        <v>2959</v>
      </c>
      <c r="G52" s="1207">
        <v>1842.5166669999999</v>
      </c>
      <c r="H52" s="1207">
        <v>482.80000200000001</v>
      </c>
      <c r="I52" s="1207">
        <v>152</v>
      </c>
      <c r="J52" s="1207">
        <v>56</v>
      </c>
      <c r="K52" s="1207">
        <v>13.483333000000002</v>
      </c>
      <c r="L52" s="1208">
        <v>39274.189900000012</v>
      </c>
      <c r="M52" s="1207">
        <v>15633.429999999998</v>
      </c>
      <c r="N52" s="1207">
        <v>3274.32</v>
      </c>
      <c r="O52" s="1207">
        <v>1194.96</v>
      </c>
      <c r="P52" s="1207">
        <v>1799.9999999999998</v>
      </c>
      <c r="Q52" s="1207">
        <v>323.14999999999998</v>
      </c>
      <c r="R52" s="1209">
        <f t="shared" si="11"/>
        <v>61500.049900000013</v>
      </c>
      <c r="S52" s="1159">
        <f t="shared" si="19"/>
        <v>2546.8000019999999</v>
      </c>
      <c r="T52" s="1159">
        <f t="shared" si="13"/>
        <v>221.48333300000002</v>
      </c>
      <c r="U52" s="1210">
        <f t="shared" si="14"/>
        <v>2325.3166689999998</v>
      </c>
      <c r="V52" s="1211"/>
      <c r="W52" s="1212"/>
      <c r="X52" s="1213">
        <f t="shared" si="15"/>
        <v>29122.364892328776</v>
      </c>
      <c r="Y52" s="1214">
        <v>42887</v>
      </c>
      <c r="Z52" s="1220">
        <v>2.12E-2</v>
      </c>
      <c r="AA52" s="1213">
        <f t="shared" si="16"/>
        <v>617.39413571737009</v>
      </c>
      <c r="AB52" s="1216"/>
      <c r="AC52" s="1159">
        <f t="shared" si="17"/>
        <v>44360.864035717379</v>
      </c>
      <c r="AD52" s="1214">
        <v>43252</v>
      </c>
      <c r="AE52" s="1220">
        <v>0.03</v>
      </c>
      <c r="AF52" s="1213">
        <f t="shared" si="18"/>
        <v>1330.8259210715214</v>
      </c>
    </row>
    <row r="53" spans="1:32">
      <c r="A53" s="1217">
        <v>2010</v>
      </c>
      <c r="B53" s="1219">
        <v>102553</v>
      </c>
      <c r="C53" s="1219">
        <v>1</v>
      </c>
      <c r="D53" s="1219">
        <v>2553</v>
      </c>
      <c r="E53" s="1219" t="s">
        <v>2672</v>
      </c>
      <c r="F53" s="1217" t="s">
        <v>2959</v>
      </c>
      <c r="G53" s="1207">
        <v>1729.7233349999999</v>
      </c>
      <c r="H53" s="1207">
        <v>452.02000099999998</v>
      </c>
      <c r="I53" s="1207">
        <v>184</v>
      </c>
      <c r="J53" s="1207">
        <v>56</v>
      </c>
      <c r="K53" s="1207">
        <v>11.583332</v>
      </c>
      <c r="L53" s="1208">
        <v>36917.259900000012</v>
      </c>
      <c r="M53" s="1207">
        <v>14620.919999999996</v>
      </c>
      <c r="N53" s="1207">
        <v>3906.24</v>
      </c>
      <c r="O53" s="1207">
        <v>1194.96</v>
      </c>
      <c r="P53" s="1207">
        <v>1200</v>
      </c>
      <c r="Q53" s="1207">
        <v>283.16999999999996</v>
      </c>
      <c r="R53" s="1209">
        <f t="shared" ref="R53:R60" si="20">SUM(L53:Q53)</f>
        <v>58122.549900000005</v>
      </c>
      <c r="S53" s="1159">
        <f t="shared" si="19"/>
        <v>2433.3266680000002</v>
      </c>
      <c r="T53" s="1159">
        <f t="shared" si="13"/>
        <v>251.58333200000001</v>
      </c>
      <c r="U53" s="1210">
        <f t="shared" si="14"/>
        <v>2181.743336</v>
      </c>
      <c r="V53" s="1211"/>
      <c r="W53" s="1212"/>
      <c r="X53" s="1213">
        <f t="shared" si="15"/>
        <v>27973.933577260283</v>
      </c>
      <c r="Y53" s="1214">
        <v>42887</v>
      </c>
      <c r="Z53" s="1220">
        <v>2.12E-2</v>
      </c>
      <c r="AA53" s="1213">
        <f t="shared" si="16"/>
        <v>593.04739183791798</v>
      </c>
      <c r="AB53" s="1216"/>
      <c r="AC53" s="1159">
        <f t="shared" si="17"/>
        <v>42611.50729183793</v>
      </c>
      <c r="AD53" s="1214">
        <v>43252</v>
      </c>
      <c r="AE53" s="1220">
        <v>0.03</v>
      </c>
      <c r="AF53" s="1213">
        <f t="shared" si="18"/>
        <v>1278.3452187551379</v>
      </c>
    </row>
    <row r="54" spans="1:32">
      <c r="A54" s="1217">
        <v>2010</v>
      </c>
      <c r="B54" s="1219">
        <v>102377</v>
      </c>
      <c r="C54" s="1219">
        <v>1</v>
      </c>
      <c r="D54" s="1219">
        <v>2377</v>
      </c>
      <c r="E54" s="1219" t="s">
        <v>2673</v>
      </c>
      <c r="F54" s="1217" t="s">
        <v>2959</v>
      </c>
      <c r="G54" s="1207">
        <v>1795.2966660000002</v>
      </c>
      <c r="H54" s="1207">
        <v>521.363338</v>
      </c>
      <c r="I54" s="1207">
        <v>120</v>
      </c>
      <c r="J54" s="1207">
        <v>56</v>
      </c>
      <c r="K54" s="1207">
        <v>35.799999999999997</v>
      </c>
      <c r="L54" s="1208">
        <v>38278.189900000005</v>
      </c>
      <c r="M54" s="1207">
        <v>16870.27</v>
      </c>
      <c r="N54" s="1207">
        <v>2577.6</v>
      </c>
      <c r="O54" s="1207">
        <v>1194.96</v>
      </c>
      <c r="P54" s="1207">
        <v>1525.0000000000002</v>
      </c>
      <c r="Q54" s="1207">
        <v>796.48</v>
      </c>
      <c r="R54" s="1209">
        <f t="shared" si="20"/>
        <v>61242.499900000003</v>
      </c>
      <c r="S54" s="1159">
        <f t="shared" si="19"/>
        <v>2528.4600040000005</v>
      </c>
      <c r="T54" s="1159">
        <f t="shared" si="13"/>
        <v>211.8</v>
      </c>
      <c r="U54" s="1210">
        <f t="shared" si="14"/>
        <v>2316.6600040000003</v>
      </c>
      <c r="V54" s="1211"/>
      <c r="W54" s="1212"/>
      <c r="X54" s="1213">
        <f t="shared" si="15"/>
        <v>27995.43075534247</v>
      </c>
      <c r="Y54" s="1214">
        <v>42887</v>
      </c>
      <c r="Z54" s="1220">
        <v>2.1216407355021182E-2</v>
      </c>
      <c r="AA54" s="1213">
        <f t="shared" si="16"/>
        <v>593.96246298463416</v>
      </c>
      <c r="AB54" s="1216"/>
      <c r="AC54" s="1159">
        <f t="shared" si="17"/>
        <v>42644.712362984639</v>
      </c>
      <c r="AD54" s="1214">
        <v>43252</v>
      </c>
      <c r="AE54" s="1220">
        <v>0.03</v>
      </c>
      <c r="AF54" s="1213">
        <f t="shared" si="18"/>
        <v>1279.3413708895391</v>
      </c>
    </row>
    <row r="55" spans="1:32">
      <c r="A55" s="1217">
        <v>2010</v>
      </c>
      <c r="B55" s="1219">
        <v>102341</v>
      </c>
      <c r="C55" s="1219">
        <v>1</v>
      </c>
      <c r="D55" s="1219">
        <v>2341</v>
      </c>
      <c r="E55" s="1219" t="s">
        <v>2674</v>
      </c>
      <c r="F55" s="1217" t="s">
        <v>2959</v>
      </c>
      <c r="G55" s="1207">
        <v>1929.3166689999998</v>
      </c>
      <c r="H55" s="1207">
        <v>527.72333399999991</v>
      </c>
      <c r="I55" s="1207">
        <v>160</v>
      </c>
      <c r="J55" s="1207">
        <v>56</v>
      </c>
      <c r="K55" s="1207">
        <v>21.333331000000001</v>
      </c>
      <c r="L55" s="1208">
        <v>41165.649900000011</v>
      </c>
      <c r="M55" s="1207">
        <v>16955.37</v>
      </c>
      <c r="N55" s="1207">
        <v>3411.6</v>
      </c>
      <c r="O55" s="1207">
        <v>1194.96</v>
      </c>
      <c r="P55" s="1207">
        <v>399.99999999999983</v>
      </c>
      <c r="Q55" s="1207">
        <v>489.64</v>
      </c>
      <c r="R55" s="1209">
        <f t="shared" si="20"/>
        <v>63617.219900000011</v>
      </c>
      <c r="S55" s="1159">
        <f t="shared" si="19"/>
        <v>2694.3733339999994</v>
      </c>
      <c r="T55" s="1159">
        <f t="shared" si="13"/>
        <v>237.33333099999999</v>
      </c>
      <c r="U55" s="1210">
        <f t="shared" si="14"/>
        <v>2457.0400029999996</v>
      </c>
      <c r="V55" s="1211"/>
      <c r="W55" s="1212"/>
      <c r="X55" s="1213">
        <f t="shared" si="15"/>
        <v>30473.005495068501</v>
      </c>
      <c r="Y55" s="1214">
        <v>42887</v>
      </c>
      <c r="Z55" s="1220">
        <v>2.1216407355021182E-2</v>
      </c>
      <c r="AA55" s="1213">
        <f t="shared" si="16"/>
        <v>646.52769791517221</v>
      </c>
      <c r="AB55" s="1216"/>
      <c r="AC55" s="1159">
        <f t="shared" si="17"/>
        <v>46418.737597915184</v>
      </c>
      <c r="AD55" s="1214">
        <v>43252</v>
      </c>
      <c r="AE55" s="1220">
        <v>0.03</v>
      </c>
      <c r="AF55" s="1213">
        <f t="shared" si="18"/>
        <v>1392.5621279374554</v>
      </c>
    </row>
    <row r="56" spans="1:32">
      <c r="A56" s="1217">
        <v>2010</v>
      </c>
      <c r="B56" s="1219">
        <v>102313</v>
      </c>
      <c r="C56" s="1219">
        <v>1</v>
      </c>
      <c r="D56" s="1219">
        <v>2313</v>
      </c>
      <c r="E56" s="1219" t="s">
        <v>2675</v>
      </c>
      <c r="F56" s="1217" t="s">
        <v>2959</v>
      </c>
      <c r="G56" s="1207">
        <v>1901.9</v>
      </c>
      <c r="H56" s="1207">
        <v>662.31333799999993</v>
      </c>
      <c r="I56" s="1207">
        <v>120</v>
      </c>
      <c r="J56" s="1207">
        <v>56</v>
      </c>
      <c r="K56" s="1207">
        <v>11.516667</v>
      </c>
      <c r="L56" s="1208">
        <v>40569.729900000013</v>
      </c>
      <c r="M56" s="1207">
        <v>21416.940000000002</v>
      </c>
      <c r="N56" s="1207">
        <v>2559.6000000000004</v>
      </c>
      <c r="O56" s="1207">
        <v>1194.96</v>
      </c>
      <c r="P56" s="1207">
        <v>1799.9999999999998</v>
      </c>
      <c r="Q56" s="1207">
        <v>361.42</v>
      </c>
      <c r="R56" s="1209">
        <f t="shared" si="20"/>
        <v>67902.649900000019</v>
      </c>
      <c r="S56" s="1159">
        <f t="shared" si="19"/>
        <v>2751.7300049999999</v>
      </c>
      <c r="T56" s="1159">
        <f t="shared" si="13"/>
        <v>187.51666700000001</v>
      </c>
      <c r="U56" s="1210">
        <f t="shared" si="14"/>
        <v>2564.213338</v>
      </c>
      <c r="V56" s="1211"/>
      <c r="W56" s="1212"/>
      <c r="X56" s="1213">
        <f t="shared" si="15"/>
        <v>29509.047796438364</v>
      </c>
      <c r="Y56" s="1214">
        <v>42887</v>
      </c>
      <c r="Z56" s="1220">
        <v>2.12E-2</v>
      </c>
      <c r="AA56" s="1213">
        <f t="shared" si="16"/>
        <v>625.59181328449336</v>
      </c>
      <c r="AB56" s="1216"/>
      <c r="AC56" s="1159">
        <f t="shared" si="17"/>
        <v>44949.881713284507</v>
      </c>
      <c r="AD56" s="1214">
        <v>43252</v>
      </c>
      <c r="AE56" s="1220">
        <v>0.03</v>
      </c>
      <c r="AF56" s="1213">
        <f t="shared" si="18"/>
        <v>1348.4964513985351</v>
      </c>
    </row>
    <row r="57" spans="1:32">
      <c r="A57" s="1217">
        <v>2010</v>
      </c>
      <c r="B57" s="1219">
        <v>102252</v>
      </c>
      <c r="C57" s="1219">
        <v>1</v>
      </c>
      <c r="D57" s="1219">
        <v>2252</v>
      </c>
      <c r="E57" s="1219" t="s">
        <v>2676</v>
      </c>
      <c r="F57" s="1217" t="s">
        <v>2959</v>
      </c>
      <c r="G57" s="1207">
        <v>1875.016666</v>
      </c>
      <c r="H57" s="1207">
        <v>967.62666099999979</v>
      </c>
      <c r="I57" s="1207">
        <v>112</v>
      </c>
      <c r="J57" s="1207">
        <v>56</v>
      </c>
      <c r="K57" s="1207">
        <v>52.65000100000001</v>
      </c>
      <c r="L57" s="1208">
        <v>39977.930000000015</v>
      </c>
      <c r="M57" s="1207">
        <v>31288.939899999998</v>
      </c>
      <c r="N57" s="1207">
        <v>2407.92</v>
      </c>
      <c r="O57" s="1207">
        <v>1194.96</v>
      </c>
      <c r="P57" s="1207">
        <v>1900.0000000000002</v>
      </c>
      <c r="Q57" s="1207">
        <v>1157.47</v>
      </c>
      <c r="R57" s="1209">
        <f t="shared" si="20"/>
        <v>77927.219900000026</v>
      </c>
      <c r="S57" s="1159">
        <f t="shared" si="19"/>
        <v>3063.2933279999997</v>
      </c>
      <c r="T57" s="1159">
        <f t="shared" si="13"/>
        <v>220.650001</v>
      </c>
      <c r="U57" s="1210">
        <f t="shared" si="14"/>
        <v>2842.6433269999998</v>
      </c>
      <c r="V57" s="1211"/>
      <c r="W57" s="1212"/>
      <c r="X57" s="1213">
        <f t="shared" si="15"/>
        <v>29014.073506849323</v>
      </c>
      <c r="Y57" s="1214">
        <v>42887</v>
      </c>
      <c r="Z57" s="1220">
        <v>2.1216407355021182E-2</v>
      </c>
      <c r="AA57" s="1213">
        <f t="shared" si="16"/>
        <v>615.57440254984317</v>
      </c>
      <c r="AB57" s="1216"/>
      <c r="AC57" s="1159">
        <f t="shared" si="17"/>
        <v>44196.384402549855</v>
      </c>
      <c r="AD57" s="1214">
        <v>43252</v>
      </c>
      <c r="AE57" s="1220">
        <v>0.03</v>
      </c>
      <c r="AF57" s="1213">
        <f t="shared" si="18"/>
        <v>1325.8915320764957</v>
      </c>
    </row>
    <row r="58" spans="1:32">
      <c r="A58" s="1217">
        <v>2010</v>
      </c>
      <c r="B58" s="1219">
        <v>102322</v>
      </c>
      <c r="C58" s="1219">
        <v>1</v>
      </c>
      <c r="D58" s="1219">
        <v>2322</v>
      </c>
      <c r="E58" s="1219" t="s">
        <v>2677</v>
      </c>
      <c r="F58" s="1217" t="s">
        <v>2959</v>
      </c>
      <c r="G58" s="1207">
        <v>1801.4833330000001</v>
      </c>
      <c r="H58" s="1207">
        <v>435.10666999999995</v>
      </c>
      <c r="I58" s="1207">
        <v>168</v>
      </c>
      <c r="J58" s="1207">
        <v>56</v>
      </c>
      <c r="K58" s="1207">
        <v>25.233333999999999</v>
      </c>
      <c r="L58" s="1208">
        <v>38439.899800000014</v>
      </c>
      <c r="M58" s="1207">
        <v>14112.26</v>
      </c>
      <c r="N58" s="1207">
        <v>3577.6800000000003</v>
      </c>
      <c r="O58" s="1207">
        <v>1194.96</v>
      </c>
      <c r="P58" s="1207">
        <v>1600.0000000000002</v>
      </c>
      <c r="Q58" s="1207">
        <v>572.40000000000009</v>
      </c>
      <c r="R58" s="1209">
        <f t="shared" si="20"/>
        <v>59497.199800000017</v>
      </c>
      <c r="S58" s="1159">
        <f t="shared" si="19"/>
        <v>2485.8233370000003</v>
      </c>
      <c r="T58" s="1159">
        <f t="shared" si="13"/>
        <v>249.23333400000001</v>
      </c>
      <c r="U58" s="1210">
        <f t="shared" si="14"/>
        <v>2236.5900030000003</v>
      </c>
      <c r="V58" s="1211"/>
      <c r="W58" s="1212"/>
      <c r="X58" s="1213">
        <f t="shared" si="15"/>
        <v>28768.89636000001</v>
      </c>
      <c r="Y58" s="1214">
        <v>42887</v>
      </c>
      <c r="Z58" s="1220">
        <v>2.12E-2</v>
      </c>
      <c r="AA58" s="1213">
        <f t="shared" si="16"/>
        <v>609.90060283200023</v>
      </c>
      <c r="AB58" s="1216"/>
      <c r="AC58" s="1159">
        <f t="shared" si="17"/>
        <v>43822.440402832013</v>
      </c>
      <c r="AD58" s="1214">
        <v>43252</v>
      </c>
      <c r="AE58" s="1220">
        <v>0.03</v>
      </c>
      <c r="AF58" s="1213">
        <f t="shared" si="18"/>
        <v>1314.6732120849604</v>
      </c>
    </row>
    <row r="59" spans="1:32">
      <c r="A59" s="1217">
        <v>2010</v>
      </c>
      <c r="B59" s="1219">
        <v>102280</v>
      </c>
      <c r="C59" s="1219">
        <v>1</v>
      </c>
      <c r="D59" s="1219">
        <v>2280</v>
      </c>
      <c r="E59" s="1219" t="s">
        <v>2678</v>
      </c>
      <c r="F59" s="1217" t="s">
        <v>2959</v>
      </c>
      <c r="G59" s="1207">
        <v>1321.033332</v>
      </c>
      <c r="H59" s="1207">
        <v>385.78333400000008</v>
      </c>
      <c r="I59" s="1207">
        <v>160</v>
      </c>
      <c r="J59" s="1207">
        <v>32</v>
      </c>
      <c r="K59" s="1207">
        <v>14.966668</v>
      </c>
      <c r="L59" s="1208">
        <v>28227.310000000009</v>
      </c>
      <c r="M59" s="1207">
        <v>12504.029999999999</v>
      </c>
      <c r="N59" s="1207">
        <v>3429.6000000000004</v>
      </c>
      <c r="O59" s="1207">
        <v>685.92000000000007</v>
      </c>
      <c r="P59" s="1207">
        <v>1200</v>
      </c>
      <c r="Q59" s="1207">
        <v>355.24</v>
      </c>
      <c r="R59" s="1209">
        <f t="shared" si="20"/>
        <v>46402.100000000006</v>
      </c>
      <c r="S59" s="1159">
        <f t="shared" si="19"/>
        <v>1913.7833340000002</v>
      </c>
      <c r="T59" s="1159">
        <f t="shared" si="13"/>
        <v>206.966668</v>
      </c>
      <c r="U59" s="1210">
        <f t="shared" si="14"/>
        <v>1706.8166660000002</v>
      </c>
      <c r="V59" s="1211"/>
      <c r="W59" s="1212"/>
      <c r="X59" s="1213">
        <f t="shared" si="15"/>
        <v>21532.349835616445</v>
      </c>
      <c r="Y59" s="1214">
        <v>42887</v>
      </c>
      <c r="Z59" s="1220">
        <v>2.12E-2</v>
      </c>
      <c r="AA59" s="1213">
        <f t="shared" si="16"/>
        <v>456.48581651506862</v>
      </c>
      <c r="AB59" s="1216"/>
      <c r="AC59" s="1159">
        <f t="shared" si="17"/>
        <v>32799.315816515074</v>
      </c>
      <c r="AD59" s="1214">
        <v>43252</v>
      </c>
      <c r="AE59" s="1220">
        <v>0.03</v>
      </c>
      <c r="AF59" s="1213">
        <f t="shared" si="18"/>
        <v>983.97947449545222</v>
      </c>
    </row>
    <row r="60" spans="1:32">
      <c r="A60" s="1217">
        <v>2010</v>
      </c>
      <c r="B60" s="1219">
        <v>102393</v>
      </c>
      <c r="C60" s="1219">
        <v>1</v>
      </c>
      <c r="D60" s="1219">
        <v>2393</v>
      </c>
      <c r="E60" s="1219" t="s">
        <v>2679</v>
      </c>
      <c r="F60" s="1217" t="s">
        <v>2959</v>
      </c>
      <c r="G60" s="1207">
        <v>1822.8166660000002</v>
      </c>
      <c r="H60" s="1207">
        <v>400.69333499999999</v>
      </c>
      <c r="I60" s="1207">
        <v>144</v>
      </c>
      <c r="J60" s="1207">
        <v>56</v>
      </c>
      <c r="K60" s="1207">
        <v>5.75</v>
      </c>
      <c r="L60" s="1208">
        <v>38877.549900000013</v>
      </c>
      <c r="M60" s="1207">
        <v>12956.59</v>
      </c>
      <c r="N60" s="1207">
        <v>3086.64</v>
      </c>
      <c r="O60" s="1207">
        <v>1194.96</v>
      </c>
      <c r="P60" s="1207">
        <v>1399.9999999999998</v>
      </c>
      <c r="Q60" s="1207">
        <v>159.54999999999998</v>
      </c>
      <c r="R60" s="1209">
        <f t="shared" si="20"/>
        <v>57675.289900000011</v>
      </c>
      <c r="S60" s="1159">
        <f t="shared" si="19"/>
        <v>2429.2600010000001</v>
      </c>
      <c r="T60" s="1159">
        <f t="shared" si="13"/>
        <v>205.75</v>
      </c>
      <c r="U60" s="1210">
        <f t="shared" si="14"/>
        <v>2223.5100010000001</v>
      </c>
      <c r="V60" s="1211"/>
      <c r="W60" s="1212"/>
      <c r="X60" s="1213">
        <f t="shared" si="15"/>
        <v>28733.351851232885</v>
      </c>
      <c r="Y60" s="1214">
        <v>42887</v>
      </c>
      <c r="Z60" s="1220">
        <v>2.12E-2</v>
      </c>
      <c r="AA60" s="1213">
        <f t="shared" si="16"/>
        <v>609.14705924613713</v>
      </c>
      <c r="AB60" s="1216"/>
      <c r="AC60" s="1159">
        <f t="shared" si="17"/>
        <v>43768.296959246145</v>
      </c>
      <c r="AD60" s="1214">
        <v>43252</v>
      </c>
      <c r="AE60" s="1220">
        <v>0.03</v>
      </c>
      <c r="AF60" s="1213">
        <f t="shared" si="18"/>
        <v>1313.0489087773842</v>
      </c>
    </row>
    <row r="61" spans="1:32">
      <c r="A61" s="1217"/>
      <c r="B61" s="1223"/>
      <c r="C61" s="1223"/>
      <c r="D61" s="1223"/>
      <c r="E61" s="1186"/>
      <c r="F61" s="1217"/>
      <c r="G61" s="1207"/>
      <c r="H61" s="1207"/>
      <c r="I61" s="1207"/>
      <c r="J61" s="1207"/>
      <c r="K61" s="1224"/>
      <c r="L61" s="1225"/>
      <c r="M61" s="1207"/>
      <c r="N61" s="1207"/>
      <c r="O61" s="1207"/>
      <c r="P61" s="1207"/>
      <c r="Q61" s="1207"/>
      <c r="R61" s="1209"/>
      <c r="U61" s="1210"/>
      <c r="V61" s="1211"/>
      <c r="W61" s="1212"/>
      <c r="X61" s="1213"/>
      <c r="Y61" s="1227"/>
      <c r="Z61" s="1226"/>
      <c r="AA61" s="1213"/>
      <c r="AB61" s="1216"/>
      <c r="AC61" s="1159"/>
      <c r="AD61" s="1227"/>
      <c r="AE61" s="1228"/>
      <c r="AF61" s="1213"/>
    </row>
    <row r="62" spans="1:32">
      <c r="A62" s="1217"/>
      <c r="B62" s="1223"/>
      <c r="C62" s="1223"/>
      <c r="D62" s="1223"/>
      <c r="E62" s="1229" t="s">
        <v>2680</v>
      </c>
      <c r="F62" s="1217"/>
      <c r="G62" s="1230">
        <f t="shared" ref="G62:U62" si="21">+SUM(G47:G61)</f>
        <v>25042.550002</v>
      </c>
      <c r="H62" s="1230">
        <f t="shared" si="21"/>
        <v>7230.6366769999995</v>
      </c>
      <c r="I62" s="1230">
        <f t="shared" si="21"/>
        <v>2136</v>
      </c>
      <c r="J62" s="1230">
        <f t="shared" si="21"/>
        <v>760</v>
      </c>
      <c r="K62" s="1231">
        <f t="shared" si="21"/>
        <v>271.14999900000004</v>
      </c>
      <c r="L62" s="1230">
        <f t="shared" si="21"/>
        <v>534151.87870000012</v>
      </c>
      <c r="M62" s="1230">
        <f t="shared" si="21"/>
        <v>233865.29989999998</v>
      </c>
      <c r="N62" s="1230">
        <f t="shared" si="21"/>
        <v>45689.759999999987</v>
      </c>
      <c r="O62" s="1230">
        <f t="shared" si="21"/>
        <v>16220.399999999998</v>
      </c>
      <c r="P62" s="1230">
        <f t="shared" si="21"/>
        <v>20600</v>
      </c>
      <c r="Q62" s="1230">
        <f t="shared" si="21"/>
        <v>6357.61</v>
      </c>
      <c r="R62" s="1232">
        <f t="shared" si="21"/>
        <v>856884.9486</v>
      </c>
      <c r="S62" s="1233">
        <f t="shared" si="21"/>
        <v>35440.336678000007</v>
      </c>
      <c r="T62" s="1233">
        <f t="shared" si="21"/>
        <v>3167.1499989999998</v>
      </c>
      <c r="U62" s="1233">
        <f t="shared" si="21"/>
        <v>32273.186678999999</v>
      </c>
      <c r="V62" s="1233"/>
      <c r="W62" s="1233"/>
      <c r="X62" s="1233">
        <f>+SUM(X47:X61)</f>
        <v>396830.34357287682</v>
      </c>
      <c r="Y62" s="1233"/>
      <c r="Z62" s="1233">
        <f>+SUM(Z47:Z61)</f>
        <v>0.29693125884016941</v>
      </c>
      <c r="AA62" s="1233">
        <f>+SUM(AA47:AA61)</f>
        <v>8416.5965067031375</v>
      </c>
      <c r="AB62" s="1233"/>
      <c r="AC62" s="1233">
        <f>+SUM(AC47:AC61)</f>
        <v>604478.63520670333</v>
      </c>
      <c r="AD62" s="1233"/>
      <c r="AE62" s="1233"/>
      <c r="AF62" s="1233">
        <f>+SUM(AF47:AF61)</f>
        <v>18134.359056201101</v>
      </c>
    </row>
    <row r="63" spans="1:32">
      <c r="A63" s="1217"/>
      <c r="B63" s="1223"/>
      <c r="C63" s="1223"/>
      <c r="D63" s="1223"/>
      <c r="E63" s="1229"/>
      <c r="F63" s="1217"/>
      <c r="G63" s="1225"/>
      <c r="H63" s="1225"/>
      <c r="I63" s="1225"/>
      <c r="J63" s="1225"/>
      <c r="K63" s="1224"/>
      <c r="L63" s="1225"/>
      <c r="M63" s="1225"/>
      <c r="N63" s="1225"/>
      <c r="O63" s="1225"/>
      <c r="P63" s="1225"/>
      <c r="Q63" s="1225"/>
      <c r="R63" s="1209"/>
      <c r="S63" s="1237"/>
      <c r="T63" s="1238"/>
      <c r="U63" s="1238"/>
      <c r="V63" s="1238"/>
      <c r="W63" s="1238"/>
      <c r="X63" s="1238"/>
      <c r="Y63" s="1238"/>
      <c r="Z63" s="1238"/>
      <c r="AA63" s="1238"/>
      <c r="AB63" s="1238"/>
      <c r="AC63" s="1238"/>
      <c r="AD63" s="1238"/>
      <c r="AE63" s="1238"/>
      <c r="AF63" s="1238"/>
    </row>
    <row r="64" spans="1:32">
      <c r="A64" s="1203" t="s">
        <v>2681</v>
      </c>
      <c r="B64" s="1204"/>
      <c r="C64" s="1204"/>
      <c r="D64" s="1204"/>
      <c r="E64" s="1239"/>
      <c r="F64" s="1206"/>
      <c r="G64" s="1207"/>
      <c r="H64" s="1207"/>
      <c r="I64" s="1207"/>
      <c r="J64" s="1207"/>
      <c r="K64" s="1207"/>
      <c r="L64" s="1208"/>
      <c r="M64" s="1207"/>
      <c r="N64" s="1207"/>
      <c r="O64" s="1207"/>
      <c r="P64" s="1207"/>
      <c r="Q64" s="1207"/>
      <c r="R64" s="1209"/>
      <c r="U64" s="1210"/>
      <c r="V64" s="1211"/>
      <c r="W64" s="1212"/>
      <c r="X64" s="1213"/>
      <c r="Y64" s="1214"/>
      <c r="Z64" s="1215"/>
      <c r="AA64" s="1213"/>
      <c r="AB64" s="1216"/>
      <c r="AC64" s="1159"/>
      <c r="AD64" s="1214"/>
      <c r="AE64" s="1215"/>
      <c r="AF64" s="1213"/>
    </row>
    <row r="65" spans="1:32">
      <c r="A65" s="1217">
        <v>2010</v>
      </c>
      <c r="B65" s="1219">
        <v>157871</v>
      </c>
      <c r="C65" s="1219">
        <v>1</v>
      </c>
      <c r="D65" s="1219">
        <v>57871</v>
      </c>
      <c r="E65" s="1219" t="s">
        <v>2682</v>
      </c>
      <c r="F65" s="1217" t="s">
        <v>2681</v>
      </c>
      <c r="G65" s="1207">
        <v>1896.099999</v>
      </c>
      <c r="H65" s="1207">
        <v>502.39666800000003</v>
      </c>
      <c r="I65" s="1207">
        <v>40</v>
      </c>
      <c r="J65" s="1207">
        <v>24</v>
      </c>
      <c r="K65" s="1207">
        <v>1.2166669999999999</v>
      </c>
      <c r="L65" s="1208">
        <v>33525.720000000008</v>
      </c>
      <c r="M65" s="1207">
        <v>13571.009999999998</v>
      </c>
      <c r="N65" s="1207">
        <v>745.60000000000014</v>
      </c>
      <c r="O65" s="1207">
        <v>445.44000000000005</v>
      </c>
      <c r="P65" s="1207">
        <v>749.99999999999977</v>
      </c>
      <c r="Q65" s="1207">
        <v>59.5</v>
      </c>
      <c r="R65" s="1209">
        <f t="shared" ref="R65:R128" si="22">SUM(L65:Q65)</f>
        <v>49097.270000000011</v>
      </c>
      <c r="S65" s="1159">
        <f t="shared" ref="S65:S99" si="23">SUM(G65:K65)</f>
        <v>2463.713334</v>
      </c>
      <c r="T65" s="1159">
        <f t="shared" ref="T65:T99" si="24">I65+J65+K65</f>
        <v>65.216667000000001</v>
      </c>
      <c r="U65" s="1210">
        <f t="shared" ref="U65:U99" si="25">S65-T65</f>
        <v>2398.4966669999999</v>
      </c>
      <c r="V65" s="1211"/>
      <c r="W65" s="1212"/>
      <c r="X65" s="1213">
        <f t="shared" ref="X65:X99" si="26">SUM(L65,N65:O65)*((VLOOKUP(Y65,$AJ$9:$AK$30,2,FALSE))/365)</f>
        <v>23112.801863013705</v>
      </c>
      <c r="Y65" s="1214">
        <v>42887</v>
      </c>
      <c r="Z65" s="1220">
        <v>3.3000000000000002E-2</v>
      </c>
      <c r="AA65" s="1213">
        <f t="shared" ref="AA65:AA99" si="27">X65*Z65</f>
        <v>762.72246147945225</v>
      </c>
      <c r="AB65" s="1216"/>
      <c r="AC65" s="1159">
        <f t="shared" ref="AC65:AC99" si="28">SUM(L65,N65:O65)+AA65</f>
        <v>35479.482461479463</v>
      </c>
      <c r="AD65" s="1214">
        <v>43252</v>
      </c>
      <c r="AE65" s="1220">
        <v>0.03</v>
      </c>
      <c r="AF65" s="1213">
        <f t="shared" ref="AF65:AF99" si="29">AC65*AE65</f>
        <v>1064.3844738443838</v>
      </c>
    </row>
    <row r="66" spans="1:32">
      <c r="A66" s="1217">
        <v>2010</v>
      </c>
      <c r="B66" s="1219">
        <v>158976</v>
      </c>
      <c r="C66" s="1219">
        <v>1</v>
      </c>
      <c r="D66" s="1219">
        <v>58976</v>
      </c>
      <c r="E66" s="1219" t="s">
        <v>2683</v>
      </c>
      <c r="F66" s="1217" t="s">
        <v>2681</v>
      </c>
      <c r="G66" s="1207">
        <v>1859.0832990000001</v>
      </c>
      <c r="H66" s="1207">
        <v>593.35003600000005</v>
      </c>
      <c r="I66" s="1207">
        <v>0</v>
      </c>
      <c r="J66" s="1207">
        <v>24</v>
      </c>
      <c r="K66" s="1207">
        <v>15.55</v>
      </c>
      <c r="L66" s="1208">
        <v>32852.94000000001</v>
      </c>
      <c r="M66" s="1207">
        <v>15840.259999999998</v>
      </c>
      <c r="N66" s="1207">
        <v>0</v>
      </c>
      <c r="O66" s="1207">
        <v>445.44000000000005</v>
      </c>
      <c r="P66" s="1207">
        <v>649.99999999999977</v>
      </c>
      <c r="Q66" s="1207">
        <v>1001.95</v>
      </c>
      <c r="R66" s="1209">
        <f t="shared" si="22"/>
        <v>50790.590000000011</v>
      </c>
      <c r="S66" s="1159">
        <f t="shared" si="23"/>
        <v>2491.9833350000004</v>
      </c>
      <c r="T66" s="1159">
        <f t="shared" si="24"/>
        <v>39.549999999999997</v>
      </c>
      <c r="U66" s="1210">
        <f t="shared" si="25"/>
        <v>2452.4333350000002</v>
      </c>
      <c r="V66" s="1211"/>
      <c r="W66" s="1212"/>
      <c r="X66" s="1213">
        <f t="shared" si="26"/>
        <v>23172.023342465764</v>
      </c>
      <c r="Y66" s="1214">
        <v>42898</v>
      </c>
      <c r="Z66" s="1220">
        <v>0.16089108910891098</v>
      </c>
      <c r="AA66" s="1213">
        <f t="shared" si="27"/>
        <v>3728.1720724264242</v>
      </c>
      <c r="AB66" s="1216"/>
      <c r="AC66" s="1159">
        <f t="shared" si="28"/>
        <v>37026.552072426435</v>
      </c>
      <c r="AD66" s="1214">
        <v>43252</v>
      </c>
      <c r="AE66" s="1220">
        <v>0.03</v>
      </c>
      <c r="AF66" s="1213">
        <f t="shared" si="29"/>
        <v>1110.7965621727931</v>
      </c>
    </row>
    <row r="67" spans="1:32">
      <c r="A67" s="1217">
        <v>2010</v>
      </c>
      <c r="B67" s="1219">
        <v>157483</v>
      </c>
      <c r="C67" s="1219">
        <v>1</v>
      </c>
      <c r="D67" s="1219">
        <v>57483</v>
      </c>
      <c r="E67" s="1219" t="s">
        <v>2684</v>
      </c>
      <c r="F67" s="1217" t="s">
        <v>2681</v>
      </c>
      <c r="G67" s="1207">
        <v>1816.983334</v>
      </c>
      <c r="H67" s="1207">
        <v>610.04000000000008</v>
      </c>
      <c r="I67" s="1207">
        <v>67.900000000000006</v>
      </c>
      <c r="J67" s="1207">
        <v>40</v>
      </c>
      <c r="K67" s="1207">
        <v>10.65</v>
      </c>
      <c r="L67" s="1208">
        <v>32729.890000000014</v>
      </c>
      <c r="M67" s="1207">
        <v>16649.899999999994</v>
      </c>
      <c r="N67" s="1207">
        <v>1249.81</v>
      </c>
      <c r="O67" s="1207">
        <v>731.2</v>
      </c>
      <c r="P67" s="1207">
        <v>650.00000000000011</v>
      </c>
      <c r="Q67" s="1207">
        <v>230.53</v>
      </c>
      <c r="R67" s="1209">
        <f t="shared" si="22"/>
        <v>52241.33</v>
      </c>
      <c r="S67" s="1159">
        <f t="shared" si="23"/>
        <v>2545.5733340000002</v>
      </c>
      <c r="T67" s="1159">
        <f t="shared" si="24"/>
        <v>118.55000000000001</v>
      </c>
      <c r="U67" s="1210">
        <f t="shared" si="25"/>
        <v>2427.023334</v>
      </c>
      <c r="V67" s="1211"/>
      <c r="W67" s="1212"/>
      <c r="X67" s="1213">
        <f t="shared" si="26"/>
        <v>23108.900547945213</v>
      </c>
      <c r="Y67" s="1214">
        <v>42887</v>
      </c>
      <c r="Z67" s="1220">
        <v>0.16089108910891098</v>
      </c>
      <c r="AA67" s="1213">
        <f t="shared" si="27"/>
        <v>3718.016177268415</v>
      </c>
      <c r="AB67" s="1216"/>
      <c r="AC67" s="1159">
        <f t="shared" si="28"/>
        <v>38428.916177268424</v>
      </c>
      <c r="AD67" s="1214">
        <v>0</v>
      </c>
      <c r="AE67" s="1220">
        <v>0</v>
      </c>
      <c r="AF67" s="1213">
        <f t="shared" si="29"/>
        <v>0</v>
      </c>
    </row>
    <row r="68" spans="1:32">
      <c r="A68" s="1217">
        <v>2010</v>
      </c>
      <c r="B68" s="1219">
        <v>151073</v>
      </c>
      <c r="C68" s="1219">
        <v>1</v>
      </c>
      <c r="D68" s="1219">
        <v>51073</v>
      </c>
      <c r="E68" s="1219" t="s">
        <v>2685</v>
      </c>
      <c r="F68" s="1217" t="s">
        <v>2681</v>
      </c>
      <c r="G68" s="1207">
        <v>1898.0633320000002</v>
      </c>
      <c r="H68" s="1207">
        <v>432.89000400000009</v>
      </c>
      <c r="I68" s="1207">
        <v>104</v>
      </c>
      <c r="J68" s="1207">
        <v>48</v>
      </c>
      <c r="K68" s="1207">
        <v>22.7</v>
      </c>
      <c r="L68" s="1208">
        <v>34780.609800000013</v>
      </c>
      <c r="M68" s="1207">
        <v>12001.700000000003</v>
      </c>
      <c r="N68" s="1207">
        <v>1893.4399999999998</v>
      </c>
      <c r="O68" s="1207">
        <v>881.28</v>
      </c>
      <c r="P68" s="1207">
        <v>1049.9999999999998</v>
      </c>
      <c r="Q68" s="1207">
        <v>456.32000000000005</v>
      </c>
      <c r="R68" s="1209">
        <f t="shared" si="22"/>
        <v>51063.349800000018</v>
      </c>
      <c r="S68" s="1159">
        <f t="shared" si="23"/>
        <v>2505.6533360000003</v>
      </c>
      <c r="T68" s="1159">
        <f t="shared" si="24"/>
        <v>174.7</v>
      </c>
      <c r="U68" s="1210">
        <f t="shared" si="25"/>
        <v>2330.9533360000005</v>
      </c>
      <c r="V68" s="1211"/>
      <c r="W68" s="1212"/>
      <c r="X68" s="1213">
        <f t="shared" si="26"/>
        <v>25002.58942849316</v>
      </c>
      <c r="Y68" s="1214">
        <v>42887</v>
      </c>
      <c r="Z68" s="1220">
        <v>3.3039647577092587E-2</v>
      </c>
      <c r="AA68" s="1213">
        <f t="shared" si="27"/>
        <v>826.07674323215474</v>
      </c>
      <c r="AB68" s="1216"/>
      <c r="AC68" s="1159">
        <f t="shared" si="28"/>
        <v>38381.406543232166</v>
      </c>
      <c r="AD68" s="1214">
        <v>43252</v>
      </c>
      <c r="AE68" s="1220">
        <v>0.03</v>
      </c>
      <c r="AF68" s="1213">
        <f t="shared" si="29"/>
        <v>1151.442196296965</v>
      </c>
    </row>
    <row r="69" spans="1:32">
      <c r="A69" s="1217">
        <v>2010</v>
      </c>
      <c r="B69" s="1219">
        <v>300697</v>
      </c>
      <c r="C69" s="1219">
        <v>3</v>
      </c>
      <c r="D69" s="1219">
        <v>697</v>
      </c>
      <c r="E69" s="1219" t="s">
        <v>2686</v>
      </c>
      <c r="F69" s="1217" t="s">
        <v>2681</v>
      </c>
      <c r="G69" s="1207">
        <v>898.06666700000005</v>
      </c>
      <c r="H69" s="1207">
        <v>322.54999700000002</v>
      </c>
      <c r="I69" s="1207">
        <v>0</v>
      </c>
      <c r="J69" s="1207">
        <v>16</v>
      </c>
      <c r="K69" s="1207">
        <v>5.9333329999999993</v>
      </c>
      <c r="L69" s="1208">
        <v>15918.549999999996</v>
      </c>
      <c r="M69" s="1207">
        <v>8775.35</v>
      </c>
      <c r="N69" s="1207">
        <v>0</v>
      </c>
      <c r="O69" s="1207">
        <v>300.16000000000003</v>
      </c>
      <c r="P69" s="1207">
        <v>199.99999999999991</v>
      </c>
      <c r="Q69" s="1207">
        <v>106.31</v>
      </c>
      <c r="R69" s="1209">
        <f t="shared" si="22"/>
        <v>25300.369999999995</v>
      </c>
      <c r="S69" s="1159">
        <f t="shared" si="23"/>
        <v>1242.5499970000001</v>
      </c>
      <c r="T69" s="1159">
        <f t="shared" si="24"/>
        <v>21.933332999999998</v>
      </c>
      <c r="U69" s="1210">
        <f t="shared" si="25"/>
        <v>1220.6166640000001</v>
      </c>
      <c r="V69" s="1211"/>
      <c r="W69" s="1212"/>
      <c r="X69" s="1213">
        <f t="shared" si="26"/>
        <v>10797.661726027394</v>
      </c>
      <c r="Y69" s="1214">
        <v>42887</v>
      </c>
      <c r="Z69" s="1220">
        <v>0.16089108910891098</v>
      </c>
      <c r="AA69" s="1213">
        <f t="shared" si="27"/>
        <v>1737.247554930151</v>
      </c>
      <c r="AB69" s="1216"/>
      <c r="AC69" s="1159">
        <f t="shared" si="28"/>
        <v>17955.957554930148</v>
      </c>
      <c r="AD69" s="1214"/>
      <c r="AE69" s="1220">
        <v>0</v>
      </c>
      <c r="AF69" s="1213">
        <f t="shared" si="29"/>
        <v>0</v>
      </c>
    </row>
    <row r="70" spans="1:32">
      <c r="A70" s="1217">
        <v>2010</v>
      </c>
      <c r="B70" s="1219">
        <v>157530</v>
      </c>
      <c r="C70" s="1219">
        <v>1</v>
      </c>
      <c r="D70" s="1219">
        <v>57530</v>
      </c>
      <c r="E70" s="1219" t="s">
        <v>2687</v>
      </c>
      <c r="F70" s="1217" t="s">
        <v>2681</v>
      </c>
      <c r="G70" s="1207">
        <v>1844.589999</v>
      </c>
      <c r="H70" s="1207">
        <v>516.96999499999993</v>
      </c>
      <c r="I70" s="1207">
        <v>56</v>
      </c>
      <c r="J70" s="1207">
        <v>48</v>
      </c>
      <c r="K70" s="1207">
        <v>2.8833329999999995</v>
      </c>
      <c r="L70" s="1208">
        <v>33805.630100000002</v>
      </c>
      <c r="M70" s="1207">
        <v>14273.420000000004</v>
      </c>
      <c r="N70" s="1207">
        <v>1036.1600000000001</v>
      </c>
      <c r="O70" s="1207">
        <v>881.28000000000009</v>
      </c>
      <c r="P70" s="1207">
        <v>599.99999999999977</v>
      </c>
      <c r="Q70" s="1207">
        <v>89.91</v>
      </c>
      <c r="R70" s="1209">
        <f t="shared" si="22"/>
        <v>50686.400100000013</v>
      </c>
      <c r="S70" s="1159">
        <f t="shared" si="23"/>
        <v>2468.4433270000004</v>
      </c>
      <c r="T70" s="1159">
        <f t="shared" si="24"/>
        <v>106.88333299999999</v>
      </c>
      <c r="U70" s="1210">
        <f t="shared" si="25"/>
        <v>2361.5599940000002</v>
      </c>
      <c r="V70" s="1211"/>
      <c r="W70" s="1212"/>
      <c r="X70" s="1213">
        <f t="shared" si="26"/>
        <v>23782.75625835617</v>
      </c>
      <c r="Y70" s="1214">
        <v>42887</v>
      </c>
      <c r="Z70" s="1220">
        <v>3.3039647577092587E-2</v>
      </c>
      <c r="AA70" s="1213">
        <f t="shared" si="27"/>
        <v>785.77388518798102</v>
      </c>
      <c r="AB70" s="1216"/>
      <c r="AC70" s="1159">
        <f t="shared" si="28"/>
        <v>36508.843985187988</v>
      </c>
      <c r="AD70" s="1214">
        <v>43252</v>
      </c>
      <c r="AE70" s="1220">
        <v>0.03</v>
      </c>
      <c r="AF70" s="1213">
        <f t="shared" si="29"/>
        <v>1095.2653195556395</v>
      </c>
    </row>
    <row r="71" spans="1:32">
      <c r="A71" s="1217">
        <v>2010</v>
      </c>
      <c r="B71" s="1219">
        <v>157484</v>
      </c>
      <c r="C71" s="1219">
        <v>1</v>
      </c>
      <c r="D71" s="1219">
        <v>57484</v>
      </c>
      <c r="E71" s="1219" t="s">
        <v>2688</v>
      </c>
      <c r="F71" s="1217" t="s">
        <v>2681</v>
      </c>
      <c r="G71" s="1207">
        <v>1952.246666</v>
      </c>
      <c r="H71" s="1207">
        <v>628.65999699999998</v>
      </c>
      <c r="I71" s="1207">
        <v>40</v>
      </c>
      <c r="J71" s="1207">
        <v>56</v>
      </c>
      <c r="K71" s="1207">
        <v>16</v>
      </c>
      <c r="L71" s="1208">
        <v>35782.380000000012</v>
      </c>
      <c r="M71" s="1207">
        <v>17416.849999999999</v>
      </c>
      <c r="N71" s="1207">
        <v>726.4</v>
      </c>
      <c r="O71" s="1207">
        <v>1026.56</v>
      </c>
      <c r="P71" s="1207">
        <v>1225.0000000000002</v>
      </c>
      <c r="Q71" s="1207">
        <v>346.01</v>
      </c>
      <c r="R71" s="1209">
        <f t="shared" si="22"/>
        <v>56523.200000000012</v>
      </c>
      <c r="S71" s="1159">
        <f t="shared" si="23"/>
        <v>2692.9066629999998</v>
      </c>
      <c r="T71" s="1159">
        <f t="shared" si="24"/>
        <v>112</v>
      </c>
      <c r="U71" s="1210">
        <f t="shared" si="25"/>
        <v>2580.9066629999998</v>
      </c>
      <c r="V71" s="1211"/>
      <c r="W71" s="1212"/>
      <c r="X71" s="1213">
        <f t="shared" si="26"/>
        <v>24989.281150684939</v>
      </c>
      <c r="Y71" s="1214">
        <v>42887</v>
      </c>
      <c r="Z71" s="1220">
        <v>3.3039647577092587E-2</v>
      </c>
      <c r="AA71" s="1213">
        <f t="shared" si="27"/>
        <v>825.63704242351309</v>
      </c>
      <c r="AB71" s="1216"/>
      <c r="AC71" s="1159">
        <f t="shared" si="28"/>
        <v>38360.977042423525</v>
      </c>
      <c r="AD71" s="1214">
        <v>43252</v>
      </c>
      <c r="AE71" s="1220">
        <v>0.03</v>
      </c>
      <c r="AF71" s="1213">
        <f t="shared" si="29"/>
        <v>1150.8293112727058</v>
      </c>
    </row>
    <row r="72" spans="1:32">
      <c r="A72" s="1217">
        <v>2010</v>
      </c>
      <c r="B72" s="1219">
        <v>154833</v>
      </c>
      <c r="C72" s="1219">
        <v>1</v>
      </c>
      <c r="D72" s="1219">
        <v>54833</v>
      </c>
      <c r="E72" s="1219" t="s">
        <v>2689</v>
      </c>
      <c r="F72" s="1217" t="s">
        <v>2681</v>
      </c>
      <c r="G72" s="1207">
        <v>1290.4000010000002</v>
      </c>
      <c r="H72" s="1207">
        <v>122.23333300000002</v>
      </c>
      <c r="I72" s="1207">
        <v>70</v>
      </c>
      <c r="J72" s="1207">
        <v>60</v>
      </c>
      <c r="K72" s="1207">
        <v>1</v>
      </c>
      <c r="L72" s="1208">
        <v>31860.02</v>
      </c>
      <c r="M72" s="1207">
        <v>4494.79</v>
      </c>
      <c r="N72" s="1207">
        <v>1780</v>
      </c>
      <c r="O72" s="1207">
        <v>1485</v>
      </c>
      <c r="P72" s="1207">
        <v>941.21</v>
      </c>
      <c r="Q72" s="1207">
        <v>284.47000000000003</v>
      </c>
      <c r="R72" s="1209">
        <f t="shared" si="22"/>
        <v>40845.49</v>
      </c>
      <c r="S72" s="1159">
        <f t="shared" si="23"/>
        <v>1543.6333340000001</v>
      </c>
      <c r="T72" s="1159">
        <f t="shared" si="24"/>
        <v>131</v>
      </c>
      <c r="U72" s="1210">
        <f t="shared" si="25"/>
        <v>1412.6333340000001</v>
      </c>
      <c r="V72" s="1211"/>
      <c r="W72" s="1212"/>
      <c r="X72" s="1213">
        <f t="shared" si="26"/>
        <v>26464.056164383564</v>
      </c>
      <c r="Y72" s="1214">
        <v>42919</v>
      </c>
      <c r="Z72" s="1220">
        <v>-8.9999999999999858E-2</v>
      </c>
      <c r="AA72" s="1213">
        <f t="shared" si="27"/>
        <v>-2381.7650547945173</v>
      </c>
      <c r="AB72" s="1216"/>
      <c r="AC72" s="1159">
        <f t="shared" si="28"/>
        <v>32743.254945205488</v>
      </c>
      <c r="AD72" s="1214">
        <v>43252</v>
      </c>
      <c r="AE72" s="1220">
        <v>0.03</v>
      </c>
      <c r="AF72" s="1213">
        <f t="shared" si="29"/>
        <v>982.29764835616459</v>
      </c>
    </row>
    <row r="73" spans="1:32">
      <c r="A73" s="1217">
        <v>2010</v>
      </c>
      <c r="B73" s="1219">
        <v>156070</v>
      </c>
      <c r="C73" s="1219">
        <v>1</v>
      </c>
      <c r="D73" s="1219">
        <v>56070</v>
      </c>
      <c r="E73" s="1219" t="s">
        <v>2690</v>
      </c>
      <c r="F73" s="1217" t="s">
        <v>2681</v>
      </c>
      <c r="G73" s="1207">
        <v>1836.0166670000001</v>
      </c>
      <c r="H73" s="1207">
        <v>630.18333699999994</v>
      </c>
      <c r="I73" s="1207">
        <v>40</v>
      </c>
      <c r="J73" s="1207">
        <v>48</v>
      </c>
      <c r="K73" s="1207">
        <v>7.2333330000000009</v>
      </c>
      <c r="L73" s="1208">
        <v>33611.730100000008</v>
      </c>
      <c r="M73" s="1207">
        <v>17387.3</v>
      </c>
      <c r="N73" s="1207">
        <v>726.4</v>
      </c>
      <c r="O73" s="1207">
        <v>881.28000000000009</v>
      </c>
      <c r="P73" s="1207">
        <v>200</v>
      </c>
      <c r="Q73" s="1207">
        <v>170.06000000000003</v>
      </c>
      <c r="R73" s="1209">
        <f t="shared" si="22"/>
        <v>52976.770100000002</v>
      </c>
      <c r="S73" s="1159">
        <f t="shared" si="23"/>
        <v>2561.4333370000004</v>
      </c>
      <c r="T73" s="1159">
        <f t="shared" si="24"/>
        <v>95.233333000000002</v>
      </c>
      <c r="U73" s="1210">
        <f t="shared" si="25"/>
        <v>2466.2000040000003</v>
      </c>
      <c r="V73" s="1211"/>
      <c r="W73" s="1212"/>
      <c r="X73" s="1213">
        <f t="shared" si="26"/>
        <v>23447.442888493159</v>
      </c>
      <c r="Y73" s="1214">
        <v>42887</v>
      </c>
      <c r="Z73" s="1220">
        <v>3.3039647577092587E-2</v>
      </c>
      <c r="AA73" s="1213">
        <f t="shared" si="27"/>
        <v>774.69524961981983</v>
      </c>
      <c r="AB73" s="1216"/>
      <c r="AC73" s="1159">
        <f t="shared" si="28"/>
        <v>35994.105349619829</v>
      </c>
      <c r="AD73" s="1214"/>
      <c r="AE73" s="1220">
        <v>0</v>
      </c>
      <c r="AF73" s="1213">
        <f t="shared" si="29"/>
        <v>0</v>
      </c>
    </row>
    <row r="74" spans="1:32">
      <c r="A74" s="1217">
        <v>2010</v>
      </c>
      <c r="B74" s="1219">
        <v>156871</v>
      </c>
      <c r="C74" s="1219">
        <v>1</v>
      </c>
      <c r="D74" s="1219">
        <v>56871</v>
      </c>
      <c r="E74" s="1219" t="s">
        <v>2691</v>
      </c>
      <c r="F74" s="1217" t="s">
        <v>2681</v>
      </c>
      <c r="G74" s="1207">
        <v>1815.96667</v>
      </c>
      <c r="H74" s="1207">
        <v>534.91666699999996</v>
      </c>
      <c r="I74" s="1207">
        <v>69.8</v>
      </c>
      <c r="J74" s="1207">
        <v>48</v>
      </c>
      <c r="K74" s="1207">
        <v>10.866666</v>
      </c>
      <c r="L74" s="1208">
        <v>33253.410000000003</v>
      </c>
      <c r="M74" s="1207">
        <v>14822.710000000001</v>
      </c>
      <c r="N74" s="1207">
        <v>1280.6500000000001</v>
      </c>
      <c r="O74" s="1207">
        <v>876.48</v>
      </c>
      <c r="P74" s="1207">
        <v>1100</v>
      </c>
      <c r="Q74" s="1207">
        <v>235.05</v>
      </c>
      <c r="R74" s="1209">
        <f t="shared" si="22"/>
        <v>51568.30000000001</v>
      </c>
      <c r="S74" s="1159">
        <f t="shared" si="23"/>
        <v>2479.5500030000003</v>
      </c>
      <c r="T74" s="1159">
        <f t="shared" si="24"/>
        <v>128.66666599999999</v>
      </c>
      <c r="U74" s="1210">
        <f t="shared" si="25"/>
        <v>2350.8833370000002</v>
      </c>
      <c r="V74" s="1211"/>
      <c r="W74" s="1212"/>
      <c r="X74" s="1213">
        <f t="shared" si="26"/>
        <v>23574.68827397261</v>
      </c>
      <c r="Y74" s="1214">
        <v>42887</v>
      </c>
      <c r="Z74" s="1220">
        <v>3.3039647577092587E-2</v>
      </c>
      <c r="AA74" s="1213">
        <f t="shared" si="27"/>
        <v>778.89939231187213</v>
      </c>
      <c r="AB74" s="1216"/>
      <c r="AC74" s="1159">
        <f t="shared" si="28"/>
        <v>36189.439392311877</v>
      </c>
      <c r="AD74" s="1214"/>
      <c r="AE74" s="1220">
        <v>0</v>
      </c>
      <c r="AF74" s="1213">
        <f t="shared" si="29"/>
        <v>0</v>
      </c>
    </row>
    <row r="75" spans="1:32">
      <c r="A75" s="1217">
        <v>2010</v>
      </c>
      <c r="B75" s="1219">
        <v>158226</v>
      </c>
      <c r="C75" s="1219">
        <v>1</v>
      </c>
      <c r="D75" s="1219">
        <v>58226</v>
      </c>
      <c r="E75" s="1219" t="s">
        <v>2692</v>
      </c>
      <c r="F75" s="1217" t="s">
        <v>2681</v>
      </c>
      <c r="G75" s="1207">
        <v>843.20333500000015</v>
      </c>
      <c r="H75" s="1207">
        <v>162.72000299999999</v>
      </c>
      <c r="I75" s="1207">
        <v>0</v>
      </c>
      <c r="J75" s="1207">
        <v>8</v>
      </c>
      <c r="K75" s="1207">
        <v>18.066665</v>
      </c>
      <c r="L75" s="1208">
        <v>13204.6</v>
      </c>
      <c r="M75" s="1207">
        <v>3832.0599999999995</v>
      </c>
      <c r="N75" s="1207">
        <v>0</v>
      </c>
      <c r="O75" s="1207">
        <v>125.28</v>
      </c>
      <c r="P75" s="1207">
        <v>0</v>
      </c>
      <c r="Q75" s="1207">
        <v>320.07000000000005</v>
      </c>
      <c r="R75" s="1209">
        <f t="shared" si="22"/>
        <v>17482.009999999998</v>
      </c>
      <c r="S75" s="1159">
        <f t="shared" si="23"/>
        <v>1031.9900030000001</v>
      </c>
      <c r="T75" s="1159">
        <f t="shared" si="24"/>
        <v>26.066665</v>
      </c>
      <c r="U75" s="1210">
        <f t="shared" si="25"/>
        <v>1005.9233380000001</v>
      </c>
      <c r="V75" s="1211"/>
      <c r="W75" s="1212"/>
      <c r="X75" s="1221"/>
      <c r="Y75" s="1214"/>
      <c r="Z75" s="1220">
        <v>0</v>
      </c>
      <c r="AA75" s="1213">
        <f t="shared" si="27"/>
        <v>0</v>
      </c>
      <c r="AB75" s="1216"/>
      <c r="AC75" s="1159">
        <f t="shared" si="28"/>
        <v>13329.880000000001</v>
      </c>
      <c r="AD75" s="1214"/>
      <c r="AE75" s="1220">
        <v>0</v>
      </c>
      <c r="AF75" s="1213">
        <f t="shared" si="29"/>
        <v>0</v>
      </c>
    </row>
    <row r="76" spans="1:32">
      <c r="A76" s="1217">
        <v>2010</v>
      </c>
      <c r="B76" s="1219">
        <v>158928</v>
      </c>
      <c r="C76" s="1219">
        <v>1</v>
      </c>
      <c r="D76" s="1219">
        <v>58928</v>
      </c>
      <c r="E76" s="1219" t="s">
        <v>2693</v>
      </c>
      <c r="F76" s="1217" t="s">
        <v>2681</v>
      </c>
      <c r="G76" s="1207">
        <v>1847.8999990000002</v>
      </c>
      <c r="H76" s="1207">
        <v>416.34000000000003</v>
      </c>
      <c r="I76" s="1207">
        <v>0</v>
      </c>
      <c r="J76" s="1207">
        <v>24</v>
      </c>
      <c r="K76" s="1207">
        <v>66.990000999999992</v>
      </c>
      <c r="L76" s="1208">
        <v>31192.580000000009</v>
      </c>
      <c r="M76" s="1207">
        <v>10887.000000000002</v>
      </c>
      <c r="N76" s="1207">
        <v>0</v>
      </c>
      <c r="O76" s="1207">
        <v>429.44000000000005</v>
      </c>
      <c r="P76" s="1207">
        <v>249.99999999999991</v>
      </c>
      <c r="Q76" s="1207">
        <v>1203.73</v>
      </c>
      <c r="R76" s="1209">
        <f t="shared" si="22"/>
        <v>43962.750000000015</v>
      </c>
      <c r="S76" s="1159">
        <f t="shared" si="23"/>
        <v>2355.2300000000005</v>
      </c>
      <c r="T76" s="1159">
        <f t="shared" si="24"/>
        <v>90.990000999999992</v>
      </c>
      <c r="U76" s="1210">
        <f t="shared" si="25"/>
        <v>2264.2399990000004</v>
      </c>
      <c r="V76" s="1211"/>
      <c r="W76" s="1212"/>
      <c r="X76" s="1213">
        <f t="shared" si="26"/>
        <v>21052.468109589048</v>
      </c>
      <c r="Y76" s="1214">
        <v>42887</v>
      </c>
      <c r="Z76" s="1220">
        <v>0.16089108910891098</v>
      </c>
      <c r="AA76" s="1213">
        <f t="shared" si="27"/>
        <v>3387.1545225823984</v>
      </c>
      <c r="AB76" s="1216"/>
      <c r="AC76" s="1159">
        <f t="shared" si="28"/>
        <v>35009.174522582405</v>
      </c>
      <c r="AD76" s="1214">
        <v>43252</v>
      </c>
      <c r="AE76" s="1220">
        <v>0.03</v>
      </c>
      <c r="AF76" s="1213">
        <f t="shared" si="29"/>
        <v>1050.2752356774722</v>
      </c>
    </row>
    <row r="77" spans="1:32">
      <c r="A77" s="1217">
        <v>2010</v>
      </c>
      <c r="B77" s="1219">
        <v>159033</v>
      </c>
      <c r="C77" s="1219">
        <v>1</v>
      </c>
      <c r="D77" s="1219">
        <v>59033</v>
      </c>
      <c r="E77" s="1219" t="s">
        <v>2694</v>
      </c>
      <c r="F77" s="1217" t="s">
        <v>2681</v>
      </c>
      <c r="G77" s="1207">
        <v>1783.0833319999999</v>
      </c>
      <c r="H77" s="1207">
        <v>413.759996</v>
      </c>
      <c r="I77" s="1207">
        <v>0</v>
      </c>
      <c r="J77" s="1207">
        <v>24</v>
      </c>
      <c r="K77" s="1207">
        <v>33.916668000000008</v>
      </c>
      <c r="L77" s="1208">
        <v>30372.890000000007</v>
      </c>
      <c r="M77" s="1207">
        <v>10896.56</v>
      </c>
      <c r="N77" s="1207">
        <v>0</v>
      </c>
      <c r="O77" s="1207">
        <v>445.44000000000005</v>
      </c>
      <c r="P77" s="1207">
        <v>400.00000000000011</v>
      </c>
      <c r="Q77" s="1207">
        <v>585.52</v>
      </c>
      <c r="R77" s="1209">
        <f t="shared" si="22"/>
        <v>42700.41</v>
      </c>
      <c r="S77" s="1159">
        <f t="shared" si="23"/>
        <v>2254.7599959999998</v>
      </c>
      <c r="T77" s="1159">
        <f t="shared" si="24"/>
        <v>57.916668000000008</v>
      </c>
      <c r="U77" s="1210">
        <f t="shared" si="25"/>
        <v>2196.8433279999999</v>
      </c>
      <c r="V77" s="1211"/>
      <c r="W77" s="1212"/>
      <c r="X77" s="1213">
        <f t="shared" si="26"/>
        <v>20517.408739726034</v>
      </c>
      <c r="Y77" s="1214">
        <v>42887</v>
      </c>
      <c r="Z77" s="1220">
        <v>0.16089108910891098</v>
      </c>
      <c r="AA77" s="1213">
        <f t="shared" si="27"/>
        <v>3301.0682378272104</v>
      </c>
      <c r="AB77" s="1216"/>
      <c r="AC77" s="1159">
        <f t="shared" si="28"/>
        <v>34119.398237827219</v>
      </c>
      <c r="AD77" s="1214">
        <v>43252</v>
      </c>
      <c r="AE77" s="1220">
        <v>0.03</v>
      </c>
      <c r="AF77" s="1213">
        <f t="shared" si="29"/>
        <v>1023.5819471348166</v>
      </c>
    </row>
    <row r="78" spans="1:32">
      <c r="A78" s="1217">
        <v>2010</v>
      </c>
      <c r="B78" s="1219">
        <v>300082</v>
      </c>
      <c r="C78" s="1219">
        <v>3</v>
      </c>
      <c r="D78" s="1219">
        <v>82</v>
      </c>
      <c r="E78" s="1219" t="s">
        <v>2695</v>
      </c>
      <c r="F78" s="1217" t="s">
        <v>2681</v>
      </c>
      <c r="G78" s="1207">
        <v>1126.8999989999998</v>
      </c>
      <c r="H78" s="1207">
        <v>100.16667100000001</v>
      </c>
      <c r="I78" s="1207">
        <v>0</v>
      </c>
      <c r="J78" s="1207">
        <v>8</v>
      </c>
      <c r="K78" s="1207">
        <v>91.85000100000002</v>
      </c>
      <c r="L78" s="1208">
        <v>18429.189999999991</v>
      </c>
      <c r="M78" s="1207">
        <v>2460.3100000000009</v>
      </c>
      <c r="N78" s="1207">
        <v>0</v>
      </c>
      <c r="O78" s="1207">
        <v>129.28</v>
      </c>
      <c r="P78" s="1207">
        <v>100.00000000000001</v>
      </c>
      <c r="Q78" s="1207">
        <v>1498.19</v>
      </c>
      <c r="R78" s="1209">
        <f t="shared" si="22"/>
        <v>22616.96999999999</v>
      </c>
      <c r="S78" s="1159">
        <f t="shared" si="23"/>
        <v>1326.9166709999997</v>
      </c>
      <c r="T78" s="1159">
        <f t="shared" si="24"/>
        <v>99.85000100000002</v>
      </c>
      <c r="U78" s="1210">
        <f t="shared" si="25"/>
        <v>1227.0666699999997</v>
      </c>
      <c r="V78" s="1211"/>
      <c r="W78" s="1212"/>
      <c r="X78" s="1213">
        <f t="shared" si="26"/>
        <v>12355.364958904103</v>
      </c>
      <c r="Y78" s="1214">
        <v>42887</v>
      </c>
      <c r="Z78" s="1220">
        <v>3.094059405940594E-2</v>
      </c>
      <c r="AA78" s="1213">
        <f t="shared" si="27"/>
        <v>382.28233164926064</v>
      </c>
      <c r="AB78" s="1216"/>
      <c r="AC78" s="1159">
        <f t="shared" si="28"/>
        <v>18940.752331649252</v>
      </c>
      <c r="AD78" s="1214">
        <v>43252</v>
      </c>
      <c r="AE78" s="1220">
        <v>0.1598319327731092</v>
      </c>
      <c r="AF78" s="1213">
        <f t="shared" si="29"/>
        <v>3027.3370533442744</v>
      </c>
    </row>
    <row r="79" spans="1:32">
      <c r="A79" s="1217">
        <v>2010</v>
      </c>
      <c r="B79" s="1219">
        <v>150674</v>
      </c>
      <c r="C79" s="1219">
        <v>1</v>
      </c>
      <c r="D79" s="1219">
        <v>50674</v>
      </c>
      <c r="E79" s="1219" t="s">
        <v>2696</v>
      </c>
      <c r="F79" s="1217" t="s">
        <v>2681</v>
      </c>
      <c r="G79" s="1207">
        <v>1827.9999990000001</v>
      </c>
      <c r="H79" s="1207">
        <v>445.09333399999997</v>
      </c>
      <c r="I79" s="1207">
        <v>88</v>
      </c>
      <c r="J79" s="1207">
        <v>56</v>
      </c>
      <c r="K79" s="1207">
        <v>49.083333999999994</v>
      </c>
      <c r="L79" s="1208">
        <v>33506.659899999991</v>
      </c>
      <c r="M79" s="1207">
        <v>12319.399999999998</v>
      </c>
      <c r="N79" s="1207">
        <v>1602.88</v>
      </c>
      <c r="O79" s="1207">
        <v>1026.56</v>
      </c>
      <c r="P79" s="1207">
        <v>799.99999999999977</v>
      </c>
      <c r="Q79" s="1207">
        <v>938.04000000000008</v>
      </c>
      <c r="R79" s="1209">
        <f t="shared" si="22"/>
        <v>50193.539899999989</v>
      </c>
      <c r="S79" s="1159">
        <f t="shared" si="23"/>
        <v>2466.1766670000002</v>
      </c>
      <c r="T79" s="1159">
        <f t="shared" si="24"/>
        <v>193.08333399999998</v>
      </c>
      <c r="U79" s="1210">
        <f t="shared" si="25"/>
        <v>2273.0933330000003</v>
      </c>
      <c r="V79" s="1211"/>
      <c r="W79" s="1212"/>
      <c r="X79" s="1213">
        <f t="shared" si="26"/>
        <v>24057.732262191774</v>
      </c>
      <c r="Y79" s="1214">
        <v>42887</v>
      </c>
      <c r="Z79" s="1220">
        <v>3.3039647577092587E-2</v>
      </c>
      <c r="AA79" s="1213">
        <f t="shared" si="27"/>
        <v>794.85899544686663</v>
      </c>
      <c r="AB79" s="1216"/>
      <c r="AC79" s="1159">
        <f t="shared" si="28"/>
        <v>36930.958895446856</v>
      </c>
      <c r="AD79" s="1214">
        <v>43252</v>
      </c>
      <c r="AE79" s="1220">
        <v>0.03</v>
      </c>
      <c r="AF79" s="1213">
        <f t="shared" si="29"/>
        <v>1107.9287668634056</v>
      </c>
    </row>
    <row r="80" spans="1:32">
      <c r="A80" s="1217">
        <v>2010</v>
      </c>
      <c r="B80" s="1219">
        <v>154398</v>
      </c>
      <c r="C80" s="1219">
        <v>1</v>
      </c>
      <c r="D80" s="1219">
        <v>54398</v>
      </c>
      <c r="E80" s="1219" t="s">
        <v>2697</v>
      </c>
      <c r="F80" s="1217" t="s">
        <v>2681</v>
      </c>
      <c r="G80" s="1207">
        <v>1879.6166669999998</v>
      </c>
      <c r="H80" s="1207">
        <v>503.54666399999996</v>
      </c>
      <c r="I80" s="1207">
        <v>88</v>
      </c>
      <c r="J80" s="1207">
        <v>56</v>
      </c>
      <c r="K80" s="1207">
        <v>8.3833330000000004</v>
      </c>
      <c r="L80" s="1208">
        <v>34457.890000000007</v>
      </c>
      <c r="M80" s="1207">
        <v>14031.800000000001</v>
      </c>
      <c r="N80" s="1207">
        <v>1598.08</v>
      </c>
      <c r="O80" s="1207">
        <v>1026.56</v>
      </c>
      <c r="P80" s="1207">
        <v>1799.9999999999998</v>
      </c>
      <c r="Q80" s="1207">
        <v>191.81</v>
      </c>
      <c r="R80" s="1209">
        <f t="shared" si="22"/>
        <v>53106.140000000007</v>
      </c>
      <c r="S80" s="1159">
        <f t="shared" si="23"/>
        <v>2535.546664</v>
      </c>
      <c r="T80" s="1159">
        <f t="shared" si="24"/>
        <v>152.38333299999999</v>
      </c>
      <c r="U80" s="1210">
        <f t="shared" si="25"/>
        <v>2383.1633309999997</v>
      </c>
      <c r="V80" s="1211"/>
      <c r="W80" s="1212"/>
      <c r="X80" s="1213">
        <f t="shared" si="26"/>
        <v>24687.821342465759</v>
      </c>
      <c r="Y80" s="1214">
        <v>42887</v>
      </c>
      <c r="Z80" s="1220">
        <v>3.3039647577092587E-2</v>
      </c>
      <c r="AA80" s="1213">
        <f t="shared" si="27"/>
        <v>815.67691660129344</v>
      </c>
      <c r="AB80" s="1216"/>
      <c r="AC80" s="1159">
        <f t="shared" si="28"/>
        <v>37898.206916601303</v>
      </c>
      <c r="AD80" s="1214">
        <v>43252</v>
      </c>
      <c r="AE80" s="1220">
        <v>0.03</v>
      </c>
      <c r="AF80" s="1213">
        <f t="shared" si="29"/>
        <v>1136.946207498039</v>
      </c>
    </row>
    <row r="81" spans="1:32">
      <c r="A81" s="1217">
        <v>2010</v>
      </c>
      <c r="B81" s="1219">
        <v>150790</v>
      </c>
      <c r="C81" s="1219">
        <v>1</v>
      </c>
      <c r="D81" s="1219">
        <v>50790</v>
      </c>
      <c r="E81" s="1219" t="s">
        <v>2698</v>
      </c>
      <c r="F81" s="1217" t="s">
        <v>2681</v>
      </c>
      <c r="G81" s="1207">
        <v>1976</v>
      </c>
      <c r="H81" s="1207">
        <v>723.32999699999993</v>
      </c>
      <c r="I81" s="1207">
        <v>80</v>
      </c>
      <c r="J81" s="1207">
        <v>56</v>
      </c>
      <c r="K81" s="1207">
        <v>8</v>
      </c>
      <c r="L81" s="1208">
        <v>36210.560000000012</v>
      </c>
      <c r="M81" s="1207">
        <v>20165.519999999997</v>
      </c>
      <c r="N81" s="1207">
        <v>1476.8</v>
      </c>
      <c r="O81" s="1207">
        <v>1026.56</v>
      </c>
      <c r="P81" s="1207">
        <v>1999.9999999999998</v>
      </c>
      <c r="Q81" s="1207">
        <v>182.4</v>
      </c>
      <c r="R81" s="1209">
        <f t="shared" si="22"/>
        <v>61061.840000000011</v>
      </c>
      <c r="S81" s="1159">
        <f t="shared" si="23"/>
        <v>2843.3299969999998</v>
      </c>
      <c r="T81" s="1159">
        <f t="shared" si="24"/>
        <v>144</v>
      </c>
      <c r="U81" s="1210">
        <f t="shared" si="25"/>
        <v>2699.3299969999998</v>
      </c>
      <c r="V81" s="1211"/>
      <c r="W81" s="1212"/>
      <c r="X81" s="1213">
        <f t="shared" si="26"/>
        <v>25773.924821917819</v>
      </c>
      <c r="Y81" s="1214">
        <v>42887</v>
      </c>
      <c r="Z81" s="1220">
        <v>3.3039647577092587E-2</v>
      </c>
      <c r="AA81" s="1213">
        <f t="shared" si="27"/>
        <v>851.56139279464355</v>
      </c>
      <c r="AB81" s="1216"/>
      <c r="AC81" s="1159">
        <f t="shared" si="28"/>
        <v>39565.48139279466</v>
      </c>
      <c r="AD81" s="1214">
        <v>43252</v>
      </c>
      <c r="AE81" s="1220">
        <v>0.03</v>
      </c>
      <c r="AF81" s="1213">
        <f t="shared" si="29"/>
        <v>1186.9644417838397</v>
      </c>
    </row>
    <row r="82" spans="1:32">
      <c r="A82" s="1217">
        <v>2010</v>
      </c>
      <c r="B82" s="1219">
        <v>157531</v>
      </c>
      <c r="C82" s="1219">
        <v>1</v>
      </c>
      <c r="D82" s="1219">
        <v>57531</v>
      </c>
      <c r="E82" s="1219" t="s">
        <v>2699</v>
      </c>
      <c r="F82" s="1217" t="s">
        <v>2681</v>
      </c>
      <c r="G82" s="1207">
        <v>1080.9033319999999</v>
      </c>
      <c r="H82" s="1207">
        <v>319.80666600000001</v>
      </c>
      <c r="I82" s="1207">
        <v>40</v>
      </c>
      <c r="J82" s="1207">
        <v>32</v>
      </c>
      <c r="K82" s="1207">
        <v>2.2833329999999998</v>
      </c>
      <c r="L82" s="1208">
        <v>19629.219999999998</v>
      </c>
      <c r="M82" s="1207">
        <v>8874.2000000000007</v>
      </c>
      <c r="N82" s="1207">
        <v>726.4</v>
      </c>
      <c r="O82" s="1207">
        <v>581.12</v>
      </c>
      <c r="P82" s="1207">
        <v>850</v>
      </c>
      <c r="Q82" s="1207">
        <v>78.59</v>
      </c>
      <c r="R82" s="1209">
        <f t="shared" si="22"/>
        <v>30739.53</v>
      </c>
      <c r="S82" s="1159">
        <f t="shared" si="23"/>
        <v>1474.9933309999999</v>
      </c>
      <c r="T82" s="1159">
        <f t="shared" si="24"/>
        <v>74.283332999999999</v>
      </c>
      <c r="U82" s="1210">
        <f t="shared" si="25"/>
        <v>1400.7099979999998</v>
      </c>
      <c r="V82" s="1211"/>
      <c r="W82" s="1212"/>
      <c r="X82" s="1221"/>
      <c r="Y82" s="1214"/>
      <c r="Z82" s="1220">
        <v>0</v>
      </c>
      <c r="AA82" s="1213">
        <f t="shared" si="27"/>
        <v>0</v>
      </c>
      <c r="AB82" s="1216"/>
      <c r="AC82" s="1159">
        <f t="shared" si="28"/>
        <v>20936.739999999998</v>
      </c>
      <c r="AD82" s="1214"/>
      <c r="AE82" s="1220">
        <v>0</v>
      </c>
      <c r="AF82" s="1213">
        <f t="shared" si="29"/>
        <v>0</v>
      </c>
    </row>
    <row r="83" spans="1:32">
      <c r="A83" s="1217">
        <v>2010</v>
      </c>
      <c r="B83" s="1219">
        <v>158672</v>
      </c>
      <c r="C83" s="1219">
        <v>1</v>
      </c>
      <c r="D83" s="1219">
        <v>58672</v>
      </c>
      <c r="E83" s="1219" t="s">
        <v>2700</v>
      </c>
      <c r="F83" s="1217" t="s">
        <v>2681</v>
      </c>
      <c r="G83" s="1207">
        <v>1929.8899999999999</v>
      </c>
      <c r="H83" s="1207">
        <v>601.01000699999986</v>
      </c>
      <c r="I83" s="1207">
        <v>0</v>
      </c>
      <c r="J83" s="1207">
        <v>24</v>
      </c>
      <c r="K83" s="1207">
        <v>2.283334</v>
      </c>
      <c r="L83" s="1208">
        <v>33545.44000000001</v>
      </c>
      <c r="M83" s="1207">
        <v>16001.919999999998</v>
      </c>
      <c r="N83" s="1207">
        <v>0</v>
      </c>
      <c r="O83" s="1207">
        <v>445.44000000000005</v>
      </c>
      <c r="P83" s="1207">
        <v>399.99999999999989</v>
      </c>
      <c r="Q83" s="1207">
        <v>74.02</v>
      </c>
      <c r="R83" s="1209">
        <f t="shared" si="22"/>
        <v>50466.820000000007</v>
      </c>
      <c r="S83" s="1159">
        <f t="shared" si="23"/>
        <v>2557.1833409999999</v>
      </c>
      <c r="T83" s="1159">
        <f t="shared" si="24"/>
        <v>26.283334</v>
      </c>
      <c r="U83" s="1210">
        <f t="shared" si="25"/>
        <v>2530.9000069999997</v>
      </c>
      <c r="V83" s="1211"/>
      <c r="W83" s="1212"/>
      <c r="X83" s="1213">
        <f t="shared" si="26"/>
        <v>22629.544767123298</v>
      </c>
      <c r="Y83" s="1214">
        <v>42887</v>
      </c>
      <c r="Z83" s="1220">
        <v>0.16089108910891098</v>
      </c>
      <c r="AA83" s="1213">
        <f t="shared" si="27"/>
        <v>3640.8921036213246</v>
      </c>
      <c r="AB83" s="1216"/>
      <c r="AC83" s="1159">
        <f t="shared" si="28"/>
        <v>37631.772103621333</v>
      </c>
      <c r="AD83" s="1214">
        <v>43252</v>
      </c>
      <c r="AE83" s="1220">
        <v>0.03</v>
      </c>
      <c r="AF83" s="1213">
        <f t="shared" si="29"/>
        <v>1128.95316310864</v>
      </c>
    </row>
    <row r="84" spans="1:32">
      <c r="A84" s="1217">
        <v>2010</v>
      </c>
      <c r="B84" s="1219">
        <v>158227</v>
      </c>
      <c r="C84" s="1219">
        <v>1</v>
      </c>
      <c r="D84" s="1219">
        <v>58227</v>
      </c>
      <c r="E84" s="1219" t="s">
        <v>2701</v>
      </c>
      <c r="F84" s="1217" t="s">
        <v>2681</v>
      </c>
      <c r="G84" s="1207">
        <v>1894.4833349999997</v>
      </c>
      <c r="H84" s="1207">
        <v>458.60333600000001</v>
      </c>
      <c r="I84" s="1207">
        <v>40</v>
      </c>
      <c r="J84" s="1207">
        <v>40</v>
      </c>
      <c r="K84" s="1207">
        <v>26.416664999999998</v>
      </c>
      <c r="L84" s="1208">
        <v>33422.149900000004</v>
      </c>
      <c r="M84" s="1207">
        <v>12185.79</v>
      </c>
      <c r="N84" s="1207">
        <v>750.4</v>
      </c>
      <c r="O84" s="1207">
        <v>704</v>
      </c>
      <c r="P84" s="1207">
        <v>599.99999999999977</v>
      </c>
      <c r="Q84" s="1207">
        <v>998.06999999999994</v>
      </c>
      <c r="R84" s="1209">
        <f t="shared" si="22"/>
        <v>48660.409900000006</v>
      </c>
      <c r="S84" s="1159">
        <f t="shared" si="23"/>
        <v>2459.5033359999998</v>
      </c>
      <c r="T84" s="1159">
        <f t="shared" si="24"/>
        <v>106.41666499999999</v>
      </c>
      <c r="U84" s="1210">
        <f t="shared" si="25"/>
        <v>2353.0866709999996</v>
      </c>
      <c r="V84" s="1211"/>
      <c r="W84" s="1212"/>
      <c r="X84" s="1213">
        <f t="shared" si="26"/>
        <v>23219.18253616439</v>
      </c>
      <c r="Y84" s="1214">
        <v>42887</v>
      </c>
      <c r="Z84" s="1220">
        <v>0.16089108910891098</v>
      </c>
      <c r="AA84" s="1213">
        <f t="shared" si="27"/>
        <v>3735.7595664620944</v>
      </c>
      <c r="AB84" s="1216"/>
      <c r="AC84" s="1159">
        <f t="shared" si="28"/>
        <v>38612.309466462102</v>
      </c>
      <c r="AD84" s="1214">
        <v>43252</v>
      </c>
      <c r="AE84" s="1220">
        <v>0.03</v>
      </c>
      <c r="AF84" s="1213">
        <f t="shared" si="29"/>
        <v>1158.3692839938631</v>
      </c>
    </row>
    <row r="85" spans="1:32">
      <c r="A85" s="1217">
        <v>2010</v>
      </c>
      <c r="B85" s="1219">
        <v>155701</v>
      </c>
      <c r="C85" s="1219">
        <v>1</v>
      </c>
      <c r="D85" s="1219">
        <v>55701</v>
      </c>
      <c r="E85" s="1219" t="s">
        <v>2702</v>
      </c>
      <c r="F85" s="1217" t="s">
        <v>2681</v>
      </c>
      <c r="G85" s="1207">
        <v>1846.9000020000001</v>
      </c>
      <c r="H85" s="1207">
        <v>453.36</v>
      </c>
      <c r="I85" s="1207">
        <v>0</v>
      </c>
      <c r="J85" s="1207">
        <v>56</v>
      </c>
      <c r="K85" s="1207">
        <v>84.249999999999972</v>
      </c>
      <c r="L85" s="1208">
        <v>33824.279700000006</v>
      </c>
      <c r="M85" s="1207">
        <v>12542.54</v>
      </c>
      <c r="N85" s="1207">
        <v>0</v>
      </c>
      <c r="O85" s="1207">
        <v>1026.56</v>
      </c>
      <c r="P85" s="1207">
        <v>499.99999999999983</v>
      </c>
      <c r="Q85" s="1207">
        <v>1585.7399999999998</v>
      </c>
      <c r="R85" s="1209">
        <f t="shared" si="22"/>
        <v>49479.119700000003</v>
      </c>
      <c r="S85" s="1159">
        <f t="shared" si="23"/>
        <v>2440.510002</v>
      </c>
      <c r="T85" s="1159">
        <f t="shared" si="24"/>
        <v>140.24999999999997</v>
      </c>
      <c r="U85" s="1210">
        <f t="shared" si="25"/>
        <v>2300.260002</v>
      </c>
      <c r="V85" s="1211"/>
      <c r="W85" s="1212"/>
      <c r="X85" s="1213">
        <f t="shared" si="26"/>
        <v>23202.065882465758</v>
      </c>
      <c r="Y85" s="1214">
        <v>42887</v>
      </c>
      <c r="Z85" s="1220">
        <v>3.3039647577092587E-2</v>
      </c>
      <c r="AA85" s="1213">
        <f t="shared" si="27"/>
        <v>766.58807981715233</v>
      </c>
      <c r="AB85" s="1216"/>
      <c r="AC85" s="1159">
        <f t="shared" si="28"/>
        <v>35617.427779817153</v>
      </c>
      <c r="AD85" s="1214">
        <v>43252</v>
      </c>
      <c r="AE85" s="1220">
        <v>0.03</v>
      </c>
      <c r="AF85" s="1213">
        <f t="shared" si="29"/>
        <v>1068.5228333945145</v>
      </c>
    </row>
    <row r="86" spans="1:32">
      <c r="A86" s="1217">
        <v>2010</v>
      </c>
      <c r="B86" s="1219">
        <v>107248</v>
      </c>
      <c r="C86" s="1219">
        <v>1</v>
      </c>
      <c r="D86" s="1219">
        <v>7248</v>
      </c>
      <c r="E86" s="1219" t="s">
        <v>2703</v>
      </c>
      <c r="F86" s="1217" t="s">
        <v>2681</v>
      </c>
      <c r="G86" s="1207">
        <v>1918.383333</v>
      </c>
      <c r="H86" s="1207">
        <v>670.756666</v>
      </c>
      <c r="I86" s="1207">
        <v>40</v>
      </c>
      <c r="J86" s="1207">
        <v>56</v>
      </c>
      <c r="K86" s="1207">
        <v>9.6166669999999996</v>
      </c>
      <c r="L86" s="1208">
        <v>35163.280000000006</v>
      </c>
      <c r="M86" s="1207">
        <v>18640.229999999996</v>
      </c>
      <c r="N86" s="1207">
        <v>726.4</v>
      </c>
      <c r="O86" s="1207">
        <v>1026.56</v>
      </c>
      <c r="P86" s="1207">
        <v>1475.0000000000002</v>
      </c>
      <c r="Q86" s="1207">
        <v>212.73000000000002</v>
      </c>
      <c r="R86" s="1209">
        <f t="shared" si="22"/>
        <v>57244.200000000004</v>
      </c>
      <c r="S86" s="1159">
        <f t="shared" si="23"/>
        <v>2694.7566659999998</v>
      </c>
      <c r="T86" s="1159">
        <f t="shared" si="24"/>
        <v>105.61666700000001</v>
      </c>
      <c r="U86" s="1210">
        <f t="shared" si="25"/>
        <v>2589.139999</v>
      </c>
      <c r="V86" s="1211"/>
      <c r="W86" s="1212"/>
      <c r="X86" s="1213">
        <f t="shared" si="26"/>
        <v>24577.113205479458</v>
      </c>
      <c r="Y86" s="1214">
        <v>42887</v>
      </c>
      <c r="Z86" s="1220">
        <v>3.3039647577092587E-2</v>
      </c>
      <c r="AA86" s="1213">
        <f t="shared" si="27"/>
        <v>812.01915877134957</v>
      </c>
      <c r="AB86" s="1216"/>
      <c r="AC86" s="1159">
        <f t="shared" si="28"/>
        <v>37728.259158771354</v>
      </c>
      <c r="AD86" s="1214">
        <v>43252</v>
      </c>
      <c r="AE86" s="1220">
        <v>0.03</v>
      </c>
      <c r="AF86" s="1213">
        <f t="shared" si="29"/>
        <v>1131.8477747631405</v>
      </c>
    </row>
    <row r="87" spans="1:32">
      <c r="A87" s="1217">
        <v>2010</v>
      </c>
      <c r="B87" s="1219">
        <v>158122</v>
      </c>
      <c r="C87" s="1219">
        <v>1</v>
      </c>
      <c r="D87" s="1219">
        <v>58122</v>
      </c>
      <c r="E87" s="1219" t="s">
        <v>2704</v>
      </c>
      <c r="F87" s="1217" t="s">
        <v>2681</v>
      </c>
      <c r="G87" s="1207">
        <v>1890.7800010000001</v>
      </c>
      <c r="H87" s="1207">
        <v>290.57333199999999</v>
      </c>
      <c r="I87" s="1207">
        <v>0</v>
      </c>
      <c r="J87" s="1207">
        <v>32</v>
      </c>
      <c r="K87" s="1207">
        <v>42.113332</v>
      </c>
      <c r="L87" s="1208">
        <v>30792.970000000012</v>
      </c>
      <c r="M87" s="1207">
        <v>7340.6000000000022</v>
      </c>
      <c r="N87" s="1207">
        <v>0</v>
      </c>
      <c r="O87" s="1207">
        <v>541.91999999999996</v>
      </c>
      <c r="P87" s="1207">
        <v>409.23999999999984</v>
      </c>
      <c r="Q87" s="1207">
        <v>721.56000000000006</v>
      </c>
      <c r="R87" s="1209">
        <f t="shared" si="22"/>
        <v>39806.290000000008</v>
      </c>
      <c r="S87" s="1159">
        <f t="shared" si="23"/>
        <v>2255.4666649999999</v>
      </c>
      <c r="T87" s="1159">
        <f t="shared" si="24"/>
        <v>74.113332</v>
      </c>
      <c r="U87" s="1210">
        <f t="shared" si="25"/>
        <v>2181.353333</v>
      </c>
      <c r="V87" s="1211"/>
      <c r="W87" s="1212"/>
      <c r="X87" s="1213">
        <f t="shared" si="26"/>
        <v>26098.10016438357</v>
      </c>
      <c r="Y87" s="1214">
        <v>42948</v>
      </c>
      <c r="Z87" s="1220">
        <v>0.16089108910891065</v>
      </c>
      <c r="AA87" s="1213">
        <f t="shared" si="27"/>
        <v>4198.9517591211124</v>
      </c>
      <c r="AB87" s="1216"/>
      <c r="AC87" s="1159">
        <f t="shared" si="28"/>
        <v>35533.841759121126</v>
      </c>
      <c r="AD87" s="1214">
        <v>43252</v>
      </c>
      <c r="AE87" s="1220">
        <v>0.03</v>
      </c>
      <c r="AF87" s="1213">
        <f t="shared" si="29"/>
        <v>1066.0152527736336</v>
      </c>
    </row>
    <row r="88" spans="1:32">
      <c r="A88" s="1217">
        <v>2010</v>
      </c>
      <c r="B88" s="1219">
        <v>154335</v>
      </c>
      <c r="C88" s="1219">
        <v>1</v>
      </c>
      <c r="D88" s="1219">
        <v>54335</v>
      </c>
      <c r="E88" s="1219" t="s">
        <v>2705</v>
      </c>
      <c r="F88" s="1217" t="s">
        <v>2681</v>
      </c>
      <c r="G88" s="1207">
        <v>1833.6499989999998</v>
      </c>
      <c r="H88" s="1207">
        <v>569.33665999999994</v>
      </c>
      <c r="I88" s="1207">
        <v>56</v>
      </c>
      <c r="J88" s="1207">
        <v>56</v>
      </c>
      <c r="K88" s="1207">
        <v>22.166667</v>
      </c>
      <c r="L88" s="1208">
        <v>33576.799900000013</v>
      </c>
      <c r="M88" s="1207">
        <v>15844.000000000004</v>
      </c>
      <c r="N88" s="1207">
        <v>1040.96</v>
      </c>
      <c r="O88" s="1207">
        <v>1026.56</v>
      </c>
      <c r="P88" s="1207">
        <v>1699.9999999999998</v>
      </c>
      <c r="Q88" s="1207">
        <v>440.42999999999995</v>
      </c>
      <c r="R88" s="1209">
        <f t="shared" si="22"/>
        <v>53628.74990000001</v>
      </c>
      <c r="S88" s="1159">
        <f t="shared" si="23"/>
        <v>2537.1533259999997</v>
      </c>
      <c r="T88" s="1159">
        <f t="shared" si="24"/>
        <v>134.16666699999999</v>
      </c>
      <c r="U88" s="1210">
        <f t="shared" si="25"/>
        <v>2402.9866589999997</v>
      </c>
      <c r="V88" s="1211"/>
      <c r="W88" s="1212"/>
      <c r="X88" s="1213">
        <f t="shared" si="26"/>
        <v>23730.328043013706</v>
      </c>
      <c r="Y88" s="1214">
        <v>42887</v>
      </c>
      <c r="Z88" s="1220">
        <v>3.3039647577092587E-2</v>
      </c>
      <c r="AA88" s="1213">
        <f t="shared" si="27"/>
        <v>784.04167542997004</v>
      </c>
      <c r="AB88" s="1216"/>
      <c r="AC88" s="1159">
        <f t="shared" si="28"/>
        <v>36428.361575429983</v>
      </c>
      <c r="AD88" s="1214">
        <v>43252</v>
      </c>
      <c r="AE88" s="1220">
        <v>0.03</v>
      </c>
      <c r="AF88" s="1213">
        <f t="shared" si="29"/>
        <v>1092.8508472628994</v>
      </c>
    </row>
    <row r="89" spans="1:32">
      <c r="A89" s="1217">
        <v>2010</v>
      </c>
      <c r="B89" s="1219">
        <v>159205</v>
      </c>
      <c r="C89" s="1219">
        <v>1</v>
      </c>
      <c r="D89" s="1219">
        <v>59205</v>
      </c>
      <c r="E89" s="1219" t="s">
        <v>2706</v>
      </c>
      <c r="F89" s="1217" t="s">
        <v>2681</v>
      </c>
      <c r="G89" s="1207">
        <v>1111.5000010000001</v>
      </c>
      <c r="H89" s="1207">
        <v>262.73666900000001</v>
      </c>
      <c r="I89" s="1207">
        <v>0</v>
      </c>
      <c r="J89" s="1207">
        <v>16</v>
      </c>
      <c r="K89" s="1207">
        <v>7.5999989999999995</v>
      </c>
      <c r="L89" s="1208">
        <v>18229.759999999998</v>
      </c>
      <c r="M89" s="1207">
        <v>6460.35</v>
      </c>
      <c r="N89" s="1207">
        <v>0</v>
      </c>
      <c r="O89" s="1207">
        <v>262.56</v>
      </c>
      <c r="P89" s="1207">
        <v>0</v>
      </c>
      <c r="Q89" s="1207">
        <v>162.81</v>
      </c>
      <c r="R89" s="1209">
        <f t="shared" si="22"/>
        <v>25115.480000000003</v>
      </c>
      <c r="S89" s="1159">
        <f t="shared" si="23"/>
        <v>1397.8366690000003</v>
      </c>
      <c r="T89" s="1159">
        <f t="shared" si="24"/>
        <v>23.599999</v>
      </c>
      <c r="U89" s="1210">
        <f t="shared" si="25"/>
        <v>1374.2366700000002</v>
      </c>
      <c r="V89" s="1211"/>
      <c r="W89" s="1212"/>
      <c r="X89" s="1213">
        <f t="shared" si="26"/>
        <v>16972.403287671234</v>
      </c>
      <c r="Y89" s="1214">
        <v>42979</v>
      </c>
      <c r="Z89" s="1220">
        <v>0.16089108910891065</v>
      </c>
      <c r="AA89" s="1213">
        <f t="shared" si="27"/>
        <v>2730.7084497490805</v>
      </c>
      <c r="AB89" s="1216"/>
      <c r="AC89" s="1159">
        <f t="shared" si="28"/>
        <v>21223.028449749079</v>
      </c>
      <c r="AD89" s="1214">
        <v>43252</v>
      </c>
      <c r="AE89" s="1220">
        <v>0.03</v>
      </c>
      <c r="AF89" s="1213">
        <f t="shared" si="29"/>
        <v>636.69085349247234</v>
      </c>
    </row>
    <row r="90" spans="1:32">
      <c r="A90" s="1217">
        <v>2010</v>
      </c>
      <c r="B90" s="1219">
        <v>156312</v>
      </c>
      <c r="C90" s="1219">
        <v>1</v>
      </c>
      <c r="D90" s="1219">
        <v>56312</v>
      </c>
      <c r="E90" s="1219" t="s">
        <v>2707</v>
      </c>
      <c r="F90" s="1217" t="s">
        <v>2681</v>
      </c>
      <c r="G90" s="1207">
        <v>1798.6399980000001</v>
      </c>
      <c r="H90" s="1207">
        <v>426.95000400000004</v>
      </c>
      <c r="I90" s="1207">
        <v>72</v>
      </c>
      <c r="J90" s="1207">
        <v>48</v>
      </c>
      <c r="K90" s="1207">
        <v>45.150001000000003</v>
      </c>
      <c r="L90" s="1208">
        <v>32960.840000000004</v>
      </c>
      <c r="M90" s="1207">
        <v>11810.11</v>
      </c>
      <c r="N90" s="1207">
        <v>1326.72</v>
      </c>
      <c r="O90" s="1207">
        <v>881.28</v>
      </c>
      <c r="P90" s="1207">
        <v>600</v>
      </c>
      <c r="Q90" s="1207">
        <v>861.93999999999994</v>
      </c>
      <c r="R90" s="1209">
        <f t="shared" si="22"/>
        <v>48440.890000000007</v>
      </c>
      <c r="S90" s="1159">
        <f t="shared" si="23"/>
        <v>2390.7400029999999</v>
      </c>
      <c r="T90" s="1159">
        <f t="shared" si="24"/>
        <v>165.150001</v>
      </c>
      <c r="U90" s="1210">
        <f t="shared" si="25"/>
        <v>2225.5900019999999</v>
      </c>
      <c r="V90" s="1211"/>
      <c r="W90" s="1212"/>
      <c r="X90" s="1213">
        <f t="shared" si="26"/>
        <v>23413.775671232881</v>
      </c>
      <c r="Y90" s="1214">
        <v>42887</v>
      </c>
      <c r="Z90" s="1220">
        <v>3.3039647577092587E-2</v>
      </c>
      <c r="AA90" s="1213">
        <f t="shared" si="27"/>
        <v>773.58289662663879</v>
      </c>
      <c r="AB90" s="1216"/>
      <c r="AC90" s="1159">
        <f t="shared" si="28"/>
        <v>35942.422896626646</v>
      </c>
      <c r="AD90" s="1214">
        <v>43252</v>
      </c>
      <c r="AE90" s="1220">
        <v>0.03</v>
      </c>
      <c r="AF90" s="1213">
        <f t="shared" si="29"/>
        <v>1078.2726868987993</v>
      </c>
    </row>
    <row r="91" spans="1:32">
      <c r="A91" s="1217">
        <v>2010</v>
      </c>
      <c r="B91" s="1219">
        <v>159206</v>
      </c>
      <c r="C91" s="1219">
        <v>1</v>
      </c>
      <c r="D91" s="1219">
        <v>59206</v>
      </c>
      <c r="E91" s="1219" t="s">
        <v>2708</v>
      </c>
      <c r="F91" s="1217" t="s">
        <v>2681</v>
      </c>
      <c r="G91" s="1207">
        <v>1527.383335</v>
      </c>
      <c r="H91" s="1207">
        <v>367.84333300000003</v>
      </c>
      <c r="I91" s="1207">
        <v>0</v>
      </c>
      <c r="J91" s="1207">
        <v>24</v>
      </c>
      <c r="K91" s="1207">
        <v>24.949998000000001</v>
      </c>
      <c r="L91" s="1208">
        <v>25271.840000000007</v>
      </c>
      <c r="M91" s="1207">
        <v>9300.7700000000023</v>
      </c>
      <c r="N91" s="1207">
        <v>0</v>
      </c>
      <c r="O91" s="1207">
        <v>412.64</v>
      </c>
      <c r="P91" s="1207">
        <v>200.00000000000009</v>
      </c>
      <c r="Q91" s="1207">
        <v>442.35</v>
      </c>
      <c r="R91" s="1209">
        <f t="shared" si="22"/>
        <v>35627.600000000006</v>
      </c>
      <c r="S91" s="1159">
        <f t="shared" si="23"/>
        <v>1944.1766660000001</v>
      </c>
      <c r="T91" s="1159">
        <f t="shared" si="24"/>
        <v>48.949998000000001</v>
      </c>
      <c r="U91" s="1210">
        <f t="shared" si="25"/>
        <v>1895.226668</v>
      </c>
      <c r="V91" s="1211"/>
      <c r="W91" s="1212"/>
      <c r="X91" s="1213">
        <f t="shared" si="26"/>
        <v>21392.005260273978</v>
      </c>
      <c r="Y91" s="1214">
        <v>42948</v>
      </c>
      <c r="Z91" s="1220">
        <v>0.16089108910891065</v>
      </c>
      <c r="AA91" s="1213">
        <f t="shared" si="27"/>
        <v>3441.7830245490259</v>
      </c>
      <c r="AB91" s="1216"/>
      <c r="AC91" s="1159">
        <f t="shared" si="28"/>
        <v>29126.263024549033</v>
      </c>
      <c r="AD91" s="1214">
        <v>43252</v>
      </c>
      <c r="AE91" s="1220">
        <v>0.03</v>
      </c>
      <c r="AF91" s="1213">
        <f t="shared" si="29"/>
        <v>873.7878907364709</v>
      </c>
    </row>
    <row r="92" spans="1:32">
      <c r="A92" s="1217">
        <v>2010</v>
      </c>
      <c r="B92" s="1219">
        <v>158868</v>
      </c>
      <c r="C92" s="1219">
        <v>1</v>
      </c>
      <c r="D92" s="1219">
        <v>58868</v>
      </c>
      <c r="E92" s="1219" t="s">
        <v>2709</v>
      </c>
      <c r="F92" s="1217" t="s">
        <v>2681</v>
      </c>
      <c r="G92" s="1207">
        <v>1418.637702</v>
      </c>
      <c r="H92" s="1207">
        <v>210.503333</v>
      </c>
      <c r="I92" s="1207">
        <v>0</v>
      </c>
      <c r="J92" s="1207">
        <v>24</v>
      </c>
      <c r="K92" s="1207">
        <v>63.100030999999994</v>
      </c>
      <c r="L92" s="1208">
        <v>23101.430199999999</v>
      </c>
      <c r="M92" s="1207">
        <v>5133.2099999999991</v>
      </c>
      <c r="N92" s="1207">
        <v>0</v>
      </c>
      <c r="O92" s="1207">
        <v>391.84000000000003</v>
      </c>
      <c r="P92" s="1207">
        <v>0</v>
      </c>
      <c r="Q92" s="1207">
        <v>1072.5000000000002</v>
      </c>
      <c r="R92" s="1209">
        <f t="shared" si="22"/>
        <v>29698.980199999998</v>
      </c>
      <c r="S92" s="1159">
        <f t="shared" si="23"/>
        <v>1716.241066</v>
      </c>
      <c r="T92" s="1159">
        <f t="shared" si="24"/>
        <v>87.100031000000001</v>
      </c>
      <c r="U92" s="1210">
        <f t="shared" si="25"/>
        <v>1629.1410350000001</v>
      </c>
      <c r="V92" s="1211"/>
      <c r="W92" s="1212"/>
      <c r="X92" s="1213">
        <f t="shared" si="26"/>
        <v>15640.725092054794</v>
      </c>
      <c r="Y92" s="1214">
        <v>42887</v>
      </c>
      <c r="Z92" s="1220">
        <v>3.094059405940594E-2</v>
      </c>
      <c r="AA92" s="1213">
        <f t="shared" si="27"/>
        <v>483.933325868032</v>
      </c>
      <c r="AB92" s="1216"/>
      <c r="AC92" s="1159">
        <f t="shared" si="28"/>
        <v>23977.20352586803</v>
      </c>
      <c r="AD92" s="1214">
        <v>43252</v>
      </c>
      <c r="AE92" s="1220">
        <v>0.1598319327731092</v>
      </c>
      <c r="AF92" s="1213">
        <f t="shared" si="29"/>
        <v>3832.3227820336956</v>
      </c>
    </row>
    <row r="93" spans="1:32">
      <c r="A93" s="1217">
        <v>2010</v>
      </c>
      <c r="B93" s="1219">
        <v>300950</v>
      </c>
      <c r="C93" s="1219">
        <v>3</v>
      </c>
      <c r="D93" s="1219">
        <v>950</v>
      </c>
      <c r="E93" s="1219" t="s">
        <v>2710</v>
      </c>
      <c r="F93" s="1217" t="s">
        <v>2681</v>
      </c>
      <c r="G93" s="1207">
        <v>799.28333399999997</v>
      </c>
      <c r="H93" s="1207">
        <v>209.13333600000001</v>
      </c>
      <c r="I93" s="1207">
        <v>0</v>
      </c>
      <c r="J93" s="1207">
        <v>8</v>
      </c>
      <c r="K93" s="1207">
        <v>12.800000000000002</v>
      </c>
      <c r="L93" s="1208">
        <v>13699.359999999997</v>
      </c>
      <c r="M93" s="1207">
        <v>5427.78</v>
      </c>
      <c r="N93" s="1207">
        <v>0</v>
      </c>
      <c r="O93" s="1207">
        <v>150.08000000000001</v>
      </c>
      <c r="P93" s="1207">
        <v>0</v>
      </c>
      <c r="Q93" s="1207">
        <v>209.50000000000003</v>
      </c>
      <c r="R93" s="1209">
        <f t="shared" si="22"/>
        <v>19486.719999999998</v>
      </c>
      <c r="S93" s="1159">
        <f t="shared" si="23"/>
        <v>1029.21667</v>
      </c>
      <c r="T93" s="1159">
        <f t="shared" si="24"/>
        <v>20.800000000000004</v>
      </c>
      <c r="U93" s="1210">
        <f t="shared" si="25"/>
        <v>1008.4166700000001</v>
      </c>
      <c r="V93" s="1211"/>
      <c r="W93" s="1212"/>
      <c r="X93" s="1213">
        <f t="shared" si="26"/>
        <v>11534.876054794518</v>
      </c>
      <c r="Y93" s="1214">
        <v>42948</v>
      </c>
      <c r="Z93" s="1220">
        <v>0.16089108910891065</v>
      </c>
      <c r="AA93" s="1213">
        <f t="shared" si="27"/>
        <v>1855.8587711921846</v>
      </c>
      <c r="AB93" s="1216"/>
      <c r="AC93" s="1159">
        <f t="shared" si="28"/>
        <v>15705.298771192181</v>
      </c>
      <c r="AD93" s="1214">
        <v>43252</v>
      </c>
      <c r="AE93" s="1220">
        <v>0.03</v>
      </c>
      <c r="AF93" s="1213">
        <f t="shared" si="29"/>
        <v>471.15896313576542</v>
      </c>
    </row>
    <row r="94" spans="1:32">
      <c r="A94" s="1217">
        <v>2010</v>
      </c>
      <c r="B94" s="1219">
        <v>154658</v>
      </c>
      <c r="C94" s="1219">
        <v>1</v>
      </c>
      <c r="D94" s="1219">
        <v>54658</v>
      </c>
      <c r="E94" s="1219" t="s">
        <v>2711</v>
      </c>
      <c r="F94" s="1217" t="s">
        <v>2681</v>
      </c>
      <c r="G94" s="1207">
        <v>1846.6766670000002</v>
      </c>
      <c r="H94" s="1207">
        <v>526.893327</v>
      </c>
      <c r="I94" s="1207">
        <v>80</v>
      </c>
      <c r="J94" s="1207">
        <v>56</v>
      </c>
      <c r="K94" s="1207">
        <v>8.15</v>
      </c>
      <c r="L94" s="1208">
        <v>33791.73000000001</v>
      </c>
      <c r="M94" s="1207">
        <v>14607.890000000003</v>
      </c>
      <c r="N94" s="1207">
        <v>1476.8</v>
      </c>
      <c r="O94" s="1207">
        <v>1026.56</v>
      </c>
      <c r="P94" s="1207">
        <v>1199.9999999999998</v>
      </c>
      <c r="Q94" s="1207">
        <v>185.14</v>
      </c>
      <c r="R94" s="1209">
        <f t="shared" si="22"/>
        <v>52288.12000000001</v>
      </c>
      <c r="S94" s="1159">
        <f t="shared" si="23"/>
        <v>2517.7199940000005</v>
      </c>
      <c r="T94" s="1159">
        <f t="shared" si="24"/>
        <v>144.15</v>
      </c>
      <c r="U94" s="1210">
        <f t="shared" si="25"/>
        <v>2373.5699940000004</v>
      </c>
      <c r="V94" s="1211"/>
      <c r="W94" s="1212"/>
      <c r="X94" s="1213">
        <f t="shared" si="26"/>
        <v>24163.580465753432</v>
      </c>
      <c r="Y94" s="1214">
        <v>42887</v>
      </c>
      <c r="Z94" s="1220">
        <v>3.3039647577092587E-2</v>
      </c>
      <c r="AA94" s="1213">
        <f t="shared" si="27"/>
        <v>798.3561827892122</v>
      </c>
      <c r="AB94" s="1216"/>
      <c r="AC94" s="1159">
        <f t="shared" si="28"/>
        <v>37093.446182789223</v>
      </c>
      <c r="AD94" s="1214">
        <v>43252</v>
      </c>
      <c r="AE94" s="1220">
        <v>0.03</v>
      </c>
      <c r="AF94" s="1213">
        <f t="shared" si="29"/>
        <v>1112.8033854836767</v>
      </c>
    </row>
    <row r="95" spans="1:32">
      <c r="A95" s="1217">
        <v>2010</v>
      </c>
      <c r="B95" s="1219">
        <v>150679</v>
      </c>
      <c r="C95" s="1219">
        <v>1</v>
      </c>
      <c r="D95" s="1219">
        <v>50679</v>
      </c>
      <c r="E95" s="1219" t="s">
        <v>2712</v>
      </c>
      <c r="F95" s="1217" t="s">
        <v>2681</v>
      </c>
      <c r="G95" s="1207">
        <v>1642.716668</v>
      </c>
      <c r="H95" s="1207">
        <v>479.07666499999993</v>
      </c>
      <c r="I95" s="1207">
        <v>40</v>
      </c>
      <c r="J95" s="1207">
        <v>56</v>
      </c>
      <c r="K95" s="1207">
        <v>0.18333300000000002</v>
      </c>
      <c r="L95" s="1208">
        <v>30081.27</v>
      </c>
      <c r="M95" s="1207">
        <v>13314.449999999999</v>
      </c>
      <c r="N95" s="1207">
        <v>745.6</v>
      </c>
      <c r="O95" s="1207">
        <v>1026.56</v>
      </c>
      <c r="P95" s="1207">
        <v>1300</v>
      </c>
      <c r="Q95" s="1207">
        <v>40.56</v>
      </c>
      <c r="R95" s="1209">
        <f t="shared" si="22"/>
        <v>46508.439999999995</v>
      </c>
      <c r="S95" s="1159">
        <f t="shared" si="23"/>
        <v>2217.976666</v>
      </c>
      <c r="T95" s="1159">
        <f t="shared" si="24"/>
        <v>96.183333000000005</v>
      </c>
      <c r="U95" s="1210">
        <f t="shared" si="25"/>
        <v>2121.7933330000001</v>
      </c>
      <c r="V95" s="1211"/>
      <c r="W95" s="1212"/>
      <c r="X95" s="1213">
        <f t="shared" si="26"/>
        <v>21206.530109589043</v>
      </c>
      <c r="Y95" s="1214">
        <v>42887</v>
      </c>
      <c r="Z95" s="1220">
        <v>3.3039647577092587E-2</v>
      </c>
      <c r="AA95" s="1213">
        <f t="shared" si="27"/>
        <v>700.65628115382458</v>
      </c>
      <c r="AB95" s="1216"/>
      <c r="AC95" s="1159">
        <f t="shared" si="28"/>
        <v>32554.086281153825</v>
      </c>
      <c r="AD95" s="1214">
        <v>43252</v>
      </c>
      <c r="AE95" s="1220">
        <v>0.03</v>
      </c>
      <c r="AF95" s="1213">
        <f t="shared" si="29"/>
        <v>976.62258843461473</v>
      </c>
    </row>
    <row r="96" spans="1:32">
      <c r="A96" s="1217">
        <v>2010</v>
      </c>
      <c r="B96" s="1219">
        <v>158971</v>
      </c>
      <c r="C96" s="1219">
        <v>1</v>
      </c>
      <c r="D96" s="1219">
        <v>58971</v>
      </c>
      <c r="E96" s="1219" t="s">
        <v>2713</v>
      </c>
      <c r="F96" s="1217" t="s">
        <v>2681</v>
      </c>
      <c r="G96" s="1207">
        <v>1898.4699989999997</v>
      </c>
      <c r="H96" s="1207">
        <v>617.77333800000008</v>
      </c>
      <c r="I96" s="1207">
        <v>0</v>
      </c>
      <c r="J96" s="1207">
        <v>24</v>
      </c>
      <c r="K96" s="1207">
        <v>10.433333999999999</v>
      </c>
      <c r="L96" s="1208">
        <v>33714.659900000013</v>
      </c>
      <c r="M96" s="1207">
        <v>16710.780000000002</v>
      </c>
      <c r="N96" s="1207">
        <v>0</v>
      </c>
      <c r="O96" s="1207">
        <v>445.44000000000005</v>
      </c>
      <c r="P96" s="1207">
        <v>949.99999999999977</v>
      </c>
      <c r="Q96" s="1207">
        <v>426.76</v>
      </c>
      <c r="R96" s="1209">
        <f t="shared" si="22"/>
        <v>52247.639900000016</v>
      </c>
      <c r="S96" s="1159">
        <f t="shared" si="23"/>
        <v>2550.6766709999997</v>
      </c>
      <c r="T96" s="1159">
        <f t="shared" si="24"/>
        <v>34.433334000000002</v>
      </c>
      <c r="U96" s="1210">
        <f t="shared" si="25"/>
        <v>2516.2433369999999</v>
      </c>
      <c r="V96" s="1211"/>
      <c r="W96" s="1212"/>
      <c r="X96" s="1213">
        <f t="shared" si="26"/>
        <v>22742.203495068505</v>
      </c>
      <c r="Y96" s="1214">
        <v>42887</v>
      </c>
      <c r="Z96" s="1220">
        <v>0.16089108910891098</v>
      </c>
      <c r="AA96" s="1213">
        <f t="shared" si="27"/>
        <v>3659.0178890580537</v>
      </c>
      <c r="AB96" s="1216"/>
      <c r="AC96" s="1159">
        <f t="shared" si="28"/>
        <v>37819.117789058073</v>
      </c>
      <c r="AD96" s="1214">
        <v>43252</v>
      </c>
      <c r="AE96" s="1220">
        <v>0.03</v>
      </c>
      <c r="AF96" s="1213">
        <f t="shared" si="29"/>
        <v>1134.5735336717421</v>
      </c>
    </row>
    <row r="97" spans="1:32">
      <c r="A97" s="1217">
        <v>2010</v>
      </c>
      <c r="B97" s="1219">
        <v>150223</v>
      </c>
      <c r="C97" s="1219">
        <v>1</v>
      </c>
      <c r="D97" s="1219">
        <v>50223</v>
      </c>
      <c r="E97" s="1219" t="s">
        <v>2714</v>
      </c>
      <c r="F97" s="1217" t="s">
        <v>2681</v>
      </c>
      <c r="G97" s="1207">
        <v>1825.1499980000006</v>
      </c>
      <c r="H97" s="1207">
        <v>226.426671</v>
      </c>
      <c r="I97" s="1207">
        <v>96</v>
      </c>
      <c r="J97" s="1207">
        <v>56</v>
      </c>
      <c r="K97" s="1207">
        <v>49.950001999999991</v>
      </c>
      <c r="L97" s="1208">
        <v>33426.5101</v>
      </c>
      <c r="M97" s="1207">
        <v>6321.2300000000005</v>
      </c>
      <c r="N97" s="1207">
        <v>1772.1599999999999</v>
      </c>
      <c r="O97" s="1207">
        <v>1026.56</v>
      </c>
      <c r="P97" s="1207">
        <v>1799.9999999999998</v>
      </c>
      <c r="Q97" s="1207">
        <v>955.95000000000027</v>
      </c>
      <c r="R97" s="1209">
        <f t="shared" si="22"/>
        <v>45302.410099999994</v>
      </c>
      <c r="S97" s="1159">
        <f t="shared" si="23"/>
        <v>2253.5266710000005</v>
      </c>
      <c r="T97" s="1159">
        <f t="shared" si="24"/>
        <v>201.95000199999998</v>
      </c>
      <c r="U97" s="1210">
        <f t="shared" si="25"/>
        <v>2051.5766690000005</v>
      </c>
      <c r="V97" s="1211"/>
      <c r="W97" s="1212"/>
      <c r="X97" s="1213">
        <f t="shared" si="26"/>
        <v>24117.070998082192</v>
      </c>
      <c r="Y97" s="1214">
        <v>42887</v>
      </c>
      <c r="Z97" s="1220">
        <v>3.3039647577092587E-2</v>
      </c>
      <c r="AA97" s="1213">
        <f t="shared" si="27"/>
        <v>796.81952636835615</v>
      </c>
      <c r="AB97" s="1216"/>
      <c r="AC97" s="1159">
        <f t="shared" si="28"/>
        <v>37022.04962636836</v>
      </c>
      <c r="AD97" s="1214">
        <v>43252</v>
      </c>
      <c r="AE97" s="1220">
        <v>0.03</v>
      </c>
      <c r="AF97" s="1213">
        <f t="shared" si="29"/>
        <v>1110.6614887910507</v>
      </c>
    </row>
    <row r="98" spans="1:32">
      <c r="A98" s="1217">
        <v>2010</v>
      </c>
      <c r="B98" s="1219">
        <v>152797</v>
      </c>
      <c r="C98" s="1219">
        <v>1</v>
      </c>
      <c r="D98" s="1219">
        <v>52797</v>
      </c>
      <c r="E98" s="1219" t="s">
        <v>2715</v>
      </c>
      <c r="F98" s="1217" t="s">
        <v>2681</v>
      </c>
      <c r="G98" s="1207">
        <v>1724.5999979999999</v>
      </c>
      <c r="H98" s="1207">
        <v>488.93333700000005</v>
      </c>
      <c r="I98" s="1207">
        <v>88</v>
      </c>
      <c r="J98" s="1207">
        <v>40</v>
      </c>
      <c r="K98" s="1207">
        <v>36.000001999999995</v>
      </c>
      <c r="L98" s="1208">
        <v>31526.050000000007</v>
      </c>
      <c r="M98" s="1207">
        <v>13592.05</v>
      </c>
      <c r="N98" s="1207">
        <v>1646.08</v>
      </c>
      <c r="O98" s="1207">
        <v>731.2</v>
      </c>
      <c r="P98" s="1207">
        <v>1699.9999999999998</v>
      </c>
      <c r="Q98" s="1207">
        <v>694.93999999999994</v>
      </c>
      <c r="R98" s="1209">
        <f t="shared" si="22"/>
        <v>49890.320000000007</v>
      </c>
      <c r="S98" s="1159">
        <f t="shared" si="23"/>
        <v>2377.5333369999998</v>
      </c>
      <c r="T98" s="1159">
        <f t="shared" si="24"/>
        <v>164.00000199999999</v>
      </c>
      <c r="U98" s="1210">
        <f t="shared" si="25"/>
        <v>2213.5333350000001</v>
      </c>
      <c r="V98" s="1211"/>
      <c r="W98" s="1212"/>
      <c r="X98" s="1213">
        <f t="shared" si="26"/>
        <v>22571.258054794522</v>
      </c>
      <c r="Y98" s="1214">
        <v>42887</v>
      </c>
      <c r="Z98" s="1220">
        <v>3.3039647577092587E-2</v>
      </c>
      <c r="AA98" s="1213">
        <f t="shared" si="27"/>
        <v>745.74641150202342</v>
      </c>
      <c r="AB98" s="1216"/>
      <c r="AC98" s="1159">
        <f t="shared" si="28"/>
        <v>34649.076411502028</v>
      </c>
      <c r="AD98" s="1214">
        <v>43252</v>
      </c>
      <c r="AE98" s="1220">
        <v>0.03</v>
      </c>
      <c r="AF98" s="1213">
        <f t="shared" si="29"/>
        <v>1039.4722923450609</v>
      </c>
    </row>
    <row r="99" spans="1:32">
      <c r="A99" s="1217">
        <v>2010</v>
      </c>
      <c r="B99" s="1219">
        <v>301174</v>
      </c>
      <c r="C99" s="1219">
        <v>3</v>
      </c>
      <c r="D99" s="1219">
        <v>1174</v>
      </c>
      <c r="E99" s="1219" t="s">
        <v>2716</v>
      </c>
      <c r="F99" s="1217" t="s">
        <v>2681</v>
      </c>
      <c r="G99" s="1207">
        <v>662.99999900000012</v>
      </c>
      <c r="H99" s="1207">
        <v>180.13333800000004</v>
      </c>
      <c r="I99" s="1207">
        <v>0</v>
      </c>
      <c r="J99" s="1207">
        <v>0</v>
      </c>
      <c r="K99" s="1207">
        <v>20.933334000000002</v>
      </c>
      <c r="L99" s="1208">
        <v>10969.609999999999</v>
      </c>
      <c r="M99" s="1207">
        <v>4460.7699999999995</v>
      </c>
      <c r="N99" s="1207">
        <v>0</v>
      </c>
      <c r="O99" s="1207">
        <v>0</v>
      </c>
      <c r="P99" s="1207">
        <v>0</v>
      </c>
      <c r="Q99" s="1207">
        <v>348.77</v>
      </c>
      <c r="R99" s="1209">
        <f t="shared" si="22"/>
        <v>15779.149999999998</v>
      </c>
      <c r="S99" s="1159">
        <f t="shared" si="23"/>
        <v>864.06667100000027</v>
      </c>
      <c r="T99" s="1159">
        <f t="shared" si="24"/>
        <v>20.933334000000002</v>
      </c>
      <c r="U99" s="1210">
        <f t="shared" si="25"/>
        <v>843.13333700000021</v>
      </c>
      <c r="V99" s="1211"/>
      <c r="W99" s="1212"/>
      <c r="X99" s="1213">
        <f t="shared" si="26"/>
        <v>7303.0554246575339</v>
      </c>
      <c r="Y99" s="1214">
        <v>42887</v>
      </c>
      <c r="Z99" s="1220">
        <v>3.094059405940594E-2</v>
      </c>
      <c r="AA99" s="1213">
        <f t="shared" si="27"/>
        <v>225.96087328767121</v>
      </c>
      <c r="AB99" s="1216"/>
      <c r="AC99" s="1159">
        <f t="shared" si="28"/>
        <v>11195.57087328767</v>
      </c>
      <c r="AD99" s="1214">
        <v>43252</v>
      </c>
      <c r="AE99" s="1220">
        <v>0.1598319327731092</v>
      </c>
      <c r="AF99" s="1213">
        <f t="shared" si="29"/>
        <v>1789.4097311758944</v>
      </c>
    </row>
    <row r="100" spans="1:32">
      <c r="A100" s="1240"/>
      <c r="B100" s="1223"/>
      <c r="C100" s="1223"/>
      <c r="D100" s="1223"/>
      <c r="E100" s="1229"/>
      <c r="F100" s="1217"/>
      <c r="G100" s="1207"/>
      <c r="H100" s="1207"/>
      <c r="I100" s="1207"/>
      <c r="J100" s="1207"/>
      <c r="K100" s="1207"/>
      <c r="L100" s="1208"/>
      <c r="M100" s="1207"/>
      <c r="N100" s="1207"/>
      <c r="O100" s="1207"/>
      <c r="P100" s="1207"/>
      <c r="Q100" s="1207"/>
      <c r="R100" s="1209"/>
      <c r="U100" s="1210"/>
      <c r="V100" s="1211"/>
      <c r="W100" s="1212"/>
      <c r="X100" s="1213"/>
      <c r="Y100" s="1214"/>
      <c r="Z100" s="1215"/>
      <c r="AA100" s="1213"/>
      <c r="AB100" s="1216"/>
      <c r="AC100" s="1159"/>
      <c r="AD100" s="1214"/>
      <c r="AE100" s="1215"/>
      <c r="AF100" s="1213"/>
    </row>
    <row r="101" spans="1:32">
      <c r="A101" s="1217"/>
      <c r="B101" s="1223"/>
      <c r="C101" s="1223"/>
      <c r="D101" s="1223"/>
      <c r="E101" s="1229" t="s">
        <v>2717</v>
      </c>
      <c r="F101" s="1217"/>
      <c r="G101" s="1230">
        <f>+SUM(G65:G100)</f>
        <v>57043.267665999992</v>
      </c>
      <c r="H101" s="1230">
        <f t="shared" ref="H101:K101" si="30">+SUM(H65:H100)</f>
        <v>15018.996717000004</v>
      </c>
      <c r="I101" s="1230">
        <f t="shared" si="30"/>
        <v>1295.7</v>
      </c>
      <c r="J101" s="1230">
        <f t="shared" si="30"/>
        <v>1292</v>
      </c>
      <c r="K101" s="1230">
        <f t="shared" si="30"/>
        <v>838.70336599999996</v>
      </c>
      <c r="L101" s="1241">
        <f>+SUM(L65:L100)</f>
        <v>1022222.4495999998</v>
      </c>
      <c r="M101" s="1230">
        <f t="shared" ref="M101:Q101" si="31">+SUM(M65:M100)</f>
        <v>408394.61</v>
      </c>
      <c r="N101" s="1230">
        <f t="shared" si="31"/>
        <v>24327.739999999998</v>
      </c>
      <c r="O101" s="1230">
        <f t="shared" si="31"/>
        <v>23870.120000000006</v>
      </c>
      <c r="P101" s="1230">
        <f t="shared" si="31"/>
        <v>26400.45</v>
      </c>
      <c r="Q101" s="1230">
        <f t="shared" si="31"/>
        <v>17412.23</v>
      </c>
      <c r="R101" s="1232">
        <f>+SUM(R65:R100)</f>
        <v>1522627.5996000001</v>
      </c>
      <c r="S101" s="1242">
        <f>+SUM(S65:S100)</f>
        <v>75488.667748999986</v>
      </c>
      <c r="T101" s="1242">
        <f t="shared" ref="T101:AF101" si="32">+SUM(T65:T100)</f>
        <v>3426.4033659999991</v>
      </c>
      <c r="U101" s="1242">
        <f t="shared" si="32"/>
        <v>72062.264383000002</v>
      </c>
      <c r="V101" s="1242"/>
      <c r="W101" s="1242"/>
      <c r="X101" s="1242">
        <f t="shared" si="32"/>
        <v>710410.74039123289</v>
      </c>
      <c r="Y101" s="1242"/>
      <c r="Z101" s="1242"/>
      <c r="AA101" s="1242">
        <f t="shared" si="32"/>
        <v>51238.753896354065</v>
      </c>
      <c r="AB101" s="1242"/>
      <c r="AC101" s="1242">
        <f t="shared" si="32"/>
        <v>1121659.0634963543</v>
      </c>
      <c r="AD101" s="1242"/>
      <c r="AE101" s="1242"/>
      <c r="AF101" s="1242">
        <f t="shared" si="32"/>
        <v>35790.384515296428</v>
      </c>
    </row>
    <row r="102" spans="1:32">
      <c r="A102" s="1240"/>
      <c r="B102" s="1223"/>
      <c r="C102" s="1223"/>
      <c r="D102" s="1223"/>
      <c r="E102" s="1229"/>
      <c r="F102" s="1217"/>
      <c r="G102" s="1207"/>
      <c r="H102" s="1207"/>
      <c r="I102" s="1207"/>
      <c r="J102" s="1207"/>
      <c r="K102" s="1207"/>
      <c r="L102" s="1208"/>
      <c r="M102" s="1207"/>
      <c r="N102" s="1207"/>
      <c r="O102" s="1207"/>
      <c r="P102" s="1207"/>
      <c r="Q102" s="1207"/>
      <c r="R102" s="1209"/>
      <c r="U102" s="1210"/>
      <c r="V102" s="1211"/>
      <c r="W102" s="1212"/>
      <c r="X102" s="1213"/>
      <c r="Y102" s="1214"/>
      <c r="Z102" s="1215"/>
      <c r="AA102" s="1213"/>
      <c r="AB102" s="1216"/>
      <c r="AC102" s="1159"/>
      <c r="AD102" s="1214"/>
      <c r="AE102" s="1215"/>
      <c r="AF102" s="1213"/>
    </row>
    <row r="103" spans="1:32">
      <c r="A103" s="1203" t="s">
        <v>23</v>
      </c>
      <c r="B103" s="1204"/>
      <c r="C103" s="1204"/>
      <c r="D103" s="1204"/>
      <c r="E103" s="1239"/>
      <c r="F103" s="1206"/>
      <c r="G103" s="1207"/>
      <c r="H103" s="1207"/>
      <c r="I103" s="1207"/>
      <c r="J103" s="1207"/>
      <c r="K103" s="1207"/>
      <c r="L103" s="1208"/>
      <c r="M103" s="1207"/>
      <c r="N103" s="1207"/>
      <c r="O103" s="1207"/>
      <c r="P103" s="1207"/>
      <c r="Q103" s="1207"/>
      <c r="R103" s="1209"/>
      <c r="U103" s="1210"/>
      <c r="V103" s="1211"/>
      <c r="W103" s="1212"/>
      <c r="X103" s="1213"/>
      <c r="Y103" s="1214"/>
      <c r="Z103" s="1215"/>
      <c r="AA103" s="1213"/>
      <c r="AB103" s="1216"/>
      <c r="AC103" s="1159"/>
      <c r="AD103" s="1214"/>
      <c r="AE103" s="1215"/>
      <c r="AF103" s="1213"/>
    </row>
    <row r="104" spans="1:32">
      <c r="A104" s="1217">
        <v>2010</v>
      </c>
      <c r="B104" s="1219">
        <v>152849</v>
      </c>
      <c r="C104" s="1219">
        <v>1</v>
      </c>
      <c r="D104" s="1219">
        <v>52849</v>
      </c>
      <c r="E104" s="1219" t="s">
        <v>2718</v>
      </c>
      <c r="F104" s="1217" t="s">
        <v>2960</v>
      </c>
      <c r="G104" s="1207">
        <v>1957.4799999999998</v>
      </c>
      <c r="H104" s="1207">
        <v>743.40333399999986</v>
      </c>
      <c r="I104" s="1207">
        <v>48</v>
      </c>
      <c r="J104" s="1207">
        <v>56</v>
      </c>
      <c r="K104" s="1207">
        <v>1.1033329999999999</v>
      </c>
      <c r="L104" s="1208">
        <v>41762.790100000013</v>
      </c>
      <c r="M104" s="1207">
        <v>24007.809999999998</v>
      </c>
      <c r="N104" s="1207">
        <v>1018.0800000000002</v>
      </c>
      <c r="O104" s="1207">
        <v>1194.96</v>
      </c>
      <c r="P104" s="1207">
        <v>1499.9999999999998</v>
      </c>
      <c r="Q104" s="1207">
        <v>60.739999999999995</v>
      </c>
      <c r="R104" s="1209">
        <f t="shared" si="22"/>
        <v>69544.380100000024</v>
      </c>
      <c r="S104" s="1159">
        <f t="shared" ref="S104:S108" si="33">SUM(G104:K104)</f>
        <v>2805.9866669999997</v>
      </c>
      <c r="T104" s="1159">
        <f t="shared" ref="T104:T108" si="34">I104+J104+K104</f>
        <v>105.10333300000001</v>
      </c>
      <c r="U104" s="1210">
        <f t="shared" ref="U104:U108" si="35">S104-T104</f>
        <v>2700.8833339999996</v>
      </c>
      <c r="V104" s="1211"/>
      <c r="W104" s="1212"/>
      <c r="X104" s="1213">
        <f t="shared" ref="X104:X108" si="36">SUM(L104,N104:O104)*((VLOOKUP(Y104,$AJ$9:$AK$30,2,FALSE))/365)</f>
        <v>29277.059491232889</v>
      </c>
      <c r="Y104" s="1214">
        <v>42887</v>
      </c>
      <c r="Z104" s="1220">
        <v>2.1216407355021182E-2</v>
      </c>
      <c r="AA104" s="1213">
        <f t="shared" ref="AA104:AA108" si="37">X104*Z104</f>
        <v>621.15402032318616</v>
      </c>
      <c r="AB104" s="1216"/>
      <c r="AC104" s="1159">
        <f t="shared" ref="AC104:AC108" si="38">SUM(L104,N104:O104)+AA104</f>
        <v>44596.984120323199</v>
      </c>
      <c r="AD104" s="1214">
        <v>43252</v>
      </c>
      <c r="AE104" s="1220">
        <v>0.03</v>
      </c>
      <c r="AF104" s="1213">
        <f t="shared" ref="AF104:AF108" si="39">AC104*AE104</f>
        <v>1337.909523609696</v>
      </c>
    </row>
    <row r="105" spans="1:32">
      <c r="A105" s="1217">
        <v>2010</v>
      </c>
      <c r="B105" s="1219">
        <v>116637</v>
      </c>
      <c r="C105" s="1219">
        <v>1</v>
      </c>
      <c r="D105" s="1219">
        <v>16637</v>
      </c>
      <c r="E105" s="1219" t="s">
        <v>2719</v>
      </c>
      <c r="F105" s="1217" t="s">
        <v>2960</v>
      </c>
      <c r="G105" s="1207">
        <v>1852.3499979999999</v>
      </c>
      <c r="H105" s="1207">
        <v>415.4499990000001</v>
      </c>
      <c r="I105" s="1207">
        <v>72</v>
      </c>
      <c r="J105" s="1207">
        <v>56</v>
      </c>
      <c r="K105" s="1207">
        <v>29.950002000000001</v>
      </c>
      <c r="L105" s="1208">
        <v>33939.30000000001</v>
      </c>
      <c r="M105" s="1207">
        <v>11644.070000000002</v>
      </c>
      <c r="N105" s="1207">
        <v>1331.52</v>
      </c>
      <c r="O105" s="1207">
        <v>1026.56</v>
      </c>
      <c r="P105" s="1207">
        <v>2100</v>
      </c>
      <c r="Q105" s="1207">
        <v>582.94000000000005</v>
      </c>
      <c r="R105" s="1209">
        <f t="shared" si="22"/>
        <v>50624.390000000007</v>
      </c>
      <c r="S105" s="1159">
        <f t="shared" si="33"/>
        <v>2425.7499990000001</v>
      </c>
      <c r="T105" s="1159">
        <f t="shared" si="34"/>
        <v>157.95000200000001</v>
      </c>
      <c r="U105" s="1210">
        <f t="shared" si="35"/>
        <v>2267.7999970000001</v>
      </c>
      <c r="V105" s="1211"/>
      <c r="W105" s="1212"/>
      <c r="X105" s="1213">
        <f t="shared" si="36"/>
        <v>33314.033698630141</v>
      </c>
      <c r="Y105" s="1214">
        <v>42979</v>
      </c>
      <c r="Z105" s="1220">
        <v>0.19273127753303979</v>
      </c>
      <c r="AA105" s="1213">
        <f t="shared" si="37"/>
        <v>6420.6562745157253</v>
      </c>
      <c r="AB105" s="1216"/>
      <c r="AC105" s="1159">
        <f t="shared" si="38"/>
        <v>42718.036274515733</v>
      </c>
      <c r="AD105" s="1214">
        <v>43252</v>
      </c>
      <c r="AE105" s="1220">
        <v>0.03</v>
      </c>
      <c r="AF105" s="1213">
        <f t="shared" si="39"/>
        <v>1281.541088235472</v>
      </c>
    </row>
    <row r="106" spans="1:32">
      <c r="A106" s="1217">
        <v>2010</v>
      </c>
      <c r="B106" s="1219">
        <v>103515</v>
      </c>
      <c r="C106" s="1219">
        <v>1</v>
      </c>
      <c r="D106" s="1219">
        <v>3515</v>
      </c>
      <c r="E106" s="1219" t="s">
        <v>2720</v>
      </c>
      <c r="F106" s="1217" t="s">
        <v>2960</v>
      </c>
      <c r="G106" s="1207">
        <v>1755.5766649999996</v>
      </c>
      <c r="H106" s="1207">
        <v>424.73666100000003</v>
      </c>
      <c r="I106" s="1207">
        <v>128</v>
      </c>
      <c r="J106" s="1207">
        <v>56</v>
      </c>
      <c r="K106" s="1207">
        <v>65.423335000000009</v>
      </c>
      <c r="L106" s="1208">
        <v>37432.539900000003</v>
      </c>
      <c r="M106" s="1207">
        <v>13774.72</v>
      </c>
      <c r="N106" s="1207">
        <v>2740.08</v>
      </c>
      <c r="O106" s="1207">
        <v>1194.96</v>
      </c>
      <c r="P106" s="1207">
        <v>1750.0000000000002</v>
      </c>
      <c r="Q106" s="1207">
        <v>1429.8</v>
      </c>
      <c r="R106" s="1209">
        <f t="shared" si="22"/>
        <v>58322.099900000008</v>
      </c>
      <c r="S106" s="1159">
        <f t="shared" si="33"/>
        <v>2429.7366609999995</v>
      </c>
      <c r="T106" s="1159">
        <f t="shared" si="34"/>
        <v>249.42333500000001</v>
      </c>
      <c r="U106" s="1210">
        <f t="shared" si="35"/>
        <v>2180.3133259999995</v>
      </c>
      <c r="V106" s="1211"/>
      <c r="W106" s="1212"/>
      <c r="X106" s="1213">
        <f t="shared" si="36"/>
        <v>27540.607988219184</v>
      </c>
      <c r="Y106" s="1214">
        <v>42887</v>
      </c>
      <c r="Z106" s="1220">
        <v>2.12E-2</v>
      </c>
      <c r="AA106" s="1213">
        <f t="shared" si="37"/>
        <v>583.86088935024668</v>
      </c>
      <c r="AB106" s="1216"/>
      <c r="AC106" s="1159">
        <f t="shared" si="38"/>
        <v>41951.44078935025</v>
      </c>
      <c r="AD106" s="1214">
        <v>43252</v>
      </c>
      <c r="AE106" s="1220">
        <v>0.03</v>
      </c>
      <c r="AF106" s="1213">
        <f t="shared" si="39"/>
        <v>1258.5432236805075</v>
      </c>
    </row>
    <row r="107" spans="1:32">
      <c r="A107" s="1217">
        <v>2010</v>
      </c>
      <c r="B107" s="1219">
        <v>103557</v>
      </c>
      <c r="C107" s="1219">
        <v>1</v>
      </c>
      <c r="D107" s="1219">
        <v>3557</v>
      </c>
      <c r="E107" s="1219" t="s">
        <v>2721</v>
      </c>
      <c r="F107" s="1217" t="s">
        <v>2960</v>
      </c>
      <c r="G107" s="1207">
        <v>1829.516666</v>
      </c>
      <c r="H107" s="1207">
        <v>667.57999499999994</v>
      </c>
      <c r="I107" s="1207">
        <v>112</v>
      </c>
      <c r="J107" s="1207">
        <v>56</v>
      </c>
      <c r="K107" s="1207">
        <v>15.000001000000001</v>
      </c>
      <c r="L107" s="1208">
        <v>39030.899800000014</v>
      </c>
      <c r="M107" s="1207">
        <v>21505.18</v>
      </c>
      <c r="N107" s="1207">
        <v>2393.5200000000004</v>
      </c>
      <c r="O107" s="1207">
        <v>1194.96</v>
      </c>
      <c r="P107" s="1207">
        <v>1100</v>
      </c>
      <c r="Q107" s="1207">
        <v>355.31000000000006</v>
      </c>
      <c r="R107" s="1209">
        <f t="shared" si="22"/>
        <v>65579.869800000015</v>
      </c>
      <c r="S107" s="1159">
        <f t="shared" si="33"/>
        <v>2680.0966619999999</v>
      </c>
      <c r="T107" s="1159">
        <f t="shared" si="34"/>
        <v>183.000001</v>
      </c>
      <c r="U107" s="1210">
        <f t="shared" si="35"/>
        <v>2497.096661</v>
      </c>
      <c r="V107" s="1211"/>
      <c r="W107" s="1212"/>
      <c r="X107" s="1213">
        <f t="shared" si="36"/>
        <v>28373.99805863015</v>
      </c>
      <c r="Y107" s="1214">
        <v>42887</v>
      </c>
      <c r="Z107" s="1220">
        <v>2.1216407355021182E-2</v>
      </c>
      <c r="AA107" s="1213">
        <f t="shared" si="37"/>
        <v>601.99430110247749</v>
      </c>
      <c r="AB107" s="1216"/>
      <c r="AC107" s="1159">
        <f t="shared" si="38"/>
        <v>43221.374101102498</v>
      </c>
      <c r="AD107" s="1214">
        <v>43252</v>
      </c>
      <c r="AE107" s="1220">
        <v>0.03</v>
      </c>
      <c r="AF107" s="1213">
        <f t="shared" si="39"/>
        <v>1296.641223033075</v>
      </c>
    </row>
    <row r="108" spans="1:32">
      <c r="A108" s="1217">
        <v>2010</v>
      </c>
      <c r="B108" s="1219">
        <v>112536</v>
      </c>
      <c r="C108" s="1219">
        <v>1</v>
      </c>
      <c r="D108" s="1219">
        <v>12536</v>
      </c>
      <c r="E108" s="1219" t="s">
        <v>2722</v>
      </c>
      <c r="F108" s="1217" t="s">
        <v>2960</v>
      </c>
      <c r="G108" s="1207">
        <v>1948.4833330000001</v>
      </c>
      <c r="H108" s="1207">
        <v>468.66667099999995</v>
      </c>
      <c r="I108" s="1207">
        <v>40</v>
      </c>
      <c r="J108" s="1207">
        <v>56</v>
      </c>
      <c r="K108" s="1207">
        <v>0.50666700000000009</v>
      </c>
      <c r="L108" s="1208">
        <v>41275.2399</v>
      </c>
      <c r="M108" s="1207">
        <v>14935.129999999997</v>
      </c>
      <c r="N108" s="1207">
        <v>866.4</v>
      </c>
      <c r="O108" s="1207">
        <v>1180.56</v>
      </c>
      <c r="P108" s="1207">
        <v>399.99999999999983</v>
      </c>
      <c r="Q108" s="1207">
        <v>196.3</v>
      </c>
      <c r="R108" s="1209">
        <f t="shared" si="22"/>
        <v>58853.6299</v>
      </c>
      <c r="S108" s="1159">
        <f t="shared" si="33"/>
        <v>2513.6566710000002</v>
      </c>
      <c r="T108" s="1159">
        <f t="shared" si="34"/>
        <v>96.506666999999993</v>
      </c>
      <c r="U108" s="1210">
        <f t="shared" si="35"/>
        <v>2417.1500040000001</v>
      </c>
      <c r="V108" s="1211"/>
      <c r="W108" s="1212"/>
      <c r="X108" s="1213">
        <f t="shared" si="36"/>
        <v>28841.90294712329</v>
      </c>
      <c r="Y108" s="1214">
        <v>42887</v>
      </c>
      <c r="Z108" s="1220">
        <v>4.3352601156069426E-2</v>
      </c>
      <c r="AA108" s="1213">
        <f t="shared" si="37"/>
        <v>1250.3715150486994</v>
      </c>
      <c r="AB108" s="1216"/>
      <c r="AC108" s="1159">
        <f t="shared" si="38"/>
        <v>44572.571415048697</v>
      </c>
      <c r="AD108" s="1214">
        <v>43252</v>
      </c>
      <c r="AE108" s="1220">
        <v>0.03</v>
      </c>
      <c r="AF108" s="1213">
        <f t="shared" si="39"/>
        <v>1337.1771424514609</v>
      </c>
    </row>
    <row r="109" spans="1:32">
      <c r="A109" s="1240"/>
      <c r="B109" s="1223"/>
      <c r="C109" s="1223"/>
      <c r="D109" s="1223"/>
      <c r="E109" s="1229"/>
      <c r="F109" s="1217"/>
      <c r="G109" s="1207"/>
      <c r="H109" s="1207"/>
      <c r="I109" s="1207"/>
      <c r="J109" s="1207"/>
      <c r="K109" s="1207"/>
      <c r="L109" s="1208"/>
      <c r="M109" s="1207"/>
      <c r="N109" s="1207"/>
      <c r="O109" s="1207"/>
      <c r="P109" s="1207"/>
      <c r="Q109" s="1207"/>
      <c r="R109" s="1209"/>
      <c r="U109" s="1210"/>
      <c r="V109" s="1211"/>
      <c r="W109" s="1212"/>
      <c r="X109" s="1213"/>
      <c r="Y109" s="1214"/>
      <c r="Z109" s="1215"/>
      <c r="AA109" s="1213"/>
      <c r="AB109" s="1216"/>
      <c r="AC109" s="1159"/>
      <c r="AD109" s="1214"/>
      <c r="AE109" s="1215"/>
      <c r="AF109" s="1213"/>
    </row>
    <row r="110" spans="1:32">
      <c r="A110" s="1217"/>
      <c r="B110" s="1223"/>
      <c r="C110" s="1223"/>
      <c r="D110" s="1223"/>
      <c r="E110" s="1229" t="s">
        <v>2723</v>
      </c>
      <c r="F110" s="1217"/>
      <c r="G110" s="1230">
        <f t="shared" ref="G110:S110" si="40">+SUM(G104:G109)</f>
        <v>9343.4066619999994</v>
      </c>
      <c r="H110" s="1230">
        <f t="shared" si="40"/>
        <v>2719.8366599999999</v>
      </c>
      <c r="I110" s="1230">
        <f t="shared" si="40"/>
        <v>400</v>
      </c>
      <c r="J110" s="1230">
        <f t="shared" si="40"/>
        <v>280</v>
      </c>
      <c r="K110" s="1230">
        <f t="shared" si="40"/>
        <v>111.983338</v>
      </c>
      <c r="L110" s="1241">
        <f t="shared" si="40"/>
        <v>193440.76970000006</v>
      </c>
      <c r="M110" s="1230">
        <f t="shared" si="40"/>
        <v>85866.91</v>
      </c>
      <c r="N110" s="1230">
        <f t="shared" si="40"/>
        <v>8349.6</v>
      </c>
      <c r="O110" s="1230">
        <f t="shared" si="40"/>
        <v>5792</v>
      </c>
      <c r="P110" s="1230">
        <f t="shared" si="40"/>
        <v>6850</v>
      </c>
      <c r="Q110" s="1230">
        <f>+SUM(Q104:Q109)</f>
        <v>2625.09</v>
      </c>
      <c r="R110" s="1232">
        <f t="shared" si="40"/>
        <v>302924.36970000004</v>
      </c>
      <c r="S110" s="1233">
        <f t="shared" si="40"/>
        <v>12855.22666</v>
      </c>
      <c r="T110" s="1242">
        <f t="shared" ref="T110:AC110" si="41">+SUM(T104:T109)</f>
        <v>791.983338</v>
      </c>
      <c r="U110" s="1242">
        <f t="shared" si="41"/>
        <v>12063.243321999998</v>
      </c>
      <c r="V110" s="1242"/>
      <c r="W110" s="1242"/>
      <c r="X110" s="1242">
        <f t="shared" si="41"/>
        <v>147347.60218383564</v>
      </c>
      <c r="Y110" s="1242"/>
      <c r="Z110" s="1242"/>
      <c r="AA110" s="1242">
        <f t="shared" si="41"/>
        <v>9478.037000340335</v>
      </c>
      <c r="AB110" s="1242"/>
      <c r="AC110" s="1242">
        <f t="shared" si="41"/>
        <v>217060.40670034039</v>
      </c>
      <c r="AD110" s="1242"/>
      <c r="AE110" s="1242"/>
      <c r="AF110" s="1242">
        <f>+SUM(AF104:AF109)</f>
        <v>6511.8122010102115</v>
      </c>
    </row>
    <row r="111" spans="1:32">
      <c r="A111" s="1240"/>
      <c r="B111" s="1223"/>
      <c r="C111" s="1223"/>
      <c r="D111" s="1223"/>
      <c r="E111" s="1229"/>
      <c r="F111" s="1217"/>
      <c r="G111" s="1207"/>
      <c r="H111" s="1207"/>
      <c r="I111" s="1207"/>
      <c r="J111" s="1207"/>
      <c r="K111" s="1207"/>
      <c r="L111" s="1208"/>
      <c r="M111" s="1207"/>
      <c r="N111" s="1207"/>
      <c r="O111" s="1207"/>
      <c r="P111" s="1207"/>
      <c r="Q111" s="1207"/>
      <c r="R111" s="1209"/>
      <c r="U111" s="1210"/>
      <c r="V111" s="1211"/>
      <c r="W111" s="1212"/>
      <c r="X111" s="1213"/>
      <c r="Y111" s="1214"/>
      <c r="Z111" s="1215"/>
      <c r="AA111" s="1213"/>
      <c r="AB111" s="1216"/>
      <c r="AC111" s="1159"/>
      <c r="AD111" s="1214"/>
      <c r="AE111" s="1215"/>
      <c r="AF111" s="1213"/>
    </row>
    <row r="112" spans="1:32">
      <c r="A112" s="1203" t="s">
        <v>1246</v>
      </c>
      <c r="B112" s="1204"/>
      <c r="C112" s="1204"/>
      <c r="D112" s="1204"/>
      <c r="E112" s="1239"/>
      <c r="F112" s="1206"/>
      <c r="G112" s="1207"/>
      <c r="H112" s="1207"/>
      <c r="I112" s="1207"/>
      <c r="J112" s="1207"/>
      <c r="K112" s="1207"/>
      <c r="L112" s="1208"/>
      <c r="M112" s="1207"/>
      <c r="N112" s="1207"/>
      <c r="O112" s="1207"/>
      <c r="P112" s="1207"/>
      <c r="Q112" s="1207"/>
      <c r="R112" s="1209"/>
      <c r="U112" s="1210"/>
      <c r="V112" s="1211"/>
      <c r="W112" s="1212"/>
      <c r="X112" s="1213"/>
      <c r="Y112" s="1214"/>
      <c r="Z112" s="1215"/>
      <c r="AA112" s="1213"/>
      <c r="AB112" s="1216"/>
      <c r="AC112" s="1159"/>
      <c r="AD112" s="1214"/>
      <c r="AE112" s="1215"/>
      <c r="AF112" s="1213"/>
    </row>
    <row r="113" spans="1:32">
      <c r="A113" s="1217">
        <v>2010</v>
      </c>
      <c r="B113" s="1219">
        <v>101617</v>
      </c>
      <c r="C113" s="1219">
        <v>1</v>
      </c>
      <c r="D113" s="1219">
        <v>1617</v>
      </c>
      <c r="E113" s="1219" t="s">
        <v>2724</v>
      </c>
      <c r="F113" s="1217" t="s">
        <v>2961</v>
      </c>
      <c r="G113" s="1207">
        <v>1815.8666670000002</v>
      </c>
      <c r="H113" s="1207">
        <v>258.82666600000016</v>
      </c>
      <c r="I113" s="1207">
        <v>120</v>
      </c>
      <c r="J113" s="1207">
        <v>56</v>
      </c>
      <c r="K113" s="1207">
        <v>40.136666000000005</v>
      </c>
      <c r="L113" s="1208">
        <v>38738.349900000008</v>
      </c>
      <c r="M113" s="1207">
        <v>8382.5399999999972</v>
      </c>
      <c r="N113" s="1207">
        <v>2559.6</v>
      </c>
      <c r="O113" s="1207">
        <v>1194.96</v>
      </c>
      <c r="P113" s="1207">
        <v>1900</v>
      </c>
      <c r="Q113" s="1207">
        <v>895.31999999999971</v>
      </c>
      <c r="R113" s="1209">
        <f t="shared" si="22"/>
        <v>53670.769900000007</v>
      </c>
      <c r="S113" s="1159">
        <f t="shared" ref="S113:S120" si="42">SUM(G113:K113)</f>
        <v>2290.829999</v>
      </c>
      <c r="T113" s="1159">
        <f t="shared" ref="T113:T120" si="43">I113+J113+K113</f>
        <v>216.13666599999999</v>
      </c>
      <c r="U113" s="1210">
        <f t="shared" ref="U113:U120" si="44">S113-T113</f>
        <v>2074.6933330000002</v>
      </c>
      <c r="V113" s="1211"/>
      <c r="W113" s="1212"/>
      <c r="X113" s="1213">
        <f t="shared" ref="X113:X120" si="45">SUM(L113,N113:O113)*((VLOOKUP(Y113,$AJ$9:$AK$30,2,FALSE))/365)</f>
        <v>28289.800289589046</v>
      </c>
      <c r="Y113" s="1214">
        <v>42887</v>
      </c>
      <c r="Z113" s="1220">
        <v>2.1216407355021182E-2</v>
      </c>
      <c r="AA113" s="1213">
        <f t="shared" ref="AA113:AA120" si="46">X113*Z113</f>
        <v>600.20792693611736</v>
      </c>
      <c r="AB113" s="1216"/>
      <c r="AC113" s="1159">
        <f t="shared" ref="AC113:AC120" si="47">SUM(L113,N113:O113)+AA113</f>
        <v>43093.117826936126</v>
      </c>
      <c r="AD113" s="1214">
        <v>43252</v>
      </c>
      <c r="AE113" s="1220">
        <v>0.03</v>
      </c>
      <c r="AF113" s="1213">
        <f t="shared" ref="AF113:AF120" si="48">AC113*AE113</f>
        <v>1292.7935348080837</v>
      </c>
    </row>
    <row r="114" spans="1:32">
      <c r="A114" s="1217">
        <v>2010</v>
      </c>
      <c r="B114" s="1219">
        <v>156532</v>
      </c>
      <c r="C114" s="1219">
        <v>1</v>
      </c>
      <c r="D114" s="1219">
        <v>56532</v>
      </c>
      <c r="E114" s="1219" t="s">
        <v>2725</v>
      </c>
      <c r="F114" s="1217" t="s">
        <v>2961</v>
      </c>
      <c r="G114" s="1207">
        <v>1716.6933350000002</v>
      </c>
      <c r="H114" s="1207">
        <v>338.91333299999991</v>
      </c>
      <c r="I114" s="1207">
        <v>64</v>
      </c>
      <c r="J114" s="1207">
        <v>56</v>
      </c>
      <c r="K114" s="1207">
        <v>87.033329999999992</v>
      </c>
      <c r="L114" s="1208">
        <v>36619.32</v>
      </c>
      <c r="M114" s="1207">
        <v>11017.609999999999</v>
      </c>
      <c r="N114" s="1207">
        <v>1357.44</v>
      </c>
      <c r="O114" s="1207">
        <v>1194.96</v>
      </c>
      <c r="P114" s="1207">
        <v>1799.9999999999998</v>
      </c>
      <c r="Q114" s="1207">
        <v>1896.9600000000003</v>
      </c>
      <c r="R114" s="1209">
        <f t="shared" si="22"/>
        <v>53886.29</v>
      </c>
      <c r="S114" s="1159">
        <f t="shared" si="42"/>
        <v>2262.6399980000001</v>
      </c>
      <c r="T114" s="1159">
        <f t="shared" si="43"/>
        <v>207.03332999999998</v>
      </c>
      <c r="U114" s="1210">
        <f t="shared" si="44"/>
        <v>2055.6066680000004</v>
      </c>
      <c r="V114" s="1211"/>
      <c r="W114" s="1212"/>
      <c r="X114" s="1213">
        <f t="shared" si="45"/>
        <v>26078.706739726029</v>
      </c>
      <c r="Y114" s="1214">
        <v>42887</v>
      </c>
      <c r="Z114" s="1220">
        <v>2.1216407355021182E-2</v>
      </c>
      <c r="AA114" s="1213">
        <f t="shared" si="46"/>
        <v>553.29646548216374</v>
      </c>
      <c r="AB114" s="1216"/>
      <c r="AC114" s="1159">
        <f t="shared" si="47"/>
        <v>39725.016465482164</v>
      </c>
      <c r="AD114" s="1214">
        <v>43252</v>
      </c>
      <c r="AE114" s="1220">
        <v>0.03</v>
      </c>
      <c r="AF114" s="1213">
        <f t="shared" si="48"/>
        <v>1191.7504939644648</v>
      </c>
    </row>
    <row r="115" spans="1:32">
      <c r="A115" s="1217">
        <v>2010</v>
      </c>
      <c r="B115" s="1219">
        <v>103652</v>
      </c>
      <c r="C115" s="1219">
        <v>1</v>
      </c>
      <c r="D115" s="1219">
        <v>3652</v>
      </c>
      <c r="E115" s="1219" t="s">
        <v>2726</v>
      </c>
      <c r="F115" s="1217" t="s">
        <v>2961</v>
      </c>
      <c r="G115" s="1207">
        <v>1806.166667</v>
      </c>
      <c r="H115" s="1207">
        <v>204.51999799999999</v>
      </c>
      <c r="I115" s="1207">
        <v>136</v>
      </c>
      <c r="J115" s="1207">
        <v>56</v>
      </c>
      <c r="K115" s="1207">
        <v>57.84</v>
      </c>
      <c r="L115" s="1208">
        <v>38546.209900000002</v>
      </c>
      <c r="M115" s="1207">
        <v>6558.1699999999983</v>
      </c>
      <c r="N115" s="1207">
        <v>2884.56</v>
      </c>
      <c r="O115" s="1207">
        <v>1194.96</v>
      </c>
      <c r="P115" s="1207">
        <v>399.99999999999983</v>
      </c>
      <c r="Q115" s="1207">
        <v>1271.6199999999999</v>
      </c>
      <c r="R115" s="1209">
        <f t="shared" si="22"/>
        <v>50855.519899999999</v>
      </c>
      <c r="S115" s="1159">
        <f t="shared" si="42"/>
        <v>2260.5266650000003</v>
      </c>
      <c r="T115" s="1159">
        <f t="shared" si="43"/>
        <v>249.84</v>
      </c>
      <c r="U115" s="1210">
        <f t="shared" si="44"/>
        <v>2010.6866650000004</v>
      </c>
      <c r="V115" s="1211"/>
      <c r="W115" s="1212"/>
      <c r="X115" s="1213">
        <f t="shared" si="45"/>
        <v>28378.225659452055</v>
      </c>
      <c r="Y115" s="1214">
        <v>42887</v>
      </c>
      <c r="Z115" s="1220">
        <v>2.1216407355021182E-2</v>
      </c>
      <c r="AA115" s="1213">
        <f t="shared" si="46"/>
        <v>602.08399560364944</v>
      </c>
      <c r="AB115" s="1216"/>
      <c r="AC115" s="1159">
        <f t="shared" si="47"/>
        <v>43227.813895603649</v>
      </c>
      <c r="AD115" s="1214">
        <v>43252</v>
      </c>
      <c r="AE115" s="1220">
        <v>0.03</v>
      </c>
      <c r="AF115" s="1213">
        <f t="shared" si="48"/>
        <v>1296.8344168681094</v>
      </c>
    </row>
    <row r="116" spans="1:32">
      <c r="A116" s="1217">
        <v>2010</v>
      </c>
      <c r="B116" s="1219">
        <v>152798</v>
      </c>
      <c r="C116" s="1219">
        <v>1</v>
      </c>
      <c r="D116" s="1219">
        <v>52798</v>
      </c>
      <c r="E116" s="1219" t="s">
        <v>2727</v>
      </c>
      <c r="F116" s="1217" t="s">
        <v>2961</v>
      </c>
      <c r="G116" s="1207">
        <v>1833.0166649999996</v>
      </c>
      <c r="H116" s="1207">
        <v>309.60999999999996</v>
      </c>
      <c r="I116" s="1207">
        <v>72</v>
      </c>
      <c r="J116" s="1207">
        <v>56</v>
      </c>
      <c r="K116" s="1207">
        <v>53.740002000000004</v>
      </c>
      <c r="L116" s="1208">
        <v>39113.289899999996</v>
      </c>
      <c r="M116" s="1207">
        <v>9973.6799999999985</v>
      </c>
      <c r="N116" s="1207">
        <v>1527.1200000000001</v>
      </c>
      <c r="O116" s="1207">
        <v>1194.96</v>
      </c>
      <c r="P116" s="1207">
        <v>899.99999999999989</v>
      </c>
      <c r="Q116" s="1207">
        <v>1181.46</v>
      </c>
      <c r="R116" s="1209">
        <f t="shared" si="22"/>
        <v>53890.509899999997</v>
      </c>
      <c r="S116" s="1159">
        <f t="shared" si="42"/>
        <v>2324.3666669999998</v>
      </c>
      <c r="T116" s="1159">
        <f t="shared" si="43"/>
        <v>181.740002</v>
      </c>
      <c r="U116" s="1210">
        <f t="shared" si="44"/>
        <v>2142.6266649999998</v>
      </c>
      <c r="V116" s="1211"/>
      <c r="W116" s="1212"/>
      <c r="X116" s="1213">
        <f t="shared" si="45"/>
        <v>27852.040782739725</v>
      </c>
      <c r="Y116" s="1214">
        <v>42887</v>
      </c>
      <c r="Z116" s="1220">
        <v>2.1216407355021182E-2</v>
      </c>
      <c r="AA116" s="1213">
        <f t="shared" si="46"/>
        <v>590.920242915269</v>
      </c>
      <c r="AB116" s="1216"/>
      <c r="AC116" s="1159">
        <f t="shared" si="47"/>
        <v>42426.29014291527</v>
      </c>
      <c r="AD116" s="1214">
        <v>43252</v>
      </c>
      <c r="AE116" s="1220">
        <v>0.03</v>
      </c>
      <c r="AF116" s="1213">
        <f t="shared" si="48"/>
        <v>1272.7887042874581</v>
      </c>
    </row>
    <row r="117" spans="1:32">
      <c r="A117" s="1217">
        <v>2010</v>
      </c>
      <c r="B117" s="1219">
        <v>113552</v>
      </c>
      <c r="C117" s="1219">
        <v>1</v>
      </c>
      <c r="D117" s="1219">
        <v>13552</v>
      </c>
      <c r="E117" s="1219" t="s">
        <v>2728</v>
      </c>
      <c r="F117" s="1217" t="s">
        <v>2961</v>
      </c>
      <c r="G117" s="1207">
        <v>1870.2666669999999</v>
      </c>
      <c r="H117" s="1207">
        <v>394.98666600000001</v>
      </c>
      <c r="I117" s="1207">
        <v>120</v>
      </c>
      <c r="J117" s="1207">
        <v>56</v>
      </c>
      <c r="K117" s="1207">
        <v>17.736666</v>
      </c>
      <c r="L117" s="1208">
        <v>39912.970000000016</v>
      </c>
      <c r="M117" s="1207">
        <v>12823.410000000002</v>
      </c>
      <c r="N117" s="1207">
        <v>2545.1999999999998</v>
      </c>
      <c r="O117" s="1207">
        <v>1194.96</v>
      </c>
      <c r="P117" s="1207">
        <v>1899.9999999999998</v>
      </c>
      <c r="Q117" s="1207">
        <v>583.25</v>
      </c>
      <c r="R117" s="1209">
        <f t="shared" si="22"/>
        <v>58959.790000000015</v>
      </c>
      <c r="S117" s="1159">
        <f t="shared" si="42"/>
        <v>2458.9899989999994</v>
      </c>
      <c r="T117" s="1159">
        <f t="shared" si="43"/>
        <v>193.73666600000001</v>
      </c>
      <c r="U117" s="1210">
        <f t="shared" si="44"/>
        <v>2265.2533329999997</v>
      </c>
      <c r="V117" s="1211"/>
      <c r="W117" s="1212"/>
      <c r="X117" s="1213">
        <f t="shared" si="45"/>
        <v>29062.220794520559</v>
      </c>
      <c r="Y117" s="1214">
        <v>42887</v>
      </c>
      <c r="Z117" s="1220">
        <v>2.1216407355021182E-2</v>
      </c>
      <c r="AA117" s="1213">
        <f t="shared" si="46"/>
        <v>616.59591501811553</v>
      </c>
      <c r="AB117" s="1216"/>
      <c r="AC117" s="1159">
        <f t="shared" si="47"/>
        <v>44269.725915018127</v>
      </c>
      <c r="AD117" s="1214">
        <v>43252</v>
      </c>
      <c r="AE117" s="1220">
        <v>0.03</v>
      </c>
      <c r="AF117" s="1213">
        <f t="shared" si="48"/>
        <v>1328.0917774505438</v>
      </c>
    </row>
    <row r="118" spans="1:32">
      <c r="A118" s="1217">
        <v>2010</v>
      </c>
      <c r="B118" s="1219">
        <v>154890</v>
      </c>
      <c r="C118" s="1219">
        <v>1</v>
      </c>
      <c r="D118" s="1219">
        <v>54890</v>
      </c>
      <c r="E118" s="1219" t="s">
        <v>2729</v>
      </c>
      <c r="F118" s="1217" t="s">
        <v>2961</v>
      </c>
      <c r="G118" s="1207">
        <v>1923.1133319999999</v>
      </c>
      <c r="H118" s="1207">
        <v>566.27333199999998</v>
      </c>
      <c r="I118" s="1207">
        <v>40</v>
      </c>
      <c r="J118" s="1207">
        <v>64</v>
      </c>
      <c r="K118" s="1207">
        <v>27.766667999999999</v>
      </c>
      <c r="L118" s="1208">
        <v>41030.080100000006</v>
      </c>
      <c r="M118" s="1207">
        <v>18162.770000000004</v>
      </c>
      <c r="N118" s="1207">
        <v>848.40000000000009</v>
      </c>
      <c r="O118" s="1207">
        <v>1364.64</v>
      </c>
      <c r="P118" s="1207">
        <v>400.00000000000011</v>
      </c>
      <c r="Q118" s="1207">
        <v>630.17000000000007</v>
      </c>
      <c r="R118" s="1209">
        <f t="shared" si="22"/>
        <v>62436.06010000001</v>
      </c>
      <c r="S118" s="1159">
        <f t="shared" si="42"/>
        <v>2621.1533319999999</v>
      </c>
      <c r="T118" s="1159">
        <f t="shared" si="43"/>
        <v>131.76666800000001</v>
      </c>
      <c r="U118" s="1210">
        <f t="shared" si="44"/>
        <v>2489.3866639999997</v>
      </c>
      <c r="V118" s="1211"/>
      <c r="W118" s="1212"/>
      <c r="X118" s="1213">
        <f t="shared" si="45"/>
        <v>28789.255299452063</v>
      </c>
      <c r="Y118" s="1214">
        <v>42887</v>
      </c>
      <c r="Z118" s="1220">
        <v>2.1216407355021182E-2</v>
      </c>
      <c r="AA118" s="1213">
        <f t="shared" si="46"/>
        <v>610.80456788087724</v>
      </c>
      <c r="AB118" s="1216"/>
      <c r="AC118" s="1159">
        <f t="shared" si="47"/>
        <v>43853.924667880885</v>
      </c>
      <c r="AD118" s="1214">
        <v>43252</v>
      </c>
      <c r="AE118" s="1220">
        <v>0.03</v>
      </c>
      <c r="AF118" s="1213">
        <f t="shared" si="48"/>
        <v>1315.6177400364265</v>
      </c>
    </row>
    <row r="119" spans="1:32">
      <c r="A119" s="1217">
        <v>2010</v>
      </c>
      <c r="B119" s="1219">
        <v>156401</v>
      </c>
      <c r="C119" s="1219">
        <v>1</v>
      </c>
      <c r="D119" s="1219">
        <v>56401</v>
      </c>
      <c r="E119" s="1219" t="s">
        <v>2730</v>
      </c>
      <c r="F119" s="1217" t="s">
        <v>2961</v>
      </c>
      <c r="G119" s="1207">
        <v>1931.8833340000001</v>
      </c>
      <c r="H119" s="1207">
        <v>761.54666599999996</v>
      </c>
      <c r="I119" s="1207">
        <v>56</v>
      </c>
      <c r="J119" s="1207">
        <v>56</v>
      </c>
      <c r="K119" s="1207">
        <v>8</v>
      </c>
      <c r="L119" s="1208">
        <v>38158.220000000016</v>
      </c>
      <c r="M119" s="1207">
        <v>22774.969999999994</v>
      </c>
      <c r="N119" s="1207">
        <v>1016.96</v>
      </c>
      <c r="O119" s="1207">
        <v>1097.3600000000001</v>
      </c>
      <c r="P119" s="1207">
        <v>1400.0000000000002</v>
      </c>
      <c r="Q119" s="1207">
        <v>206.8</v>
      </c>
      <c r="R119" s="1209">
        <f t="shared" si="22"/>
        <v>64654.310000000012</v>
      </c>
      <c r="S119" s="1159">
        <f t="shared" si="42"/>
        <v>2813.4300000000003</v>
      </c>
      <c r="T119" s="1159">
        <f t="shared" si="43"/>
        <v>120</v>
      </c>
      <c r="U119" s="1210">
        <f t="shared" si="44"/>
        <v>2693.4300000000003</v>
      </c>
      <c r="V119" s="1211"/>
      <c r="W119" s="1212"/>
      <c r="X119" s="1213">
        <f t="shared" si="45"/>
        <v>26811.581424657546</v>
      </c>
      <c r="Y119" s="1214">
        <v>42887</v>
      </c>
      <c r="Z119" s="1220">
        <v>0.19273127753303959</v>
      </c>
      <c r="AA119" s="1213">
        <f t="shared" si="46"/>
        <v>5167.4303406553627</v>
      </c>
      <c r="AB119" s="1216"/>
      <c r="AC119" s="1159">
        <f t="shared" si="47"/>
        <v>45439.970340655374</v>
      </c>
      <c r="AD119" s="1214">
        <v>43252</v>
      </c>
      <c r="AE119" s="1220">
        <v>0.03</v>
      </c>
      <c r="AF119" s="1213">
        <f t="shared" si="48"/>
        <v>1363.1991102196612</v>
      </c>
    </row>
    <row r="120" spans="1:32">
      <c r="A120" s="1217">
        <v>2010</v>
      </c>
      <c r="B120" s="1219">
        <v>156639</v>
      </c>
      <c r="C120" s="1219">
        <v>1</v>
      </c>
      <c r="D120" s="1219">
        <v>56639</v>
      </c>
      <c r="E120" s="1219" t="s">
        <v>2731</v>
      </c>
      <c r="F120" s="1217" t="s">
        <v>2961</v>
      </c>
      <c r="G120" s="1207">
        <v>1794.223332</v>
      </c>
      <c r="H120" s="1207">
        <v>172.73333600000001</v>
      </c>
      <c r="I120" s="1207">
        <v>72</v>
      </c>
      <c r="J120" s="1207">
        <v>56</v>
      </c>
      <c r="K120" s="1207">
        <v>87.883334999999988</v>
      </c>
      <c r="L120" s="1208">
        <v>38278.270099999994</v>
      </c>
      <c r="M120" s="1207">
        <v>5599.08</v>
      </c>
      <c r="N120" s="1207">
        <v>1527.12</v>
      </c>
      <c r="O120" s="1207">
        <v>1194.96</v>
      </c>
      <c r="P120" s="1207">
        <v>1599.9999999999998</v>
      </c>
      <c r="Q120" s="1207">
        <v>1919.8700000000006</v>
      </c>
      <c r="R120" s="1209">
        <f t="shared" si="22"/>
        <v>50119.3001</v>
      </c>
      <c r="S120" s="1159">
        <f t="shared" si="42"/>
        <v>2182.8400029999998</v>
      </c>
      <c r="T120" s="1159">
        <f t="shared" si="43"/>
        <v>215.88333499999999</v>
      </c>
      <c r="U120" s="1210">
        <f t="shared" si="44"/>
        <v>1966.9566679999998</v>
      </c>
      <c r="V120" s="1211"/>
      <c r="W120" s="1212"/>
      <c r="X120" s="1213">
        <f t="shared" si="45"/>
        <v>27296.123491232876</v>
      </c>
      <c r="Y120" s="1214">
        <v>42887</v>
      </c>
      <c r="Z120" s="1220">
        <v>2.1216407355021182E-2</v>
      </c>
      <c r="AA120" s="1213">
        <f t="shared" si="46"/>
        <v>579.12567520295966</v>
      </c>
      <c r="AB120" s="1216"/>
      <c r="AC120" s="1159">
        <f t="shared" si="47"/>
        <v>41579.475775202955</v>
      </c>
      <c r="AD120" s="1214">
        <v>43252</v>
      </c>
      <c r="AE120" s="1220">
        <v>0.03</v>
      </c>
      <c r="AF120" s="1213">
        <f t="shared" si="48"/>
        <v>1247.3842732560886</v>
      </c>
    </row>
    <row r="121" spans="1:32">
      <c r="A121" s="1240"/>
      <c r="B121" s="1223"/>
      <c r="C121" s="1223"/>
      <c r="D121" s="1223"/>
      <c r="E121" s="1229"/>
      <c r="F121" s="1217"/>
      <c r="G121" s="1207"/>
      <c r="H121" s="1207"/>
      <c r="I121" s="1207"/>
      <c r="J121" s="1207"/>
      <c r="K121" s="1207"/>
      <c r="L121" s="1208"/>
      <c r="M121" s="1207"/>
      <c r="N121" s="1207"/>
      <c r="O121" s="1207"/>
      <c r="P121" s="1207"/>
      <c r="Q121" s="1207"/>
      <c r="R121" s="1209"/>
      <c r="U121" s="1210"/>
      <c r="V121" s="1211"/>
      <c r="W121" s="1212"/>
      <c r="X121" s="1213"/>
      <c r="Y121" s="1214"/>
      <c r="Z121" s="1215"/>
      <c r="AA121" s="1213"/>
      <c r="AB121" s="1216"/>
      <c r="AC121" s="1159"/>
      <c r="AD121" s="1214"/>
      <c r="AE121" s="1215"/>
      <c r="AF121" s="1213"/>
    </row>
    <row r="122" spans="1:32">
      <c r="A122" s="1217"/>
      <c r="B122" s="1223"/>
      <c r="C122" s="1223"/>
      <c r="D122" s="1223"/>
      <c r="E122" s="1229" t="s">
        <v>2732</v>
      </c>
      <c r="F122" s="1217"/>
      <c r="G122" s="1230">
        <f>+SUM(G113:G121)</f>
        <v>14691.229998999999</v>
      </c>
      <c r="H122" s="1230">
        <f t="shared" ref="H122:Q122" si="49">+SUM(H113:H121)</f>
        <v>3007.4099970000007</v>
      </c>
      <c r="I122" s="1230">
        <f t="shared" si="49"/>
        <v>680</v>
      </c>
      <c r="J122" s="1230">
        <f t="shared" si="49"/>
        <v>456</v>
      </c>
      <c r="K122" s="1230">
        <f t="shared" si="49"/>
        <v>380.13666699999999</v>
      </c>
      <c r="L122" s="1241">
        <f t="shared" si="49"/>
        <v>310396.70990000002</v>
      </c>
      <c r="M122" s="1230">
        <f t="shared" si="49"/>
        <v>95292.23</v>
      </c>
      <c r="N122" s="1230">
        <f t="shared" si="49"/>
        <v>14266.400000000001</v>
      </c>
      <c r="O122" s="1230">
        <f t="shared" si="49"/>
        <v>9631.760000000002</v>
      </c>
      <c r="P122" s="1230">
        <f t="shared" si="49"/>
        <v>10300</v>
      </c>
      <c r="Q122" s="1230">
        <f t="shared" si="49"/>
        <v>8585.4500000000007</v>
      </c>
      <c r="R122" s="1232">
        <f>+SUM(R113:R121)</f>
        <v>448472.54990000004</v>
      </c>
      <c r="S122" s="1233">
        <f>+SUM(S113:S121)</f>
        <v>19214.776663000001</v>
      </c>
      <c r="T122" s="1242">
        <f t="shared" ref="T122:AF122" si="50">+SUM(T113:T121)</f>
        <v>1516.136667</v>
      </c>
      <c r="U122" s="1242">
        <f t="shared" si="50"/>
        <v>17698.639996000002</v>
      </c>
      <c r="V122" s="1242"/>
      <c r="W122" s="1242"/>
      <c r="X122" s="1242">
        <f t="shared" si="50"/>
        <v>222557.95448136987</v>
      </c>
      <c r="Y122" s="1242"/>
      <c r="Z122" s="1242"/>
      <c r="AA122" s="1242">
        <f t="shared" si="50"/>
        <v>9320.465129694514</v>
      </c>
      <c r="AB122" s="1242">
        <f t="shared" si="50"/>
        <v>0</v>
      </c>
      <c r="AC122" s="1242">
        <f t="shared" si="50"/>
        <v>343615.33502969454</v>
      </c>
      <c r="AD122" s="1242"/>
      <c r="AE122" s="1242"/>
      <c r="AF122" s="1242">
        <f t="shared" si="50"/>
        <v>10308.460050890835</v>
      </c>
    </row>
    <row r="123" spans="1:32">
      <c r="A123" s="1240"/>
      <c r="B123" s="1223"/>
      <c r="C123" s="1223"/>
      <c r="D123" s="1223"/>
      <c r="E123" s="1229"/>
      <c r="F123" s="1217"/>
      <c r="G123" s="1207"/>
      <c r="H123" s="1207"/>
      <c r="I123" s="1207"/>
      <c r="J123" s="1207"/>
      <c r="K123" s="1207"/>
      <c r="L123" s="1208"/>
      <c r="M123" s="1207"/>
      <c r="N123" s="1207"/>
      <c r="O123" s="1207"/>
      <c r="P123" s="1207"/>
      <c r="Q123" s="1207"/>
      <c r="R123" s="1209"/>
      <c r="U123" s="1210"/>
      <c r="V123" s="1211"/>
      <c r="W123" s="1212"/>
      <c r="X123" s="1213"/>
      <c r="Y123" s="1214"/>
      <c r="Z123" s="1215"/>
      <c r="AA123" s="1213"/>
      <c r="AB123" s="1216"/>
      <c r="AC123" s="1159"/>
      <c r="AD123" s="1214"/>
      <c r="AE123" s="1215"/>
      <c r="AF123" s="1213"/>
    </row>
    <row r="124" spans="1:32">
      <c r="A124" s="1203" t="s">
        <v>1483</v>
      </c>
      <c r="B124" s="1204"/>
      <c r="C124" s="1204"/>
      <c r="D124" s="1204"/>
      <c r="E124" s="1239"/>
      <c r="F124" s="1206"/>
      <c r="G124" s="1207"/>
      <c r="H124" s="1207"/>
      <c r="I124" s="1207"/>
      <c r="J124" s="1207"/>
      <c r="K124" s="1207"/>
      <c r="L124" s="1208"/>
      <c r="M124" s="1207"/>
      <c r="N124" s="1207"/>
      <c r="O124" s="1207"/>
      <c r="P124" s="1207"/>
      <c r="Q124" s="1207"/>
      <c r="R124" s="1209"/>
      <c r="U124" s="1210"/>
      <c r="V124" s="1211"/>
      <c r="W124" s="1212"/>
      <c r="X124" s="1213"/>
      <c r="Y124" s="1214"/>
      <c r="Z124" s="1215"/>
      <c r="AA124" s="1213"/>
      <c r="AB124" s="1216"/>
      <c r="AC124" s="1159"/>
      <c r="AD124" s="1214"/>
      <c r="AE124" s="1215"/>
      <c r="AF124" s="1213"/>
    </row>
    <row r="125" spans="1:32">
      <c r="A125" s="1217">
        <v>2010</v>
      </c>
      <c r="B125" s="1219">
        <v>102492</v>
      </c>
      <c r="C125" s="1219">
        <v>1</v>
      </c>
      <c r="D125" s="1219">
        <v>2492</v>
      </c>
      <c r="E125" s="1219" t="s">
        <v>2733</v>
      </c>
      <c r="F125" s="1217" t="s">
        <v>2962</v>
      </c>
      <c r="G125" s="1207">
        <v>1734.15</v>
      </c>
      <c r="H125" s="1207">
        <v>463.43667200000004</v>
      </c>
      <c r="I125" s="1207">
        <v>176</v>
      </c>
      <c r="J125" s="1207">
        <v>56</v>
      </c>
      <c r="K125" s="1207">
        <v>17.916665999999999</v>
      </c>
      <c r="L125" s="1208">
        <v>36972.839999999997</v>
      </c>
      <c r="M125" s="1207">
        <v>15000.83</v>
      </c>
      <c r="N125" s="1207">
        <v>3750.96</v>
      </c>
      <c r="O125" s="1207">
        <v>1194.96</v>
      </c>
      <c r="P125" s="1207">
        <v>1799.9999999999998</v>
      </c>
      <c r="Q125" s="1207">
        <v>417.57000000000005</v>
      </c>
      <c r="R125" s="1209">
        <f t="shared" si="22"/>
        <v>59137.159999999996</v>
      </c>
      <c r="S125" s="1159">
        <f t="shared" ref="S125:S135" si="51">SUM(G125:K125)</f>
        <v>2447.5033380000004</v>
      </c>
      <c r="T125" s="1159">
        <f t="shared" ref="T125:T135" si="52">I125+J125+K125</f>
        <v>249.91666599999999</v>
      </c>
      <c r="U125" s="1210">
        <f t="shared" ref="U125:U135" si="53">S125-T125</f>
        <v>2197.5866720000004</v>
      </c>
      <c r="V125" s="1211"/>
      <c r="W125" s="1212"/>
      <c r="X125" s="1213">
        <f t="shared" ref="X125:X135" si="54">SUM(L125,N125:O125)*((VLOOKUP(Y125,$AJ$9:$AK$30,2,FALSE))/365)</f>
        <v>27907.558027397259</v>
      </c>
      <c r="Y125" s="1214">
        <v>42887</v>
      </c>
      <c r="Z125" s="1220">
        <v>2.12E-2</v>
      </c>
      <c r="AA125" s="1213">
        <f t="shared" ref="AA125:AA135" si="55">X125*Z125</f>
        <v>591.64023018082185</v>
      </c>
      <c r="AB125" s="1216"/>
      <c r="AC125" s="1159">
        <f t="shared" ref="AC125:AC135" si="56">SUM(L125,N125:O125)+AA125</f>
        <v>42510.400230180814</v>
      </c>
      <c r="AD125" s="1214">
        <v>43252</v>
      </c>
      <c r="AE125" s="1220">
        <v>0.03</v>
      </c>
      <c r="AF125" s="1213">
        <f t="shared" ref="AF125:AF135" si="57">AC125*AE125</f>
        <v>1275.3120069054244</v>
      </c>
    </row>
    <row r="126" spans="1:32">
      <c r="A126" s="1217">
        <v>2010</v>
      </c>
      <c r="B126" s="1219">
        <v>102441</v>
      </c>
      <c r="C126" s="1219">
        <v>1</v>
      </c>
      <c r="D126" s="1219">
        <v>2441</v>
      </c>
      <c r="E126" s="1219" t="s">
        <v>2734</v>
      </c>
      <c r="F126" s="1217" t="s">
        <v>2962</v>
      </c>
      <c r="G126" s="1207">
        <v>1835.633333</v>
      </c>
      <c r="H126" s="1207">
        <v>326.00666600000005</v>
      </c>
      <c r="I126" s="1207">
        <v>144</v>
      </c>
      <c r="J126" s="1207">
        <v>56</v>
      </c>
      <c r="K126" s="1207">
        <v>20.366667</v>
      </c>
      <c r="L126" s="1208">
        <v>39158.610000000008</v>
      </c>
      <c r="M126" s="1207">
        <v>10597.180000000002</v>
      </c>
      <c r="N126" s="1207">
        <v>3065.0400000000004</v>
      </c>
      <c r="O126" s="1207">
        <v>1194.96</v>
      </c>
      <c r="P126" s="1207">
        <v>1999.9999999999998</v>
      </c>
      <c r="Q126" s="1207">
        <v>471.24</v>
      </c>
      <c r="R126" s="1209">
        <f t="shared" si="22"/>
        <v>56487.030000000006</v>
      </c>
      <c r="S126" s="1159">
        <f t="shared" si="51"/>
        <v>2382.0066659999998</v>
      </c>
      <c r="T126" s="1159">
        <f t="shared" si="52"/>
        <v>220.36666700000001</v>
      </c>
      <c r="U126" s="1210">
        <f t="shared" si="53"/>
        <v>2161.639999</v>
      </c>
      <c r="V126" s="1211"/>
      <c r="W126" s="1212"/>
      <c r="X126" s="1213">
        <f t="shared" si="54"/>
        <v>28906.088301369869</v>
      </c>
      <c r="Y126" s="1214">
        <v>42887</v>
      </c>
      <c r="Z126" s="1220">
        <v>2.1216407355021182E-2</v>
      </c>
      <c r="AA126" s="1213">
        <f t="shared" si="55"/>
        <v>613.28334444207542</v>
      </c>
      <c r="AB126" s="1216"/>
      <c r="AC126" s="1159">
        <f t="shared" si="56"/>
        <v>44031.893344442084</v>
      </c>
      <c r="AD126" s="1214">
        <v>43252</v>
      </c>
      <c r="AE126" s="1220">
        <v>0.03</v>
      </c>
      <c r="AF126" s="1213">
        <f t="shared" si="57"/>
        <v>1320.9568003332624</v>
      </c>
    </row>
    <row r="127" spans="1:32">
      <c r="A127" s="1217">
        <v>2010</v>
      </c>
      <c r="B127" s="1219">
        <v>102348</v>
      </c>
      <c r="C127" s="1219">
        <v>1</v>
      </c>
      <c r="D127" s="1219">
        <v>2348</v>
      </c>
      <c r="E127" s="1219" t="s">
        <v>2735</v>
      </c>
      <c r="F127" s="1217" t="s">
        <v>2962</v>
      </c>
      <c r="G127" s="1207">
        <v>1773.0666620000004</v>
      </c>
      <c r="H127" s="1207">
        <v>177.95667</v>
      </c>
      <c r="I127" s="1207">
        <v>152</v>
      </c>
      <c r="J127" s="1207">
        <v>56</v>
      </c>
      <c r="K127" s="1207">
        <v>140.18333799999999</v>
      </c>
      <c r="L127" s="1208">
        <v>37819.160299999996</v>
      </c>
      <c r="M127" s="1207">
        <v>5776.1200000000008</v>
      </c>
      <c r="N127" s="1207">
        <v>3241.92</v>
      </c>
      <c r="O127" s="1207">
        <v>1194.96</v>
      </c>
      <c r="P127" s="1207">
        <v>2100</v>
      </c>
      <c r="Q127" s="1207">
        <v>3021.7700000000004</v>
      </c>
      <c r="R127" s="1209">
        <f t="shared" si="22"/>
        <v>53153.930299999993</v>
      </c>
      <c r="S127" s="1159">
        <f t="shared" si="51"/>
        <v>2299.2066700000005</v>
      </c>
      <c r="T127" s="1159">
        <f t="shared" si="52"/>
        <v>348.18333799999999</v>
      </c>
      <c r="U127" s="1210">
        <f t="shared" si="53"/>
        <v>1951.0233320000004</v>
      </c>
      <c r="V127" s="1211"/>
      <c r="W127" s="1212"/>
      <c r="X127" s="1213">
        <f t="shared" si="54"/>
        <v>28132.103542191777</v>
      </c>
      <c r="Y127" s="1214">
        <v>42887</v>
      </c>
      <c r="Z127" s="1220">
        <v>2.12E-2</v>
      </c>
      <c r="AA127" s="1213">
        <f t="shared" si="55"/>
        <v>596.40059509446564</v>
      </c>
      <c r="AB127" s="1216"/>
      <c r="AC127" s="1159">
        <f t="shared" si="56"/>
        <v>42852.440895094456</v>
      </c>
      <c r="AD127" s="1214">
        <v>43252</v>
      </c>
      <c r="AE127" s="1220">
        <v>0.03</v>
      </c>
      <c r="AF127" s="1213">
        <f t="shared" si="57"/>
        <v>1285.5732268528336</v>
      </c>
    </row>
    <row r="128" spans="1:32">
      <c r="A128" s="1217">
        <v>2010</v>
      </c>
      <c r="B128" s="1219">
        <v>154134</v>
      </c>
      <c r="C128" s="1219">
        <v>1</v>
      </c>
      <c r="D128" s="1219">
        <v>54134</v>
      </c>
      <c r="E128" s="1219" t="s">
        <v>2736</v>
      </c>
      <c r="F128" s="1217" t="s">
        <v>2962</v>
      </c>
      <c r="G128" s="1207">
        <v>1853.5500010000001</v>
      </c>
      <c r="H128" s="1207">
        <v>405.72333399999991</v>
      </c>
      <c r="I128" s="1207">
        <v>88</v>
      </c>
      <c r="J128" s="1207">
        <v>40</v>
      </c>
      <c r="K128" s="1207">
        <v>9.733333</v>
      </c>
      <c r="L128" s="1208">
        <v>35782.390000000014</v>
      </c>
      <c r="M128" s="1207">
        <v>12057.28</v>
      </c>
      <c r="N128" s="1207">
        <v>1654.08</v>
      </c>
      <c r="O128" s="1207">
        <v>782.39999999999986</v>
      </c>
      <c r="P128" s="1207">
        <v>1299.9999999999998</v>
      </c>
      <c r="Q128" s="1207">
        <v>906.07</v>
      </c>
      <c r="R128" s="1209">
        <f t="shared" si="22"/>
        <v>52482.220000000016</v>
      </c>
      <c r="S128" s="1159">
        <f t="shared" si="51"/>
        <v>2397.006668</v>
      </c>
      <c r="T128" s="1159">
        <f t="shared" si="52"/>
        <v>137.73333299999999</v>
      </c>
      <c r="U128" s="1210">
        <f t="shared" si="53"/>
        <v>2259.2733349999999</v>
      </c>
      <c r="V128" s="1211"/>
      <c r="W128" s="1212"/>
      <c r="X128" s="1213">
        <f t="shared" si="54"/>
        <v>25444.343589041109</v>
      </c>
      <c r="Y128" s="1214">
        <v>42887</v>
      </c>
      <c r="Z128" s="1220">
        <v>0.19273127753303959</v>
      </c>
      <c r="AA128" s="1213">
        <f t="shared" si="55"/>
        <v>4903.9208459054989</v>
      </c>
      <c r="AB128" s="1216"/>
      <c r="AC128" s="1159">
        <f t="shared" si="56"/>
        <v>43122.790845905518</v>
      </c>
      <c r="AD128" s="1214">
        <v>43252</v>
      </c>
      <c r="AE128" s="1220">
        <v>0.03</v>
      </c>
      <c r="AF128" s="1213">
        <f t="shared" si="57"/>
        <v>1293.6837253771655</v>
      </c>
    </row>
    <row r="129" spans="1:32">
      <c r="A129" s="1217">
        <v>2010</v>
      </c>
      <c r="B129" s="1219">
        <v>102246</v>
      </c>
      <c r="C129" s="1219">
        <v>1</v>
      </c>
      <c r="D129" s="1219">
        <v>2246</v>
      </c>
      <c r="E129" s="1219" t="s">
        <v>2737</v>
      </c>
      <c r="F129" s="1217" t="s">
        <v>2962</v>
      </c>
      <c r="G129" s="1207">
        <v>1768</v>
      </c>
      <c r="H129" s="1207">
        <v>577.05999899999995</v>
      </c>
      <c r="I129" s="1207">
        <v>176</v>
      </c>
      <c r="J129" s="1207">
        <v>56</v>
      </c>
      <c r="K129" s="1207">
        <v>8</v>
      </c>
      <c r="L129" s="1208">
        <v>37690.080000000009</v>
      </c>
      <c r="M129" s="1207">
        <v>18666.100000000002</v>
      </c>
      <c r="N129" s="1207">
        <v>3786.96</v>
      </c>
      <c r="O129" s="1207">
        <v>1194.96</v>
      </c>
      <c r="P129" s="1207">
        <v>1774.9999999999998</v>
      </c>
      <c r="Q129" s="1207">
        <v>212.73000000000002</v>
      </c>
      <c r="R129" s="1209">
        <f t="shared" ref="R129:R135" si="58">SUM(L129:Q129)</f>
        <v>63325.830000000009</v>
      </c>
      <c r="S129" s="1159">
        <f t="shared" si="51"/>
        <v>2585.0599990000001</v>
      </c>
      <c r="T129" s="1159">
        <f t="shared" si="52"/>
        <v>240</v>
      </c>
      <c r="U129" s="1210">
        <f t="shared" si="53"/>
        <v>2345.0599990000001</v>
      </c>
      <c r="V129" s="1211"/>
      <c r="W129" s="1212"/>
      <c r="X129" s="1213">
        <f t="shared" si="54"/>
        <v>28409.030136986308</v>
      </c>
      <c r="Y129" s="1214">
        <v>42887</v>
      </c>
      <c r="Z129" s="1220">
        <v>2.1216407355021182E-2</v>
      </c>
      <c r="AA129" s="1213">
        <f t="shared" si="55"/>
        <v>602.73755594737474</v>
      </c>
      <c r="AB129" s="1216"/>
      <c r="AC129" s="1159">
        <f t="shared" si="56"/>
        <v>43274.73755594738</v>
      </c>
      <c r="AD129" s="1214">
        <v>43252</v>
      </c>
      <c r="AE129" s="1220">
        <v>0.03</v>
      </c>
      <c r="AF129" s="1213">
        <f t="shared" si="57"/>
        <v>1298.2421266784213</v>
      </c>
    </row>
    <row r="130" spans="1:32">
      <c r="A130" s="1217">
        <v>2010</v>
      </c>
      <c r="B130" s="1219">
        <v>102416</v>
      </c>
      <c r="C130" s="1219">
        <v>1</v>
      </c>
      <c r="D130" s="1219">
        <v>2416</v>
      </c>
      <c r="E130" s="1219" t="s">
        <v>2738</v>
      </c>
      <c r="F130" s="1217" t="s">
        <v>2962</v>
      </c>
      <c r="G130" s="1207">
        <v>1794.3666659999999</v>
      </c>
      <c r="H130" s="1207">
        <v>583.90665999999999</v>
      </c>
      <c r="I130" s="1207">
        <v>152</v>
      </c>
      <c r="J130" s="1207">
        <v>56</v>
      </c>
      <c r="K130" s="1207">
        <v>9.9666669999999993</v>
      </c>
      <c r="L130" s="1208">
        <v>38270.939700000017</v>
      </c>
      <c r="M130" s="1207">
        <v>18943.64</v>
      </c>
      <c r="N130" s="1207">
        <v>3256.3199999999997</v>
      </c>
      <c r="O130" s="1207">
        <v>1194.96</v>
      </c>
      <c r="P130" s="1207">
        <v>2100</v>
      </c>
      <c r="Q130" s="1207">
        <v>248.52</v>
      </c>
      <c r="R130" s="1209">
        <f t="shared" si="58"/>
        <v>64014.379700000012</v>
      </c>
      <c r="S130" s="1159">
        <f t="shared" si="51"/>
        <v>2596.2399930000001</v>
      </c>
      <c r="T130" s="1159">
        <f t="shared" si="52"/>
        <v>217.966667</v>
      </c>
      <c r="U130" s="1210">
        <f t="shared" si="53"/>
        <v>2378.273326</v>
      </c>
      <c r="V130" s="1211"/>
      <c r="W130" s="1212"/>
      <c r="X130" s="1213">
        <f t="shared" si="54"/>
        <v>28442.464074246589</v>
      </c>
      <c r="Y130" s="1214">
        <v>42887</v>
      </c>
      <c r="Z130" s="1220">
        <v>2.1216407355021182E-2</v>
      </c>
      <c r="AA130" s="1213">
        <f t="shared" si="55"/>
        <v>603.44690397977104</v>
      </c>
      <c r="AB130" s="1216"/>
      <c r="AC130" s="1159">
        <f t="shared" si="56"/>
        <v>43325.666603979786</v>
      </c>
      <c r="AD130" s="1214">
        <v>43252</v>
      </c>
      <c r="AE130" s="1220">
        <v>0.03</v>
      </c>
      <c r="AF130" s="1213">
        <f t="shared" si="57"/>
        <v>1299.7699981193934</v>
      </c>
    </row>
    <row r="131" spans="1:32">
      <c r="A131" s="1217">
        <v>2010</v>
      </c>
      <c r="B131" s="1219">
        <v>102602</v>
      </c>
      <c r="C131" s="1219">
        <v>1</v>
      </c>
      <c r="D131" s="1219">
        <v>2602</v>
      </c>
      <c r="E131" s="1219" t="s">
        <v>2739</v>
      </c>
      <c r="F131" s="1217" t="s">
        <v>2962</v>
      </c>
      <c r="G131" s="1207">
        <v>1712.583333</v>
      </c>
      <c r="H131" s="1207">
        <v>440.06000200000005</v>
      </c>
      <c r="I131" s="1207">
        <v>160</v>
      </c>
      <c r="J131" s="1207">
        <v>56</v>
      </c>
      <c r="K131" s="1207">
        <v>3.6333340000000001</v>
      </c>
      <c r="L131" s="1208">
        <v>36516.709900000009</v>
      </c>
      <c r="M131" s="1207">
        <v>14219.150000000001</v>
      </c>
      <c r="N131" s="1207">
        <v>3447.6</v>
      </c>
      <c r="O131" s="1207">
        <v>1194.96</v>
      </c>
      <c r="P131" s="1207">
        <v>1599.9999999999998</v>
      </c>
      <c r="Q131" s="1207">
        <v>114.20000000000002</v>
      </c>
      <c r="R131" s="1209">
        <f t="shared" si="58"/>
        <v>57092.619900000005</v>
      </c>
      <c r="S131" s="1159">
        <f t="shared" si="51"/>
        <v>2372.2766690000003</v>
      </c>
      <c r="T131" s="1159">
        <f t="shared" si="52"/>
        <v>219.63333399999999</v>
      </c>
      <c r="U131" s="1210">
        <f t="shared" si="53"/>
        <v>2152.6433350000002</v>
      </c>
      <c r="V131" s="1211"/>
      <c r="W131" s="1212"/>
      <c r="X131" s="1213">
        <f t="shared" si="54"/>
        <v>27401.924892328774</v>
      </c>
      <c r="Y131" s="1214">
        <v>42887</v>
      </c>
      <c r="Z131" s="1220">
        <v>2.1216407355021182E-2</v>
      </c>
      <c r="AA131" s="1213">
        <f t="shared" si="55"/>
        <v>581.37040082734222</v>
      </c>
      <c r="AB131" s="1216"/>
      <c r="AC131" s="1159">
        <f t="shared" si="56"/>
        <v>41740.640300827348</v>
      </c>
      <c r="AD131" s="1214">
        <v>43252</v>
      </c>
      <c r="AE131" s="1220">
        <v>0.03</v>
      </c>
      <c r="AF131" s="1213">
        <f t="shared" si="57"/>
        <v>1252.2192090248204</v>
      </c>
    </row>
    <row r="132" spans="1:32">
      <c r="A132" s="1217">
        <v>2010</v>
      </c>
      <c r="B132" s="1219">
        <v>102398</v>
      </c>
      <c r="C132" s="1219">
        <v>1</v>
      </c>
      <c r="D132" s="1219">
        <v>2398</v>
      </c>
      <c r="E132" s="1219" t="s">
        <v>2740</v>
      </c>
      <c r="F132" s="1217" t="s">
        <v>2962</v>
      </c>
      <c r="G132" s="1207">
        <v>1771.8466669999998</v>
      </c>
      <c r="H132" s="1207">
        <v>176.95000199999998</v>
      </c>
      <c r="I132" s="1207">
        <v>112</v>
      </c>
      <c r="J132" s="1207">
        <v>56</v>
      </c>
      <c r="K132" s="1207">
        <v>84.133333999999991</v>
      </c>
      <c r="L132" s="1208">
        <v>37790.43009999999</v>
      </c>
      <c r="M132" s="1207">
        <v>5750.2000000000007</v>
      </c>
      <c r="N132" s="1207">
        <v>2393.52</v>
      </c>
      <c r="O132" s="1207">
        <v>1194.96</v>
      </c>
      <c r="P132" s="1207">
        <v>1799.9999999999998</v>
      </c>
      <c r="Q132" s="1207">
        <v>1836.0399999999997</v>
      </c>
      <c r="R132" s="1209">
        <f t="shared" si="58"/>
        <v>50765.150099999992</v>
      </c>
      <c r="S132" s="1159">
        <f t="shared" si="51"/>
        <v>2200.9300029999999</v>
      </c>
      <c r="T132" s="1159">
        <f t="shared" si="52"/>
        <v>252.13333399999999</v>
      </c>
      <c r="U132" s="1210">
        <f t="shared" si="53"/>
        <v>1948.7966689999998</v>
      </c>
      <c r="V132" s="1211"/>
      <c r="W132" s="1212"/>
      <c r="X132" s="1213">
        <f t="shared" si="54"/>
        <v>27548.151107671227</v>
      </c>
      <c r="Y132" s="1214">
        <v>42887</v>
      </c>
      <c r="Z132" s="1220">
        <v>2.12E-2</v>
      </c>
      <c r="AA132" s="1213">
        <f t="shared" si="55"/>
        <v>584.02080348262996</v>
      </c>
      <c r="AB132" s="1216"/>
      <c r="AC132" s="1159">
        <f t="shared" si="56"/>
        <v>41962.930903482615</v>
      </c>
      <c r="AD132" s="1214">
        <v>43252</v>
      </c>
      <c r="AE132" s="1220">
        <v>0.03</v>
      </c>
      <c r="AF132" s="1213">
        <f t="shared" si="57"/>
        <v>1258.8879271044784</v>
      </c>
    </row>
    <row r="133" spans="1:32">
      <c r="A133" s="1217">
        <v>2010</v>
      </c>
      <c r="B133" s="1219">
        <v>151309</v>
      </c>
      <c r="C133" s="1219">
        <v>1</v>
      </c>
      <c r="D133" s="1219">
        <v>51309</v>
      </c>
      <c r="E133" s="1219" t="s">
        <v>2741</v>
      </c>
      <c r="F133" s="1217" t="s">
        <v>2962</v>
      </c>
      <c r="G133" s="1207">
        <v>1706.1999980000001</v>
      </c>
      <c r="H133" s="1207">
        <v>369.243336</v>
      </c>
      <c r="I133" s="1207">
        <v>104</v>
      </c>
      <c r="J133" s="1207">
        <v>48</v>
      </c>
      <c r="K133" s="1207">
        <v>14.966669000000001</v>
      </c>
      <c r="L133" s="1208">
        <v>36343.14</v>
      </c>
      <c r="M133" s="1207">
        <v>11816.64</v>
      </c>
      <c r="N133" s="1207">
        <v>2205.84</v>
      </c>
      <c r="O133" s="1207">
        <v>1021.6800000000001</v>
      </c>
      <c r="P133" s="1207">
        <v>200</v>
      </c>
      <c r="Q133" s="1207">
        <v>701.49</v>
      </c>
      <c r="R133" s="1209">
        <f t="shared" si="58"/>
        <v>52288.789999999994</v>
      </c>
      <c r="S133" s="1159">
        <f t="shared" si="51"/>
        <v>2242.410003</v>
      </c>
      <c r="T133" s="1159">
        <f t="shared" si="52"/>
        <v>166.966669</v>
      </c>
      <c r="U133" s="1210">
        <f t="shared" si="53"/>
        <v>2075.443334</v>
      </c>
      <c r="V133" s="1211"/>
      <c r="W133" s="1212"/>
      <c r="X133" s="1213">
        <f t="shared" si="54"/>
        <v>26344.302410958902</v>
      </c>
      <c r="Y133" s="1214">
        <v>42887</v>
      </c>
      <c r="Z133" s="1220">
        <v>2.12E-2</v>
      </c>
      <c r="AA133" s="1213">
        <f t="shared" si="55"/>
        <v>558.49921111232868</v>
      </c>
      <c r="AB133" s="1216"/>
      <c r="AC133" s="1159">
        <f t="shared" si="56"/>
        <v>40129.159211112325</v>
      </c>
      <c r="AD133" s="1214"/>
      <c r="AE133" s="1220">
        <v>0</v>
      </c>
      <c r="AF133" s="1213">
        <f t="shared" si="57"/>
        <v>0</v>
      </c>
    </row>
    <row r="134" spans="1:32">
      <c r="A134" s="1217">
        <v>2010</v>
      </c>
      <c r="B134" s="1219">
        <v>102617</v>
      </c>
      <c r="C134" s="1219">
        <v>1</v>
      </c>
      <c r="D134" s="1219">
        <v>2617</v>
      </c>
      <c r="E134" s="1219" t="s">
        <v>2742</v>
      </c>
      <c r="F134" s="1217" t="s">
        <v>2962</v>
      </c>
      <c r="G134" s="1207">
        <v>1839.633333</v>
      </c>
      <c r="H134" s="1207">
        <v>667.10333700000001</v>
      </c>
      <c r="I134" s="1207">
        <v>120</v>
      </c>
      <c r="J134" s="1207">
        <v>56</v>
      </c>
      <c r="K134" s="1207">
        <v>16.366667</v>
      </c>
      <c r="L134" s="1208">
        <v>39245.269800000009</v>
      </c>
      <c r="M134" s="1207">
        <v>21550.37</v>
      </c>
      <c r="N134" s="1207">
        <v>2559.6000000000004</v>
      </c>
      <c r="O134" s="1207">
        <v>1194.96</v>
      </c>
      <c r="P134" s="1207">
        <v>1599.9999999999998</v>
      </c>
      <c r="Q134" s="1207">
        <v>384.43</v>
      </c>
      <c r="R134" s="1209">
        <f t="shared" si="58"/>
        <v>66534.629799999995</v>
      </c>
      <c r="S134" s="1159">
        <f t="shared" si="51"/>
        <v>2699.103337</v>
      </c>
      <c r="T134" s="1159">
        <f t="shared" si="52"/>
        <v>192.36666700000001</v>
      </c>
      <c r="U134" s="1210">
        <f t="shared" si="53"/>
        <v>2506.7366700000002</v>
      </c>
      <c r="V134" s="1211"/>
      <c r="W134" s="1212"/>
      <c r="X134" s="1213">
        <f t="shared" si="54"/>
        <v>28627.283949041102</v>
      </c>
      <c r="Y134" s="1214">
        <v>42887</v>
      </c>
      <c r="Z134" s="1220">
        <v>2.12E-2</v>
      </c>
      <c r="AA134" s="1213">
        <f t="shared" si="55"/>
        <v>606.89841971967132</v>
      </c>
      <c r="AB134" s="1216"/>
      <c r="AC134" s="1159">
        <f t="shared" si="56"/>
        <v>43606.728219719676</v>
      </c>
      <c r="AD134" s="1214">
        <v>43252</v>
      </c>
      <c r="AE134" s="1220">
        <v>0.03</v>
      </c>
      <c r="AF134" s="1213">
        <f t="shared" si="57"/>
        <v>1308.2018465915903</v>
      </c>
    </row>
    <row r="135" spans="1:32">
      <c r="A135" s="1217">
        <v>2010</v>
      </c>
      <c r="B135" s="1219">
        <v>102421</v>
      </c>
      <c r="C135" s="1219">
        <v>1</v>
      </c>
      <c r="D135" s="1219">
        <v>2421</v>
      </c>
      <c r="E135" s="1219" t="s">
        <v>2743</v>
      </c>
      <c r="F135" s="1217" t="s">
        <v>2962</v>
      </c>
      <c r="G135" s="1207">
        <v>1817.8133330000001</v>
      </c>
      <c r="H135" s="1207">
        <v>634.64333499999998</v>
      </c>
      <c r="I135" s="1207">
        <v>168</v>
      </c>
      <c r="J135" s="1207">
        <v>56</v>
      </c>
      <c r="K135" s="1207">
        <v>8</v>
      </c>
      <c r="L135" s="1208">
        <v>38782.629900000007</v>
      </c>
      <c r="M135" s="1207">
        <v>20585.509999999995</v>
      </c>
      <c r="N135" s="1207">
        <v>3577.68</v>
      </c>
      <c r="O135" s="1207">
        <v>1194.96</v>
      </c>
      <c r="P135" s="1207">
        <v>2100</v>
      </c>
      <c r="Q135" s="1207">
        <v>206.79000000000002</v>
      </c>
      <c r="R135" s="1209">
        <f t="shared" si="58"/>
        <v>66447.569899999988</v>
      </c>
      <c r="S135" s="1159">
        <f t="shared" si="51"/>
        <v>2684.4566679999998</v>
      </c>
      <c r="T135" s="1159">
        <f t="shared" si="52"/>
        <v>232</v>
      </c>
      <c r="U135" s="1210">
        <f t="shared" si="53"/>
        <v>2452.4566679999998</v>
      </c>
      <c r="V135" s="1211"/>
      <c r="W135" s="1212"/>
      <c r="X135" s="1213">
        <f t="shared" si="54"/>
        <v>28997.070097808224</v>
      </c>
      <c r="Y135" s="1214">
        <v>42887</v>
      </c>
      <c r="Z135" s="1220">
        <v>2.12E-2</v>
      </c>
      <c r="AA135" s="1213">
        <f t="shared" si="55"/>
        <v>614.73788607353436</v>
      </c>
      <c r="AB135" s="1216"/>
      <c r="AC135" s="1159">
        <f t="shared" si="56"/>
        <v>44170.00778607354</v>
      </c>
      <c r="AD135" s="1214">
        <v>43252</v>
      </c>
      <c r="AE135" s="1220">
        <v>0.03</v>
      </c>
      <c r="AF135" s="1213">
        <f t="shared" si="57"/>
        <v>1325.1002335822061</v>
      </c>
    </row>
    <row r="136" spans="1:32">
      <c r="A136" s="1240"/>
      <c r="B136" s="1223"/>
      <c r="C136" s="1223"/>
      <c r="D136" s="1223"/>
      <c r="E136" s="1229"/>
      <c r="F136" s="1217"/>
      <c r="G136" s="1207"/>
      <c r="H136" s="1207"/>
      <c r="I136" s="1207"/>
      <c r="J136" s="1207"/>
      <c r="K136" s="1207"/>
      <c r="L136" s="1208"/>
      <c r="M136" s="1207"/>
      <c r="N136" s="1207"/>
      <c r="O136" s="1207"/>
      <c r="P136" s="1207"/>
      <c r="Q136" s="1207"/>
      <c r="R136" s="1209"/>
      <c r="U136" s="1210"/>
      <c r="V136" s="1211"/>
      <c r="W136" s="1212"/>
      <c r="X136" s="1213"/>
      <c r="Y136" s="1214"/>
      <c r="Z136" s="1215"/>
      <c r="AA136" s="1213"/>
      <c r="AB136" s="1216"/>
      <c r="AC136" s="1159"/>
      <c r="AD136" s="1214"/>
      <c r="AE136" s="1215"/>
      <c r="AF136" s="1213"/>
    </row>
    <row r="137" spans="1:32">
      <c r="A137" s="1217"/>
      <c r="B137" s="1223"/>
      <c r="C137" s="1223"/>
      <c r="D137" s="1223"/>
      <c r="E137" s="1229" t="s">
        <v>2744</v>
      </c>
      <c r="F137" s="1217"/>
      <c r="G137" s="1230">
        <f t="shared" ref="G137:U137" si="59">+SUM(G125:G136)</f>
        <v>19606.843326000002</v>
      </c>
      <c r="H137" s="1230">
        <f t="shared" si="59"/>
        <v>4822.090013</v>
      </c>
      <c r="I137" s="1230">
        <f t="shared" si="59"/>
        <v>1552</v>
      </c>
      <c r="J137" s="1230">
        <f t="shared" si="59"/>
        <v>592</v>
      </c>
      <c r="K137" s="1230">
        <f t="shared" si="59"/>
        <v>333.26667499999996</v>
      </c>
      <c r="L137" s="1241">
        <f t="shared" si="59"/>
        <v>414372.19970000006</v>
      </c>
      <c r="M137" s="1230">
        <f t="shared" si="59"/>
        <v>154963.02000000002</v>
      </c>
      <c r="N137" s="1230">
        <f t="shared" si="59"/>
        <v>32939.519999999997</v>
      </c>
      <c r="O137" s="1230">
        <f t="shared" si="59"/>
        <v>12558.719999999998</v>
      </c>
      <c r="P137" s="1230">
        <f t="shared" si="59"/>
        <v>18375</v>
      </c>
      <c r="Q137" s="1230">
        <f t="shared" si="59"/>
        <v>8520.8500000000022</v>
      </c>
      <c r="R137" s="1232">
        <f t="shared" si="59"/>
        <v>641729.30969999998</v>
      </c>
      <c r="S137" s="1233">
        <f t="shared" si="59"/>
        <v>26906.200014000002</v>
      </c>
      <c r="T137" s="1242">
        <f t="shared" si="59"/>
        <v>2477.2666749999999</v>
      </c>
      <c r="U137" s="1242">
        <f t="shared" si="59"/>
        <v>24428.933339000003</v>
      </c>
      <c r="V137" s="1242"/>
      <c r="W137" s="1242"/>
      <c r="X137" s="1242">
        <f>+SUM(X125:X136)</f>
        <v>306160.32012904109</v>
      </c>
      <c r="Y137" s="1242"/>
      <c r="Z137" s="1242"/>
      <c r="AA137" s="1242">
        <f>+SUM(AA125:AA136)</f>
        <v>10856.956196765514</v>
      </c>
      <c r="AB137" s="1242"/>
      <c r="AC137" s="1242">
        <f>+SUM(AC125:AC136)</f>
        <v>470727.39589676546</v>
      </c>
      <c r="AD137" s="1242"/>
      <c r="AE137" s="1242"/>
      <c r="AF137" s="1242">
        <f>+SUM(AF125:AF136)</f>
        <v>12917.947100569598</v>
      </c>
    </row>
    <row r="138" spans="1:32">
      <c r="A138" s="1240"/>
      <c r="B138" s="1223"/>
      <c r="C138" s="1223"/>
      <c r="D138" s="1223"/>
      <c r="E138" s="1229"/>
      <c r="F138" s="1217"/>
      <c r="G138" s="1207"/>
      <c r="H138" s="1207"/>
      <c r="I138" s="1207"/>
      <c r="J138" s="1207"/>
      <c r="K138" s="1207"/>
      <c r="L138" s="1208"/>
      <c r="M138" s="1207"/>
      <c r="N138" s="1207"/>
      <c r="O138" s="1207"/>
      <c r="P138" s="1207"/>
      <c r="Q138" s="1207"/>
      <c r="R138" s="1209"/>
      <c r="U138" s="1210"/>
      <c r="V138" s="1211"/>
      <c r="W138" s="1212"/>
      <c r="X138" s="1213"/>
      <c r="Y138" s="1214"/>
      <c r="Z138" s="1215"/>
      <c r="AA138" s="1213"/>
      <c r="AB138" s="1216"/>
      <c r="AC138" s="1159"/>
      <c r="AD138" s="1214"/>
      <c r="AE138" s="1215"/>
      <c r="AF138" s="1213"/>
    </row>
    <row r="139" spans="1:32">
      <c r="A139" s="1203" t="s">
        <v>19</v>
      </c>
      <c r="B139" s="1204"/>
      <c r="C139" s="1204"/>
      <c r="D139" s="1204"/>
      <c r="E139" s="1239"/>
      <c r="F139" s="1206"/>
      <c r="G139" s="1207"/>
      <c r="H139" s="1207"/>
      <c r="I139" s="1207"/>
      <c r="J139" s="1207"/>
      <c r="K139" s="1207"/>
      <c r="L139" s="1208"/>
      <c r="M139" s="1207"/>
      <c r="N139" s="1207"/>
      <c r="O139" s="1207"/>
      <c r="P139" s="1207"/>
      <c r="Q139" s="1207"/>
      <c r="R139" s="1209"/>
      <c r="U139" s="1210"/>
      <c r="V139" s="1211"/>
      <c r="W139" s="1212"/>
      <c r="X139" s="1213"/>
      <c r="Y139" s="1214"/>
      <c r="Z139" s="1215"/>
      <c r="AA139" s="1213"/>
      <c r="AB139" s="1216"/>
      <c r="AC139" s="1159"/>
      <c r="AD139" s="1214"/>
      <c r="AE139" s="1215"/>
      <c r="AF139" s="1213"/>
    </row>
    <row r="140" spans="1:32">
      <c r="A140" s="1217">
        <v>2010</v>
      </c>
      <c r="B140" s="1219">
        <v>113421</v>
      </c>
      <c r="C140" s="1219">
        <v>1</v>
      </c>
      <c r="D140" s="1219">
        <v>13421</v>
      </c>
      <c r="E140" s="1219" t="s">
        <v>2745</v>
      </c>
      <c r="F140" s="1217" t="s">
        <v>2963</v>
      </c>
      <c r="G140" s="1207">
        <v>948.59999700000003</v>
      </c>
      <c r="H140" s="1207">
        <v>108.89999899999999</v>
      </c>
      <c r="I140" s="1207">
        <v>70.7</v>
      </c>
      <c r="J140" s="1207">
        <v>32</v>
      </c>
      <c r="K140" s="1207">
        <v>91.400002999999998</v>
      </c>
      <c r="L140" s="1208">
        <v>17226.659899999999</v>
      </c>
      <c r="M140" s="1207">
        <v>3062.05</v>
      </c>
      <c r="N140" s="1207">
        <v>1283.92</v>
      </c>
      <c r="O140" s="1207">
        <v>581.12</v>
      </c>
      <c r="P140" s="1207">
        <v>1400</v>
      </c>
      <c r="Q140" s="1207">
        <v>1697.0000000000002</v>
      </c>
      <c r="R140" s="1209">
        <f t="shared" ref="R140:R149" si="60">SUM(L140:Q140)</f>
        <v>25250.749899999999</v>
      </c>
      <c r="S140" s="1159">
        <f t="shared" ref="S140:S149" si="61">SUM(G140:K140)</f>
        <v>1251.599999</v>
      </c>
      <c r="T140" s="1159">
        <f t="shared" ref="T140:T149" si="62">I140+J140+K140</f>
        <v>194.10000300000002</v>
      </c>
      <c r="U140" s="1210">
        <f t="shared" ref="U140:U149" si="63">S140-T140</f>
        <v>1057.499996</v>
      </c>
      <c r="V140" s="1211"/>
      <c r="W140" s="1212"/>
      <c r="X140" s="1213"/>
      <c r="Y140" s="1214"/>
      <c r="Z140" s="1220">
        <v>0</v>
      </c>
      <c r="AA140" s="1213">
        <f t="shared" ref="AA140:AA149" si="64">X140*Z140</f>
        <v>0</v>
      </c>
      <c r="AB140" s="1216"/>
      <c r="AC140" s="1159">
        <f t="shared" ref="AC140:AC149" si="65">SUM(L140,N140:O140)+AA140</f>
        <v>19091.699899999996</v>
      </c>
      <c r="AD140" s="1214"/>
      <c r="AE140" s="1220">
        <v>0</v>
      </c>
      <c r="AF140" s="1213">
        <f t="shared" ref="AF140:AF149" si="66">AC140*AE140</f>
        <v>0</v>
      </c>
    </row>
    <row r="141" spans="1:32">
      <c r="A141" s="1217">
        <v>2010</v>
      </c>
      <c r="B141" s="1219">
        <v>156533</v>
      </c>
      <c r="C141" s="1219">
        <v>1</v>
      </c>
      <c r="D141" s="1219">
        <v>56533</v>
      </c>
      <c r="E141" s="1219" t="s">
        <v>2746</v>
      </c>
      <c r="F141" s="1217" t="s">
        <v>2963</v>
      </c>
      <c r="G141" s="1207">
        <v>1012.33</v>
      </c>
      <c r="H141" s="1207">
        <v>206.95000500000003</v>
      </c>
      <c r="I141" s="1207">
        <v>16</v>
      </c>
      <c r="J141" s="1207">
        <v>16</v>
      </c>
      <c r="K141" s="1207">
        <v>3.7</v>
      </c>
      <c r="L141" s="1208">
        <v>18480.739999999998</v>
      </c>
      <c r="M141" s="1207">
        <v>5723.9399999999987</v>
      </c>
      <c r="N141" s="1207">
        <v>290.56</v>
      </c>
      <c r="O141" s="1207">
        <v>295.36</v>
      </c>
      <c r="P141" s="1207">
        <v>600</v>
      </c>
      <c r="Q141" s="1207">
        <v>104.6</v>
      </c>
      <c r="R141" s="1209">
        <f t="shared" si="60"/>
        <v>25495.199999999997</v>
      </c>
      <c r="S141" s="1159">
        <f t="shared" si="61"/>
        <v>1254.9800050000001</v>
      </c>
      <c r="T141" s="1159">
        <f t="shared" si="62"/>
        <v>35.700000000000003</v>
      </c>
      <c r="U141" s="1210">
        <f t="shared" si="63"/>
        <v>1219.2800050000001</v>
      </c>
      <c r="V141" s="1211"/>
      <c r="W141" s="1212"/>
      <c r="X141" s="1213">
        <f t="shared" ref="X141:X148" si="67">SUM(L141,N141:O141)*((VLOOKUP(Y141,$AJ$9:$AK$30,2,FALSE))/365)</f>
        <v>12693.694191780822</v>
      </c>
      <c r="Y141" s="1214">
        <v>42887</v>
      </c>
      <c r="Z141" s="1220">
        <v>3.3039647577092587E-2</v>
      </c>
      <c r="AA141" s="1213">
        <f t="shared" si="64"/>
        <v>419.39518254782547</v>
      </c>
      <c r="AB141" s="1216"/>
      <c r="AC141" s="1159">
        <f t="shared" si="65"/>
        <v>19486.055182547825</v>
      </c>
      <c r="AD141" s="1214">
        <v>43252</v>
      </c>
      <c r="AE141" s="1220">
        <v>0.03</v>
      </c>
      <c r="AF141" s="1213">
        <f t="shared" si="66"/>
        <v>584.58165547643478</v>
      </c>
    </row>
    <row r="142" spans="1:32">
      <c r="A142" s="1217">
        <v>2010</v>
      </c>
      <c r="B142" s="1219">
        <v>301365</v>
      </c>
      <c r="C142" s="1219">
        <v>3</v>
      </c>
      <c r="D142" s="1219">
        <v>1365</v>
      </c>
      <c r="E142" s="1219" t="s">
        <v>2747</v>
      </c>
      <c r="F142" s="1217" t="s">
        <v>2963</v>
      </c>
      <c r="G142" s="1207">
        <v>581.63333299999999</v>
      </c>
      <c r="H142" s="1207">
        <v>182.066667</v>
      </c>
      <c r="I142" s="1207">
        <v>0</v>
      </c>
      <c r="J142" s="1207">
        <v>8</v>
      </c>
      <c r="K142" s="1207">
        <v>2.3666670000000001</v>
      </c>
      <c r="L142" s="1208">
        <v>10454.919999999998</v>
      </c>
      <c r="M142" s="1207">
        <v>4893.1900000000005</v>
      </c>
      <c r="N142" s="1207">
        <v>0</v>
      </c>
      <c r="O142" s="1207">
        <v>150.08000000000001</v>
      </c>
      <c r="P142" s="1207">
        <v>0</v>
      </c>
      <c r="Q142" s="1207">
        <v>45.390000000000008</v>
      </c>
      <c r="R142" s="1209">
        <f t="shared" si="60"/>
        <v>15543.579999999998</v>
      </c>
      <c r="S142" s="1159">
        <f t="shared" si="61"/>
        <v>774.06666700000005</v>
      </c>
      <c r="T142" s="1159">
        <f t="shared" si="62"/>
        <v>10.366667</v>
      </c>
      <c r="U142" s="1210">
        <f t="shared" si="63"/>
        <v>763.7</v>
      </c>
      <c r="V142" s="1211"/>
      <c r="W142" s="1212"/>
      <c r="X142" s="1213">
        <f t="shared" si="67"/>
        <v>8251.5616438356155</v>
      </c>
      <c r="Y142" s="1214">
        <v>42928</v>
      </c>
      <c r="Z142" s="1220">
        <v>0.16089108910891065</v>
      </c>
      <c r="AA142" s="1213">
        <f t="shared" si="64"/>
        <v>1327.6027397260252</v>
      </c>
      <c r="AB142" s="1216"/>
      <c r="AC142" s="1159">
        <f t="shared" si="65"/>
        <v>11932.602739726024</v>
      </c>
      <c r="AD142" s="1214">
        <v>43252</v>
      </c>
      <c r="AE142" s="1220">
        <v>0.03</v>
      </c>
      <c r="AF142" s="1213">
        <f t="shared" si="66"/>
        <v>357.97808219178069</v>
      </c>
    </row>
    <row r="143" spans="1:32">
      <c r="A143" s="1217">
        <v>2010</v>
      </c>
      <c r="B143" s="1219">
        <v>103676</v>
      </c>
      <c r="C143" s="1219">
        <v>1</v>
      </c>
      <c r="D143" s="1219">
        <v>3676</v>
      </c>
      <c r="E143" s="1219" t="s">
        <v>2748</v>
      </c>
      <c r="F143" s="1217" t="s">
        <v>2963</v>
      </c>
      <c r="G143" s="1207">
        <v>1826.7466690000001</v>
      </c>
      <c r="H143" s="1207">
        <v>486.40999499999998</v>
      </c>
      <c r="I143" s="1207">
        <v>120</v>
      </c>
      <c r="J143" s="1207">
        <v>56</v>
      </c>
      <c r="K143" s="1207">
        <v>33.133330999999998</v>
      </c>
      <c r="L143" s="1208">
        <v>33465.399900000011</v>
      </c>
      <c r="M143" s="1207">
        <v>13599.489999999998</v>
      </c>
      <c r="N143" s="1207">
        <v>2203.1999999999998</v>
      </c>
      <c r="O143" s="1207">
        <v>1026.56</v>
      </c>
      <c r="P143" s="1207">
        <v>2100</v>
      </c>
      <c r="Q143" s="1207">
        <v>649.64</v>
      </c>
      <c r="R143" s="1209">
        <f t="shared" si="60"/>
        <v>53044.289900000003</v>
      </c>
      <c r="S143" s="1159">
        <f t="shared" si="61"/>
        <v>2522.2899950000001</v>
      </c>
      <c r="T143" s="1159">
        <f t="shared" si="62"/>
        <v>209.133331</v>
      </c>
      <c r="U143" s="1210">
        <f t="shared" si="63"/>
        <v>2313.1566640000001</v>
      </c>
      <c r="V143" s="1211"/>
      <c r="W143" s="1212"/>
      <c r="X143" s="1213">
        <f t="shared" si="67"/>
        <v>24429.928371780828</v>
      </c>
      <c r="Y143" s="1214">
        <v>42887</v>
      </c>
      <c r="Z143" s="1220">
        <v>3.3039647577092587E-2</v>
      </c>
      <c r="AA143" s="1213">
        <f t="shared" si="64"/>
        <v>807.15622373725387</v>
      </c>
      <c r="AB143" s="1216"/>
      <c r="AC143" s="1159">
        <f t="shared" si="65"/>
        <v>37502.316123737262</v>
      </c>
      <c r="AD143" s="1214">
        <v>43252</v>
      </c>
      <c r="AE143" s="1220">
        <v>0.03</v>
      </c>
      <c r="AF143" s="1213">
        <f t="shared" si="66"/>
        <v>1125.0694837121177</v>
      </c>
    </row>
    <row r="144" spans="1:32">
      <c r="A144" s="1217">
        <v>2010</v>
      </c>
      <c r="B144" s="1219">
        <v>103486</v>
      </c>
      <c r="C144" s="1219">
        <v>1</v>
      </c>
      <c r="D144" s="1219">
        <v>3486</v>
      </c>
      <c r="E144" s="1219" t="s">
        <v>2749</v>
      </c>
      <c r="F144" s="1217" t="s">
        <v>2963</v>
      </c>
      <c r="G144" s="1207">
        <v>1766.1333320000001</v>
      </c>
      <c r="H144" s="1207">
        <v>362.85666800000007</v>
      </c>
      <c r="I144" s="1207">
        <v>112</v>
      </c>
      <c r="J144" s="1207">
        <v>56</v>
      </c>
      <c r="K144" s="1207">
        <v>57.383333999999998</v>
      </c>
      <c r="L144" s="1208">
        <v>32361.339800000002</v>
      </c>
      <c r="M144" s="1207">
        <v>10109.269999999999</v>
      </c>
      <c r="N144" s="1207">
        <v>2057.92</v>
      </c>
      <c r="O144" s="1207">
        <v>1026.56</v>
      </c>
      <c r="P144" s="1207">
        <v>1500</v>
      </c>
      <c r="Q144" s="1207">
        <v>1088.6499999999999</v>
      </c>
      <c r="R144" s="1209">
        <f t="shared" si="60"/>
        <v>48143.739799999996</v>
      </c>
      <c r="S144" s="1159">
        <f t="shared" si="61"/>
        <v>2354.3733340000003</v>
      </c>
      <c r="T144" s="1159">
        <f t="shared" si="62"/>
        <v>225.38333399999999</v>
      </c>
      <c r="U144" s="1210">
        <f t="shared" si="63"/>
        <v>2128.9900000000002</v>
      </c>
      <c r="V144" s="1211"/>
      <c r="W144" s="1212"/>
      <c r="X144" s="1213">
        <f t="shared" si="67"/>
        <v>23598.175921643837</v>
      </c>
      <c r="Y144" s="1214">
        <v>42887</v>
      </c>
      <c r="Z144" s="1220">
        <v>3.3039647577092587E-2</v>
      </c>
      <c r="AA144" s="1213">
        <f t="shared" si="64"/>
        <v>779.67541591334441</v>
      </c>
      <c r="AB144" s="1216"/>
      <c r="AC144" s="1159">
        <f t="shared" si="65"/>
        <v>36225.495215913339</v>
      </c>
      <c r="AD144" s="1214">
        <v>43252</v>
      </c>
      <c r="AE144" s="1220">
        <v>0.03</v>
      </c>
      <c r="AF144" s="1213">
        <f t="shared" si="66"/>
        <v>1086.7648564774001</v>
      </c>
    </row>
    <row r="145" spans="1:32">
      <c r="A145" s="1217">
        <v>2010</v>
      </c>
      <c r="B145" s="1219">
        <v>112557</v>
      </c>
      <c r="C145" s="1219">
        <v>1</v>
      </c>
      <c r="D145" s="1219">
        <v>12557</v>
      </c>
      <c r="E145" s="1219" t="s">
        <v>2750</v>
      </c>
      <c r="F145" s="1217" t="s">
        <v>2963</v>
      </c>
      <c r="G145" s="1207">
        <v>1861.4433319999998</v>
      </c>
      <c r="H145" s="1207">
        <v>435.00999900000005</v>
      </c>
      <c r="I145" s="1207">
        <v>88</v>
      </c>
      <c r="J145" s="1207">
        <v>56</v>
      </c>
      <c r="K145" s="1207">
        <v>62.383333999999998</v>
      </c>
      <c r="L145" s="1208">
        <v>34107.609900000003</v>
      </c>
      <c r="M145" s="1207">
        <v>12078.429999999997</v>
      </c>
      <c r="N145" s="1207">
        <v>1617.2800000000002</v>
      </c>
      <c r="O145" s="1207">
        <v>1026.56</v>
      </c>
      <c r="P145" s="1207">
        <v>999.99999999999977</v>
      </c>
      <c r="Q145" s="1207">
        <v>1174.3700000000001</v>
      </c>
      <c r="R145" s="1209">
        <f t="shared" si="60"/>
        <v>51004.249900000003</v>
      </c>
      <c r="S145" s="1159">
        <f t="shared" si="61"/>
        <v>2502.8366649999998</v>
      </c>
      <c r="T145" s="1159">
        <f t="shared" si="62"/>
        <v>206.38333399999999</v>
      </c>
      <c r="U145" s="1210">
        <f t="shared" si="63"/>
        <v>2296.4533309999997</v>
      </c>
      <c r="V145" s="1211"/>
      <c r="W145" s="1212"/>
      <c r="X145" s="1213">
        <f t="shared" si="67"/>
        <v>24467.403632054797</v>
      </c>
      <c r="Y145" s="1214">
        <v>42887</v>
      </c>
      <c r="Z145" s="1220">
        <v>3.3039647577092587E-2</v>
      </c>
      <c r="AA145" s="1213">
        <f t="shared" si="64"/>
        <v>808.39439312956563</v>
      </c>
      <c r="AB145" s="1216"/>
      <c r="AC145" s="1159">
        <f t="shared" si="65"/>
        <v>37559.844293129565</v>
      </c>
      <c r="AD145" s="1214">
        <v>43252</v>
      </c>
      <c r="AE145" s="1220">
        <v>0.03</v>
      </c>
      <c r="AF145" s="1213">
        <f t="shared" si="66"/>
        <v>1126.7953287938869</v>
      </c>
    </row>
    <row r="146" spans="1:32">
      <c r="A146" s="1217">
        <v>2010</v>
      </c>
      <c r="B146" s="1219">
        <v>103237</v>
      </c>
      <c r="C146" s="1219">
        <v>1</v>
      </c>
      <c r="D146" s="1219">
        <v>3237</v>
      </c>
      <c r="E146" s="1219" t="s">
        <v>2751</v>
      </c>
      <c r="F146" s="1217" t="s">
        <v>2963</v>
      </c>
      <c r="G146" s="1207">
        <v>1844.5166659999998</v>
      </c>
      <c r="H146" s="1207">
        <v>426.43333500000006</v>
      </c>
      <c r="I146" s="1207">
        <v>128</v>
      </c>
      <c r="J146" s="1207">
        <v>56</v>
      </c>
      <c r="K146" s="1207">
        <v>56.800000000000004</v>
      </c>
      <c r="L146" s="1208">
        <v>33791.620100000015</v>
      </c>
      <c r="M146" s="1207">
        <v>11879.5</v>
      </c>
      <c r="N146" s="1207">
        <v>2358.08</v>
      </c>
      <c r="O146" s="1207">
        <v>1026.56</v>
      </c>
      <c r="P146" s="1207">
        <v>1574.9999999999998</v>
      </c>
      <c r="Q146" s="1207">
        <v>1070.24</v>
      </c>
      <c r="R146" s="1209">
        <f t="shared" si="60"/>
        <v>51701.000100000012</v>
      </c>
      <c r="S146" s="1159">
        <f t="shared" si="61"/>
        <v>2511.7500009999999</v>
      </c>
      <c r="T146" s="1159">
        <f t="shared" si="62"/>
        <v>240.8</v>
      </c>
      <c r="U146" s="1210">
        <f t="shared" si="63"/>
        <v>2270.9500009999997</v>
      </c>
      <c r="V146" s="1211"/>
      <c r="W146" s="1212"/>
      <c r="X146" s="1213">
        <f t="shared" si="67"/>
        <v>24750.222477534258</v>
      </c>
      <c r="Y146" s="1214">
        <v>42887</v>
      </c>
      <c r="Z146" s="1220">
        <v>3.3039647577092587E-2</v>
      </c>
      <c r="AA146" s="1213">
        <f t="shared" si="64"/>
        <v>817.73862811236722</v>
      </c>
      <c r="AB146" s="1216"/>
      <c r="AC146" s="1159">
        <f t="shared" si="65"/>
        <v>37993.998728112383</v>
      </c>
      <c r="AD146" s="1214">
        <v>43252</v>
      </c>
      <c r="AE146" s="1220">
        <v>0.03</v>
      </c>
      <c r="AF146" s="1213">
        <f t="shared" si="66"/>
        <v>1139.8199618433714</v>
      </c>
    </row>
    <row r="147" spans="1:32">
      <c r="A147" s="1217">
        <v>2010</v>
      </c>
      <c r="B147" s="1219">
        <v>156622</v>
      </c>
      <c r="C147" s="1219">
        <v>1</v>
      </c>
      <c r="D147" s="1219">
        <v>56622</v>
      </c>
      <c r="E147" s="1219" t="s">
        <v>2752</v>
      </c>
      <c r="F147" s="1217" t="s">
        <v>2963</v>
      </c>
      <c r="G147" s="1207">
        <v>1953.6333319999999</v>
      </c>
      <c r="H147" s="1207">
        <v>589.90000099999975</v>
      </c>
      <c r="I147" s="1207">
        <v>40</v>
      </c>
      <c r="J147" s="1207">
        <v>56</v>
      </c>
      <c r="K147" s="1207">
        <v>23.333334999999998</v>
      </c>
      <c r="L147" s="1208">
        <v>35541.280000000013</v>
      </c>
      <c r="M147" s="1207">
        <v>16090.990000000002</v>
      </c>
      <c r="N147" s="1207">
        <v>726.4</v>
      </c>
      <c r="O147" s="1207">
        <v>1010.5600000000001</v>
      </c>
      <c r="P147" s="1207">
        <v>1249.9999999999998</v>
      </c>
      <c r="Q147" s="1207">
        <v>462.36999999999995</v>
      </c>
      <c r="R147" s="1209">
        <f t="shared" si="60"/>
        <v>55081.60000000002</v>
      </c>
      <c r="S147" s="1159">
        <f t="shared" si="61"/>
        <v>2662.8666679999992</v>
      </c>
      <c r="T147" s="1159">
        <f t="shared" si="62"/>
        <v>119.33333500000001</v>
      </c>
      <c r="U147" s="1210">
        <f t="shared" si="63"/>
        <v>2543.5333329999994</v>
      </c>
      <c r="V147" s="1211"/>
      <c r="W147" s="1212"/>
      <c r="X147" s="1213">
        <f t="shared" si="67"/>
        <v>24818.115945205489</v>
      </c>
      <c r="Y147" s="1214">
        <v>42887</v>
      </c>
      <c r="Z147" s="1220">
        <v>0.16089108910891098</v>
      </c>
      <c r="AA147" s="1213">
        <f t="shared" si="64"/>
        <v>3993.0137040553409</v>
      </c>
      <c r="AB147" s="1216"/>
      <c r="AC147" s="1159">
        <f t="shared" si="65"/>
        <v>41271.253704055351</v>
      </c>
      <c r="AD147" s="1214">
        <v>43252</v>
      </c>
      <c r="AE147" s="1220">
        <v>0.03</v>
      </c>
      <c r="AF147" s="1213">
        <f t="shared" si="66"/>
        <v>1238.1376111216605</v>
      </c>
    </row>
    <row r="148" spans="1:32">
      <c r="A148" s="1217">
        <v>2010</v>
      </c>
      <c r="B148" s="1219">
        <v>150107</v>
      </c>
      <c r="C148" s="1219">
        <v>1</v>
      </c>
      <c r="D148" s="1219">
        <v>50107</v>
      </c>
      <c r="E148" s="1219" t="s">
        <v>2753</v>
      </c>
      <c r="F148" s="1217" t="s">
        <v>2963</v>
      </c>
      <c r="G148" s="1207">
        <v>1534.1333339999999</v>
      </c>
      <c r="H148" s="1207">
        <v>96.920001999999997</v>
      </c>
      <c r="I148" s="1207">
        <v>32</v>
      </c>
      <c r="J148" s="1207">
        <v>56</v>
      </c>
      <c r="K148" s="1207">
        <v>167.49333299999995</v>
      </c>
      <c r="L148" s="1208">
        <v>32737.700099999998</v>
      </c>
      <c r="M148" s="1207">
        <v>3137.7099999999996</v>
      </c>
      <c r="N148" s="1207">
        <v>678.72</v>
      </c>
      <c r="O148" s="1207">
        <v>1194.96</v>
      </c>
      <c r="P148" s="1207">
        <v>1399.9999999999998</v>
      </c>
      <c r="Q148" s="1207">
        <v>3620.4199999999992</v>
      </c>
      <c r="R148" s="1209">
        <f t="shared" si="60"/>
        <v>42769.5101</v>
      </c>
      <c r="S148" s="1159">
        <f t="shared" si="61"/>
        <v>1886.5466689999998</v>
      </c>
      <c r="T148" s="1159">
        <f t="shared" si="62"/>
        <v>255.49333299999995</v>
      </c>
      <c r="U148" s="1210">
        <f t="shared" si="63"/>
        <v>1631.0533359999999</v>
      </c>
      <c r="V148" s="1211"/>
      <c r="W148" s="1212"/>
      <c r="X148" s="1213">
        <f t="shared" si="67"/>
        <v>23042.644833698629</v>
      </c>
      <c r="Y148" s="1214">
        <v>42887</v>
      </c>
      <c r="Z148" s="1220">
        <v>2.1216407355021182E-2</v>
      </c>
      <c r="AA148" s="1213">
        <f t="shared" si="64"/>
        <v>488.88213932882445</v>
      </c>
      <c r="AB148" s="1216"/>
      <c r="AC148" s="1159">
        <f t="shared" si="65"/>
        <v>35100.262239328818</v>
      </c>
      <c r="AD148" s="1214">
        <v>43252</v>
      </c>
      <c r="AE148" s="1220">
        <v>-0.10790397045244689</v>
      </c>
      <c r="AF148" s="1213">
        <f t="shared" si="66"/>
        <v>-3787.4576595456742</v>
      </c>
    </row>
    <row r="149" spans="1:32">
      <c r="A149" s="1217">
        <v>2010</v>
      </c>
      <c r="B149" s="1219">
        <v>116399</v>
      </c>
      <c r="C149" s="1219">
        <v>1</v>
      </c>
      <c r="D149" s="1219">
        <v>16399</v>
      </c>
      <c r="E149" s="1219" t="s">
        <v>2754</v>
      </c>
      <c r="F149" s="1217" t="s">
        <v>2963</v>
      </c>
      <c r="G149" s="1207">
        <v>720</v>
      </c>
      <c r="H149" s="1207">
        <v>205.83333299999998</v>
      </c>
      <c r="I149" s="1207">
        <v>24</v>
      </c>
      <c r="J149" s="1207">
        <v>32</v>
      </c>
      <c r="K149" s="1207">
        <v>8</v>
      </c>
      <c r="L149" s="1208">
        <v>13075.199999999999</v>
      </c>
      <c r="M149" s="1207">
        <v>5606.95</v>
      </c>
      <c r="N149" s="1207">
        <v>435.84000000000003</v>
      </c>
      <c r="O149" s="1207">
        <v>581.12</v>
      </c>
      <c r="P149" s="1207">
        <v>0</v>
      </c>
      <c r="Q149" s="1207">
        <v>182.4</v>
      </c>
      <c r="R149" s="1209">
        <f t="shared" si="60"/>
        <v>19881.509999999998</v>
      </c>
      <c r="S149" s="1159">
        <f t="shared" si="61"/>
        <v>989.83333300000004</v>
      </c>
      <c r="T149" s="1159">
        <f t="shared" si="62"/>
        <v>64</v>
      </c>
      <c r="U149" s="1210">
        <f t="shared" si="63"/>
        <v>925.83333300000004</v>
      </c>
      <c r="V149" s="1211"/>
      <c r="W149" s="1212"/>
      <c r="X149" s="1213"/>
      <c r="Y149" s="1214"/>
      <c r="Z149" s="1220">
        <v>0</v>
      </c>
      <c r="AA149" s="1213">
        <f t="shared" si="64"/>
        <v>0</v>
      </c>
      <c r="AB149" s="1216"/>
      <c r="AC149" s="1159">
        <f t="shared" si="65"/>
        <v>14092.16</v>
      </c>
      <c r="AD149" s="1214"/>
      <c r="AE149" s="1220">
        <v>0</v>
      </c>
      <c r="AF149" s="1213">
        <f t="shared" si="66"/>
        <v>0</v>
      </c>
    </row>
    <row r="150" spans="1:32">
      <c r="A150" s="1217"/>
      <c r="B150" s="1219"/>
      <c r="C150" s="1219"/>
      <c r="D150" s="1219"/>
      <c r="E150" s="1219"/>
      <c r="F150" s="1217"/>
      <c r="G150" s="1207"/>
      <c r="H150" s="1207"/>
      <c r="I150" s="1207"/>
      <c r="J150" s="1207"/>
      <c r="K150" s="1207"/>
      <c r="L150" s="1208"/>
      <c r="M150" s="1207"/>
      <c r="N150" s="1207"/>
      <c r="O150" s="1207"/>
      <c r="P150" s="1207"/>
      <c r="Q150" s="1207"/>
      <c r="R150" s="1209"/>
      <c r="U150" s="1210"/>
      <c r="V150" s="1211"/>
      <c r="W150" s="1212"/>
      <c r="X150" s="1213"/>
      <c r="Y150" s="1214"/>
      <c r="Z150" s="1215"/>
      <c r="AA150" s="1213"/>
      <c r="AB150" s="1216"/>
      <c r="AC150" s="1159"/>
      <c r="AD150" s="1214"/>
      <c r="AE150" s="1215"/>
      <c r="AF150" s="1213"/>
    </row>
    <row r="151" spans="1:32">
      <c r="A151" s="1217"/>
      <c r="B151" s="1223"/>
      <c r="C151" s="1223"/>
      <c r="D151" s="1223"/>
      <c r="E151" s="1229" t="s">
        <v>2755</v>
      </c>
      <c r="F151" s="1217"/>
      <c r="G151" s="1230">
        <f>+SUM(G140:G150)</f>
        <v>14049.169995</v>
      </c>
      <c r="H151" s="1230">
        <f t="shared" ref="H151:Q151" si="68">+SUM(H140:H150)</f>
        <v>3101.2800039999997</v>
      </c>
      <c r="I151" s="1230">
        <f t="shared" si="68"/>
        <v>630.70000000000005</v>
      </c>
      <c r="J151" s="1230">
        <f t="shared" si="68"/>
        <v>424</v>
      </c>
      <c r="K151" s="1230">
        <f t="shared" si="68"/>
        <v>505.99333699999994</v>
      </c>
      <c r="L151" s="1241">
        <f t="shared" si="68"/>
        <v>261242.46970000005</v>
      </c>
      <c r="M151" s="1230">
        <f t="shared" si="68"/>
        <v>86181.52</v>
      </c>
      <c r="N151" s="1230">
        <f t="shared" si="68"/>
        <v>11651.92</v>
      </c>
      <c r="O151" s="1230">
        <f t="shared" si="68"/>
        <v>7919.44</v>
      </c>
      <c r="P151" s="1230">
        <f t="shared" si="68"/>
        <v>10825</v>
      </c>
      <c r="Q151" s="1230">
        <f t="shared" si="68"/>
        <v>10095.079999999998</v>
      </c>
      <c r="R151" s="1232">
        <f>+SUM(R140:R150)</f>
        <v>387915.42970000004</v>
      </c>
      <c r="S151" s="1233">
        <f>+SUM(S140:S150)</f>
        <v>18711.143335999997</v>
      </c>
      <c r="T151" s="1242">
        <f t="shared" ref="T151:AF151" si="69">+SUM(T140:T150)</f>
        <v>1560.6933369999999</v>
      </c>
      <c r="U151" s="1242">
        <f t="shared" si="69"/>
        <v>17150.449998999997</v>
      </c>
      <c r="V151" s="1242"/>
      <c r="W151" s="1242"/>
      <c r="X151" s="1242">
        <f t="shared" si="69"/>
        <v>166051.7470175343</v>
      </c>
      <c r="Y151" s="1242"/>
      <c r="Z151" s="1242"/>
      <c r="AA151" s="1242">
        <f t="shared" si="69"/>
        <v>9441.8584265505451</v>
      </c>
      <c r="AB151" s="1242"/>
      <c r="AC151" s="1242">
        <f t="shared" si="69"/>
        <v>290255.68812655058</v>
      </c>
      <c r="AD151" s="1242"/>
      <c r="AE151" s="1242"/>
      <c r="AF151" s="1242">
        <f t="shared" si="69"/>
        <v>2871.6893200709778</v>
      </c>
    </row>
    <row r="152" spans="1:32">
      <c r="A152" s="1217"/>
      <c r="B152" s="1219"/>
      <c r="C152" s="1219"/>
      <c r="D152" s="1219"/>
      <c r="E152" s="1219"/>
      <c r="F152" s="1217"/>
      <c r="G152" s="1207"/>
      <c r="H152" s="1207"/>
      <c r="I152" s="1207"/>
      <c r="J152" s="1207"/>
      <c r="K152" s="1207"/>
      <c r="L152" s="1208"/>
      <c r="M152" s="1207"/>
      <c r="N152" s="1207"/>
      <c r="O152" s="1207"/>
      <c r="P152" s="1207"/>
      <c r="Q152" s="1207"/>
      <c r="R152" s="1209"/>
      <c r="U152" s="1210"/>
      <c r="V152" s="1211"/>
      <c r="W152" s="1212"/>
      <c r="X152" s="1213"/>
      <c r="Y152" s="1214"/>
      <c r="Z152" s="1215"/>
      <c r="AA152" s="1213"/>
      <c r="AB152" s="1216"/>
      <c r="AC152" s="1159"/>
      <c r="AD152" s="1214"/>
      <c r="AE152" s="1215"/>
      <c r="AF152" s="1213"/>
    </row>
    <row r="153" spans="1:32">
      <c r="A153" s="1203" t="s">
        <v>1241</v>
      </c>
      <c r="B153" s="1204"/>
      <c r="C153" s="1204"/>
      <c r="D153" s="1204"/>
      <c r="E153" s="1239"/>
      <c r="F153" s="1206"/>
      <c r="G153" s="1207"/>
      <c r="H153" s="1207"/>
      <c r="I153" s="1207"/>
      <c r="J153" s="1207"/>
      <c r="K153" s="1207"/>
      <c r="L153" s="1208"/>
      <c r="M153" s="1207"/>
      <c r="N153" s="1207"/>
      <c r="O153" s="1207"/>
      <c r="P153" s="1207"/>
      <c r="Q153" s="1207"/>
      <c r="R153" s="1209"/>
      <c r="U153" s="1210"/>
      <c r="V153" s="1211"/>
      <c r="W153" s="1212"/>
      <c r="X153" s="1213"/>
      <c r="Y153" s="1214"/>
      <c r="Z153" s="1215"/>
      <c r="AA153" s="1213"/>
      <c r="AB153" s="1216"/>
      <c r="AC153" s="1159"/>
      <c r="AD153" s="1214"/>
      <c r="AE153" s="1215"/>
      <c r="AF153" s="1213"/>
    </row>
    <row r="154" spans="1:32">
      <c r="A154" s="1217">
        <v>2010</v>
      </c>
      <c r="B154" s="1219">
        <v>102753</v>
      </c>
      <c r="C154" s="1219">
        <v>1</v>
      </c>
      <c r="D154" s="1219">
        <v>2753</v>
      </c>
      <c r="E154" s="1219" t="s">
        <v>2756</v>
      </c>
      <c r="F154" s="1217" t="s">
        <v>2964</v>
      </c>
      <c r="G154" s="1207">
        <v>1778.5000020000002</v>
      </c>
      <c r="H154" s="1207">
        <v>498.57000100000005</v>
      </c>
      <c r="I154" s="1207">
        <v>104</v>
      </c>
      <c r="J154" s="1207">
        <v>48</v>
      </c>
      <c r="K154" s="1207">
        <v>30.199998000000001</v>
      </c>
      <c r="L154" s="1208">
        <v>37937.540000000008</v>
      </c>
      <c r="M154" s="1207">
        <v>16241.17</v>
      </c>
      <c r="N154" s="1207">
        <v>2223.84</v>
      </c>
      <c r="O154" s="1207">
        <v>1021.6800000000001</v>
      </c>
      <c r="P154" s="1207">
        <v>2271.1999999999998</v>
      </c>
      <c r="Q154" s="1207">
        <v>678.56</v>
      </c>
      <c r="R154" s="1209">
        <f t="shared" ref="R154:R157" si="70">SUM(L154:Q154)</f>
        <v>60373.99</v>
      </c>
      <c r="S154" s="1159">
        <f t="shared" ref="S154:S157" si="71">SUM(G154:K154)</f>
        <v>2459.2700010000003</v>
      </c>
      <c r="T154" s="1159">
        <f t="shared" ref="T154:T157" si="72">I154+J154+K154</f>
        <v>182.19999799999999</v>
      </c>
      <c r="U154" s="1210">
        <f t="shared" ref="U154:U157" si="73">S154-T154</f>
        <v>2277.0700030000003</v>
      </c>
      <c r="V154" s="1211"/>
      <c r="W154" s="1212"/>
      <c r="X154" s="1213">
        <f t="shared" ref="X154:X157" si="74">SUM(L154,N154:O154)*((VLOOKUP(Y154,$AJ$9:$AK$30,2,FALSE))/365)</f>
        <v>27417.763232876718</v>
      </c>
      <c r="Y154" s="1214">
        <v>42887</v>
      </c>
      <c r="Z154" s="1220">
        <v>2.1216407355021182E-2</v>
      </c>
      <c r="AA154" s="1213">
        <f t="shared" ref="AA154:AA157" si="75">X154*Z154</f>
        <v>581.70643351223498</v>
      </c>
      <c r="AB154" s="1216"/>
      <c r="AC154" s="1159">
        <f t="shared" ref="AC154:AC157" si="76">SUM(L154,N154:O154)+AA154</f>
        <v>41764.766433512239</v>
      </c>
      <c r="AD154" s="1214">
        <v>43252</v>
      </c>
      <c r="AE154" s="1220">
        <v>0.03</v>
      </c>
      <c r="AF154" s="1213">
        <f t="shared" ref="AF154:AF157" si="77">AC154*AE154</f>
        <v>1252.942993005367</v>
      </c>
    </row>
    <row r="155" spans="1:32">
      <c r="A155" s="1217">
        <v>2010</v>
      </c>
      <c r="B155" s="1219">
        <v>102249</v>
      </c>
      <c r="C155" s="1219">
        <v>1</v>
      </c>
      <c r="D155" s="1219">
        <v>2249</v>
      </c>
      <c r="E155" s="1219" t="s">
        <v>2757</v>
      </c>
      <c r="F155" s="1217" t="s">
        <v>2964</v>
      </c>
      <c r="G155" s="1207">
        <v>1838.5833320000002</v>
      </c>
      <c r="H155" s="1207">
        <v>415.02333400000009</v>
      </c>
      <c r="I155" s="1207">
        <v>120</v>
      </c>
      <c r="J155" s="1207">
        <v>56</v>
      </c>
      <c r="K155" s="1207">
        <v>25.416667999999998</v>
      </c>
      <c r="L155" s="1208">
        <v>41047.410000000018</v>
      </c>
      <c r="M155" s="1207">
        <v>14112.580000000002</v>
      </c>
      <c r="N155" s="1207">
        <v>2697.6</v>
      </c>
      <c r="O155" s="1207">
        <v>1250.96</v>
      </c>
      <c r="P155" s="1207">
        <v>2100</v>
      </c>
      <c r="Q155" s="1207">
        <v>601.70000000000005</v>
      </c>
      <c r="R155" s="1209">
        <f t="shared" si="70"/>
        <v>61810.250000000015</v>
      </c>
      <c r="S155" s="1159">
        <f t="shared" si="71"/>
        <v>2455.023334</v>
      </c>
      <c r="T155" s="1159">
        <f t="shared" si="72"/>
        <v>201.41666799999999</v>
      </c>
      <c r="U155" s="1210">
        <f t="shared" si="73"/>
        <v>2253.6066660000001</v>
      </c>
      <c r="V155" s="1211"/>
      <c r="W155" s="1212"/>
      <c r="X155" s="1213">
        <f t="shared" si="74"/>
        <v>29956.221123287683</v>
      </c>
      <c r="Y155" s="1214">
        <v>42887</v>
      </c>
      <c r="Z155" s="1220">
        <v>2.0261143628995917E-2</v>
      </c>
      <c r="AA155" s="1213">
        <f t="shared" si="75"/>
        <v>606.9472987608932</v>
      </c>
      <c r="AB155" s="1216"/>
      <c r="AC155" s="1159">
        <f t="shared" si="76"/>
        <v>45602.917298760905</v>
      </c>
      <c r="AD155" s="1214">
        <v>43252</v>
      </c>
      <c r="AE155" s="1220">
        <v>0.03</v>
      </c>
      <c r="AF155" s="1213">
        <f t="shared" si="77"/>
        <v>1368.0875189628271</v>
      </c>
    </row>
    <row r="156" spans="1:32">
      <c r="A156" s="1217">
        <v>2010</v>
      </c>
      <c r="B156" s="1219">
        <v>102555</v>
      </c>
      <c r="C156" s="1219">
        <v>1</v>
      </c>
      <c r="D156" s="1219">
        <v>2555</v>
      </c>
      <c r="E156" s="1219" t="s">
        <v>2758</v>
      </c>
      <c r="F156" s="1217" t="s">
        <v>2964</v>
      </c>
      <c r="G156" s="1207">
        <v>1610.7199999999998</v>
      </c>
      <c r="H156" s="1207">
        <v>391.41666400000008</v>
      </c>
      <c r="I156" s="1207">
        <v>200</v>
      </c>
      <c r="J156" s="1207">
        <v>40</v>
      </c>
      <c r="K156" s="1207">
        <v>10.4</v>
      </c>
      <c r="L156" s="1208">
        <v>34350.62000000001</v>
      </c>
      <c r="M156" s="1207">
        <v>12563.49</v>
      </c>
      <c r="N156" s="1207">
        <v>4278</v>
      </c>
      <c r="O156" s="1207">
        <v>855.6</v>
      </c>
      <c r="P156" s="1207">
        <v>1025</v>
      </c>
      <c r="Q156" s="1207">
        <v>261.35000000000002</v>
      </c>
      <c r="R156" s="1209">
        <f t="shared" si="70"/>
        <v>53334.060000000005</v>
      </c>
      <c r="S156" s="1159">
        <f t="shared" si="71"/>
        <v>2252.5366639999997</v>
      </c>
      <c r="T156" s="1159">
        <f t="shared" si="72"/>
        <v>250.4</v>
      </c>
      <c r="U156" s="1210">
        <f t="shared" si="73"/>
        <v>2002.1366639999997</v>
      </c>
      <c r="V156" s="1211"/>
      <c r="W156" s="1212"/>
      <c r="X156" s="1213">
        <f t="shared" si="74"/>
        <v>26286.754684931515</v>
      </c>
      <c r="Y156" s="1214">
        <v>42887</v>
      </c>
      <c r="Z156" s="1220">
        <v>2.1216407355021182E-2</v>
      </c>
      <c r="AA156" s="1213">
        <f t="shared" si="75"/>
        <v>557.71049543701849</v>
      </c>
      <c r="AB156" s="1216"/>
      <c r="AC156" s="1159">
        <f t="shared" si="76"/>
        <v>40041.930495437024</v>
      </c>
      <c r="AD156" s="1214">
        <v>43252</v>
      </c>
      <c r="AE156" s="1220">
        <v>0.03</v>
      </c>
      <c r="AF156" s="1213">
        <f t="shared" si="77"/>
        <v>1201.2579148631107</v>
      </c>
    </row>
    <row r="157" spans="1:32">
      <c r="A157" s="1217">
        <v>2010</v>
      </c>
      <c r="B157" s="1219">
        <v>102591</v>
      </c>
      <c r="C157" s="1219">
        <v>1</v>
      </c>
      <c r="D157" s="1219">
        <v>2591</v>
      </c>
      <c r="E157" s="1219" t="s">
        <v>2759</v>
      </c>
      <c r="F157" s="1217" t="s">
        <v>2964</v>
      </c>
      <c r="G157" s="1207">
        <v>1802.8166670000001</v>
      </c>
      <c r="H157" s="1207">
        <v>574.10665699999993</v>
      </c>
      <c r="I157" s="1207">
        <v>168</v>
      </c>
      <c r="J157" s="1207">
        <v>56</v>
      </c>
      <c r="K157" s="1207">
        <v>29.183333000000001</v>
      </c>
      <c r="L157" s="1208">
        <v>38464.570100000012</v>
      </c>
      <c r="M157" s="1207">
        <v>18580.53</v>
      </c>
      <c r="N157" s="1207">
        <v>3584.8800000000006</v>
      </c>
      <c r="O157" s="1207">
        <v>1194.96</v>
      </c>
      <c r="P157" s="1207">
        <v>1799.9999999999998</v>
      </c>
      <c r="Q157" s="1207">
        <v>656.14</v>
      </c>
      <c r="R157" s="1209">
        <f t="shared" si="70"/>
        <v>64281.080100000006</v>
      </c>
      <c r="S157" s="1159">
        <f t="shared" si="71"/>
        <v>2630.1066569999998</v>
      </c>
      <c r="T157" s="1159">
        <f t="shared" si="72"/>
        <v>253.183333</v>
      </c>
      <c r="U157" s="1210">
        <f t="shared" si="73"/>
        <v>2376.9233239999999</v>
      </c>
      <c r="V157" s="1211"/>
      <c r="W157" s="1212"/>
      <c r="X157" s="1213">
        <f t="shared" si="74"/>
        <v>28790.114121369872</v>
      </c>
      <c r="Y157" s="1214">
        <v>42887</v>
      </c>
      <c r="Z157" s="1220">
        <v>2.12E-2</v>
      </c>
      <c r="AA157" s="1213">
        <f t="shared" si="75"/>
        <v>610.35041937304129</v>
      </c>
      <c r="AB157" s="1216"/>
      <c r="AC157" s="1159">
        <f t="shared" si="76"/>
        <v>43854.760519373049</v>
      </c>
      <c r="AD157" s="1214">
        <v>43252</v>
      </c>
      <c r="AE157" s="1220">
        <v>0.03</v>
      </c>
      <c r="AF157" s="1213">
        <f t="shared" si="77"/>
        <v>1315.6428155811914</v>
      </c>
    </row>
    <row r="158" spans="1:32">
      <c r="A158" s="1217"/>
      <c r="B158" s="1219"/>
      <c r="C158" s="1219"/>
      <c r="D158" s="1219"/>
      <c r="E158" s="1219"/>
      <c r="F158" s="1217"/>
      <c r="G158" s="1207"/>
      <c r="H158" s="1207"/>
      <c r="I158" s="1207"/>
      <c r="J158" s="1207"/>
      <c r="K158" s="1207"/>
      <c r="L158" s="1208"/>
      <c r="M158" s="1207"/>
      <c r="N158" s="1207"/>
      <c r="O158" s="1207"/>
      <c r="P158" s="1207"/>
      <c r="Q158" s="1207"/>
      <c r="R158" s="1209"/>
      <c r="U158" s="1210"/>
      <c r="V158" s="1211"/>
      <c r="W158" s="1212"/>
      <c r="X158" s="1213"/>
      <c r="Y158" s="1214"/>
      <c r="Z158" s="1215"/>
      <c r="AA158" s="1213"/>
      <c r="AB158" s="1216"/>
      <c r="AC158" s="1159"/>
      <c r="AD158" s="1214"/>
      <c r="AE158" s="1215"/>
      <c r="AF158" s="1213"/>
    </row>
    <row r="159" spans="1:32">
      <c r="A159" s="1217"/>
      <c r="B159" s="1223"/>
      <c r="C159" s="1223"/>
      <c r="D159" s="1223"/>
      <c r="E159" s="1229" t="s">
        <v>2760</v>
      </c>
      <c r="F159" s="1217"/>
      <c r="G159" s="1230">
        <f>+SUM(G154:G158)</f>
        <v>7030.6200010000002</v>
      </c>
      <c r="H159" s="1230">
        <f t="shared" ref="H159:Q159" si="78">+SUM(H154:H158)</f>
        <v>1879.1166560000001</v>
      </c>
      <c r="I159" s="1230">
        <f t="shared" si="78"/>
        <v>592</v>
      </c>
      <c r="J159" s="1230">
        <f t="shared" si="78"/>
        <v>200</v>
      </c>
      <c r="K159" s="1230">
        <f t="shared" si="78"/>
        <v>95.199999000000005</v>
      </c>
      <c r="L159" s="1241">
        <f t="shared" si="78"/>
        <v>151800.14010000005</v>
      </c>
      <c r="M159" s="1230">
        <f t="shared" si="78"/>
        <v>61497.77</v>
      </c>
      <c r="N159" s="1230">
        <f t="shared" si="78"/>
        <v>12784.320000000002</v>
      </c>
      <c r="O159" s="1230">
        <f t="shared" si="78"/>
        <v>4323.2000000000007</v>
      </c>
      <c r="P159" s="1230">
        <f t="shared" si="78"/>
        <v>7196.2</v>
      </c>
      <c r="Q159" s="1230">
        <f t="shared" si="78"/>
        <v>2197.75</v>
      </c>
      <c r="R159" s="1232">
        <f>+SUM(R154:R158)</f>
        <v>239799.38010000001</v>
      </c>
      <c r="S159" s="1233">
        <f>+SUM(S154:S158)</f>
        <v>9796.9366559999999</v>
      </c>
      <c r="T159" s="1242">
        <f t="shared" ref="T159:AF159" si="79">+SUM(T154:T158)</f>
        <v>887.19999899999993</v>
      </c>
      <c r="U159" s="1242">
        <f t="shared" si="79"/>
        <v>8909.7366569999995</v>
      </c>
      <c r="V159" s="1242"/>
      <c r="W159" s="1242"/>
      <c r="X159" s="1242">
        <f t="shared" si="79"/>
        <v>112450.85316246579</v>
      </c>
      <c r="Y159" s="1242"/>
      <c r="Z159" s="1242">
        <f t="shared" si="79"/>
        <v>8.3893958339038274E-2</v>
      </c>
      <c r="AA159" s="1242">
        <f t="shared" si="79"/>
        <v>2356.7146470831881</v>
      </c>
      <c r="AB159" s="1242"/>
      <c r="AC159" s="1242">
        <f t="shared" si="79"/>
        <v>171264.37474708323</v>
      </c>
      <c r="AD159" s="1242"/>
      <c r="AE159" s="1242"/>
      <c r="AF159" s="1242">
        <f t="shared" si="79"/>
        <v>5137.9312424124964</v>
      </c>
    </row>
    <row r="160" spans="1:32">
      <c r="A160" s="1217"/>
      <c r="B160" s="1219"/>
      <c r="C160" s="1219"/>
      <c r="D160" s="1219"/>
      <c r="E160" s="1219"/>
      <c r="F160" s="1217"/>
      <c r="G160" s="1207"/>
      <c r="H160" s="1207"/>
      <c r="I160" s="1207"/>
      <c r="J160" s="1207"/>
      <c r="K160" s="1207"/>
      <c r="L160" s="1208"/>
      <c r="M160" s="1207"/>
      <c r="N160" s="1207"/>
      <c r="O160" s="1207"/>
      <c r="P160" s="1207"/>
      <c r="Q160" s="1207"/>
      <c r="R160" s="1209"/>
      <c r="U160" s="1210"/>
      <c r="V160" s="1211"/>
      <c r="W160" s="1212"/>
      <c r="X160" s="1213"/>
      <c r="Y160" s="1214"/>
      <c r="Z160" s="1215"/>
      <c r="AA160" s="1213"/>
      <c r="AB160" s="1216"/>
      <c r="AC160" s="1159"/>
      <c r="AD160" s="1214"/>
      <c r="AE160" s="1215"/>
      <c r="AF160" s="1213"/>
    </row>
    <row r="161" spans="1:32">
      <c r="A161" s="1203" t="s">
        <v>481</v>
      </c>
      <c r="B161" s="1204"/>
      <c r="C161" s="1204"/>
      <c r="D161" s="1204"/>
      <c r="E161" s="1239"/>
      <c r="F161" s="1206"/>
      <c r="G161" s="1207"/>
      <c r="H161" s="1207"/>
      <c r="I161" s="1207"/>
      <c r="J161" s="1207"/>
      <c r="K161" s="1207"/>
      <c r="L161" s="1208"/>
      <c r="M161" s="1207"/>
      <c r="N161" s="1207"/>
      <c r="O161" s="1207"/>
      <c r="P161" s="1207"/>
      <c r="Q161" s="1207"/>
      <c r="R161" s="1209"/>
      <c r="U161" s="1210"/>
      <c r="V161" s="1211"/>
      <c r="W161" s="1212"/>
      <c r="X161" s="1213"/>
      <c r="Y161" s="1214"/>
      <c r="Z161" s="1215"/>
      <c r="AA161" s="1213"/>
      <c r="AB161" s="1216"/>
      <c r="AC161" s="1159"/>
      <c r="AD161" s="1214"/>
      <c r="AE161" s="1215"/>
      <c r="AF161" s="1213"/>
    </row>
    <row r="162" spans="1:32">
      <c r="A162" s="1217">
        <v>2010</v>
      </c>
      <c r="B162" s="1219">
        <v>114106</v>
      </c>
      <c r="C162" s="1219">
        <v>1</v>
      </c>
      <c r="D162" s="1219">
        <v>14106</v>
      </c>
      <c r="E162" s="1219" t="s">
        <v>2761</v>
      </c>
      <c r="F162" s="1217" t="s">
        <v>2965</v>
      </c>
      <c r="G162" s="1207">
        <v>1945.943334</v>
      </c>
      <c r="H162" s="1207">
        <v>390.21333500000003</v>
      </c>
      <c r="I162" s="1207">
        <v>192</v>
      </c>
      <c r="J162" s="1207">
        <v>48</v>
      </c>
      <c r="K162" s="1207">
        <v>8</v>
      </c>
      <c r="L162" s="1208">
        <v>36224.979999999996</v>
      </c>
      <c r="M162" s="1207">
        <v>11035.61</v>
      </c>
      <c r="N162" s="1207">
        <v>3585.6000000000004</v>
      </c>
      <c r="O162" s="1207">
        <v>900.48</v>
      </c>
      <c r="P162" s="1207">
        <v>1750</v>
      </c>
      <c r="Q162" s="1207">
        <v>197.67000000000002</v>
      </c>
      <c r="R162" s="1209">
        <f t="shared" ref="R162:R163" si="80">SUM(L162:Q162)</f>
        <v>53694.34</v>
      </c>
      <c r="S162" s="1159">
        <f t="shared" ref="S162:S163" si="81">SUM(G162:K162)</f>
        <v>2584.156669</v>
      </c>
      <c r="T162" s="1159">
        <f t="shared" ref="T162:T163" si="82">I162+J162+K162</f>
        <v>248</v>
      </c>
      <c r="U162" s="1210">
        <f t="shared" ref="U162:U163" si="83">S162-T162</f>
        <v>2336.156669</v>
      </c>
      <c r="V162" s="1211"/>
      <c r="W162" s="1212"/>
      <c r="X162" s="1213">
        <f t="shared" ref="X162:X163" si="84">SUM(L162,N162:O162)*((VLOOKUP(Y162,$AJ$9:$AK$30,2,FALSE))/365)</f>
        <v>20299.761424657532</v>
      </c>
      <c r="Y162" s="1214">
        <v>42826</v>
      </c>
      <c r="Z162" s="1220">
        <v>3.6916395222584129E-2</v>
      </c>
      <c r="AA162" s="1213">
        <f t="shared" ref="AA162:AA163" si="85">X162*Z162</f>
        <v>749.39401567682489</v>
      </c>
      <c r="AB162" s="1216"/>
      <c r="AC162" s="1159">
        <f t="shared" ref="AC162:AC163" si="86">SUM(L162,N162:O162)+AA162</f>
        <v>41460.45401567682</v>
      </c>
      <c r="AD162" s="1214">
        <v>43191</v>
      </c>
      <c r="AE162" s="1220">
        <v>2.5000000000000001E-2</v>
      </c>
      <c r="AF162" s="1213">
        <f t="shared" ref="AF162:AF163" si="87">AC162*AE162</f>
        <v>1036.5113503919206</v>
      </c>
    </row>
    <row r="163" spans="1:32">
      <c r="A163" s="1217">
        <v>2010</v>
      </c>
      <c r="B163" s="1219">
        <v>114101</v>
      </c>
      <c r="C163" s="1219">
        <v>1</v>
      </c>
      <c r="D163" s="1219">
        <v>14101</v>
      </c>
      <c r="E163" s="1219" t="s">
        <v>2762</v>
      </c>
      <c r="F163" s="1217" t="s">
        <v>2965</v>
      </c>
      <c r="G163" s="1207">
        <v>1965.3599989999998</v>
      </c>
      <c r="H163" s="1207">
        <v>377.93666699999994</v>
      </c>
      <c r="I163" s="1207">
        <v>176</v>
      </c>
      <c r="J163" s="1207">
        <v>48</v>
      </c>
      <c r="K163" s="1207">
        <v>0</v>
      </c>
      <c r="L163" s="1208">
        <v>38879.500000000022</v>
      </c>
      <c r="M163" s="1207">
        <v>11259.789999999997</v>
      </c>
      <c r="N163" s="1207">
        <v>3484.16</v>
      </c>
      <c r="O163" s="1207">
        <v>956.16000000000008</v>
      </c>
      <c r="P163" s="1207">
        <v>899.99999999999977</v>
      </c>
      <c r="Q163" s="1207">
        <v>85.53</v>
      </c>
      <c r="R163" s="1209">
        <f t="shared" si="80"/>
        <v>55565.140000000029</v>
      </c>
      <c r="S163" s="1159">
        <f t="shared" si="81"/>
        <v>2567.2966659999997</v>
      </c>
      <c r="T163" s="1159">
        <f t="shared" si="82"/>
        <v>224</v>
      </c>
      <c r="U163" s="1210">
        <f t="shared" si="83"/>
        <v>2343.2966659999997</v>
      </c>
      <c r="V163" s="1211"/>
      <c r="W163" s="1212"/>
      <c r="X163" s="1213">
        <f t="shared" si="84"/>
        <v>21600.56778082193</v>
      </c>
      <c r="Y163" s="1214">
        <v>42826</v>
      </c>
      <c r="Z163" s="1220">
        <v>3.4729315628192203E-2</v>
      </c>
      <c r="AA163" s="1213">
        <f t="shared" si="85"/>
        <v>750.17293620832402</v>
      </c>
      <c r="AB163" s="1216"/>
      <c r="AC163" s="1159">
        <f t="shared" si="86"/>
        <v>44069.992936208342</v>
      </c>
      <c r="AD163" s="1214">
        <v>43191</v>
      </c>
      <c r="AE163" s="1220">
        <v>2.5000000000000001E-2</v>
      </c>
      <c r="AF163" s="1213">
        <f t="shared" si="87"/>
        <v>1101.7498234052086</v>
      </c>
    </row>
    <row r="164" spans="1:32">
      <c r="A164" s="1240"/>
      <c r="B164" s="1223"/>
      <c r="C164" s="1223"/>
      <c r="D164" s="1223"/>
      <c r="E164" s="1229"/>
      <c r="F164" s="1217"/>
      <c r="G164" s="1207"/>
      <c r="H164" s="1207"/>
      <c r="I164" s="1207"/>
      <c r="J164" s="1207"/>
      <c r="K164" s="1207"/>
      <c r="L164" s="1208"/>
      <c r="M164" s="1207"/>
      <c r="N164" s="1207"/>
      <c r="O164" s="1207"/>
      <c r="P164" s="1207"/>
      <c r="Q164" s="1207"/>
      <c r="R164" s="1209"/>
      <c r="U164" s="1210"/>
      <c r="V164" s="1211"/>
      <c r="W164" s="1212"/>
      <c r="X164" s="1213"/>
      <c r="Y164" s="1214"/>
      <c r="Z164" s="1215"/>
      <c r="AA164" s="1213"/>
      <c r="AB164" s="1216"/>
      <c r="AC164" s="1159"/>
      <c r="AD164" s="1214"/>
      <c r="AE164" s="1215"/>
      <c r="AF164" s="1213"/>
    </row>
    <row r="165" spans="1:32">
      <c r="A165" s="1217"/>
      <c r="B165" s="1223"/>
      <c r="C165" s="1223"/>
      <c r="D165" s="1223"/>
      <c r="E165" s="1229" t="s">
        <v>2763</v>
      </c>
      <c r="F165" s="1217"/>
      <c r="G165" s="1230">
        <f>+SUM(G162:G164)</f>
        <v>3911.3033329999998</v>
      </c>
      <c r="H165" s="1230">
        <f t="shared" ref="H165:Q165" si="88">+SUM(H162:H164)</f>
        <v>768.15000199999997</v>
      </c>
      <c r="I165" s="1230">
        <f t="shared" si="88"/>
        <v>368</v>
      </c>
      <c r="J165" s="1230">
        <f t="shared" si="88"/>
        <v>96</v>
      </c>
      <c r="K165" s="1230">
        <f t="shared" si="88"/>
        <v>8</v>
      </c>
      <c r="L165" s="1241">
        <f t="shared" si="88"/>
        <v>75104.48000000001</v>
      </c>
      <c r="M165" s="1230">
        <f t="shared" si="88"/>
        <v>22295.399999999998</v>
      </c>
      <c r="N165" s="1230">
        <f t="shared" si="88"/>
        <v>7069.76</v>
      </c>
      <c r="O165" s="1230">
        <f t="shared" si="88"/>
        <v>1856.64</v>
      </c>
      <c r="P165" s="1230">
        <f t="shared" si="88"/>
        <v>2650</v>
      </c>
      <c r="Q165" s="1230">
        <f t="shared" si="88"/>
        <v>283.20000000000005</v>
      </c>
      <c r="R165" s="1232">
        <f>+SUM(R162:R164)</f>
        <v>109259.48000000003</v>
      </c>
      <c r="S165" s="1233">
        <f>+SUM(S162:S164)</f>
        <v>5151.4533350000002</v>
      </c>
      <c r="T165" s="1242">
        <f t="shared" ref="T165:AF165" si="89">+SUM(T162:T164)</f>
        <v>472</v>
      </c>
      <c r="U165" s="1242">
        <f t="shared" si="89"/>
        <v>4679.4533350000002</v>
      </c>
      <c r="V165" s="1242"/>
      <c r="W165" s="1242"/>
      <c r="X165" s="1242">
        <f t="shared" si="89"/>
        <v>41900.329205479458</v>
      </c>
      <c r="Y165" s="1242"/>
      <c r="Z165" s="1242"/>
      <c r="AA165" s="1242">
        <f t="shared" si="89"/>
        <v>1499.5669518851489</v>
      </c>
      <c r="AB165" s="1242"/>
      <c r="AC165" s="1242">
        <f t="shared" si="89"/>
        <v>85530.446951885155</v>
      </c>
      <c r="AD165" s="1242"/>
      <c r="AE165" s="1242"/>
      <c r="AF165" s="1242">
        <f t="shared" si="89"/>
        <v>2138.2611737971292</v>
      </c>
    </row>
    <row r="166" spans="1:32">
      <c r="A166" s="1217"/>
      <c r="B166" s="1223"/>
      <c r="C166" s="1223"/>
      <c r="D166" s="1223"/>
      <c r="E166" s="1229"/>
      <c r="F166" s="1217"/>
      <c r="G166" s="1225"/>
      <c r="H166" s="1225"/>
      <c r="I166" s="1225"/>
      <c r="J166" s="1225"/>
      <c r="K166" s="1225"/>
      <c r="L166" s="1208"/>
      <c r="M166" s="1207"/>
      <c r="N166" s="1207"/>
      <c r="O166" s="1207"/>
      <c r="P166" s="1207"/>
      <c r="Q166" s="1207"/>
      <c r="R166" s="1209"/>
      <c r="S166" s="1236"/>
      <c r="T166" s="1236"/>
      <c r="U166" s="1236"/>
      <c r="V166" s="1236"/>
      <c r="W166" s="1236"/>
      <c r="X166" s="1236"/>
      <c r="Y166" s="1236"/>
      <c r="Z166" s="1236"/>
      <c r="AA166" s="1236"/>
      <c r="AB166" s="1236"/>
      <c r="AC166" s="1236"/>
      <c r="AD166" s="1236"/>
      <c r="AE166" s="1236"/>
      <c r="AF166" s="1236"/>
    </row>
    <row r="167" spans="1:32">
      <c r="A167" s="1203" t="s">
        <v>1484</v>
      </c>
      <c r="B167" s="1204"/>
      <c r="C167" s="1204"/>
      <c r="D167" s="1204"/>
      <c r="E167" s="1239"/>
      <c r="F167" s="1206"/>
      <c r="G167" s="1225"/>
      <c r="H167" s="1225"/>
      <c r="I167" s="1225"/>
      <c r="J167" s="1225"/>
      <c r="K167" s="1225"/>
      <c r="L167" s="1208"/>
      <c r="M167" s="1207"/>
      <c r="N167" s="1207"/>
      <c r="O167" s="1207"/>
      <c r="P167" s="1207"/>
      <c r="Q167" s="1207"/>
      <c r="R167" s="1209"/>
      <c r="S167" s="1236"/>
      <c r="T167" s="1236"/>
      <c r="U167" s="1236"/>
      <c r="V167" s="1236"/>
      <c r="W167" s="1236"/>
      <c r="X167" s="1236"/>
      <c r="Y167" s="1236"/>
      <c r="Z167" s="1236"/>
      <c r="AA167" s="1236"/>
      <c r="AB167" s="1236"/>
      <c r="AC167" s="1236"/>
      <c r="AD167" s="1236"/>
      <c r="AE167" s="1236"/>
      <c r="AF167" s="1236"/>
    </row>
    <row r="168" spans="1:32">
      <c r="A168" s="1217">
        <v>2010</v>
      </c>
      <c r="B168" s="1219">
        <v>156791</v>
      </c>
      <c r="C168" s="1219">
        <v>1</v>
      </c>
      <c r="D168" s="1219">
        <v>56791</v>
      </c>
      <c r="E168" s="1219" t="s">
        <v>2764</v>
      </c>
      <c r="F168" s="1217" t="s">
        <v>1484</v>
      </c>
      <c r="G168" s="1207">
        <v>1228.72667</v>
      </c>
      <c r="H168" s="1207">
        <v>144.60666499999999</v>
      </c>
      <c r="I168" s="1207">
        <v>50.3</v>
      </c>
      <c r="J168" s="1207">
        <v>24</v>
      </c>
      <c r="K168" s="1207">
        <v>32.749995999999996</v>
      </c>
      <c r="L168" s="1208">
        <v>25353.509899999997</v>
      </c>
      <c r="M168" s="1207">
        <v>4305</v>
      </c>
      <c r="N168" s="1207">
        <v>944.86</v>
      </c>
      <c r="O168" s="1207">
        <v>488.24</v>
      </c>
      <c r="P168" s="1207">
        <v>475</v>
      </c>
      <c r="Q168" s="1207">
        <v>685.75</v>
      </c>
      <c r="R168" s="1209">
        <f t="shared" ref="R168:R177" si="90">SUM(L168:Q168)</f>
        <v>32252.359899999999</v>
      </c>
      <c r="S168" s="1159">
        <f t="shared" ref="S168:S177" si="91">SUM(G168:K168)</f>
        <v>1480.383331</v>
      </c>
      <c r="T168" s="1159">
        <f t="shared" ref="T168:T177" si="92">I168+J168+K168</f>
        <v>107.04999599999999</v>
      </c>
      <c r="U168" s="1210">
        <f t="shared" ref="U168:U177" si="93">S168-T168</f>
        <v>1373.333335</v>
      </c>
      <c r="V168" s="1211"/>
      <c r="W168" s="1212"/>
      <c r="X168" s="1213">
        <f t="shared" ref="X168:X177" si="94">SUM(L168,N168:O168)*((VLOOKUP(Y168,$AJ$9:$AK$30,2,FALSE))/365)</f>
        <v>17833.27727589041</v>
      </c>
      <c r="Y168" s="1214">
        <v>42887</v>
      </c>
      <c r="Z168" s="1220">
        <v>0.19273127753303959</v>
      </c>
      <c r="AA168" s="1213">
        <f t="shared" ref="AA168:AA177" si="95">X168*Z168</f>
        <v>3437.0303119832829</v>
      </c>
      <c r="AB168" s="1216"/>
      <c r="AC168" s="1159">
        <f t="shared" ref="AC168:AC177" si="96">SUM(L168,N168:O168)+AA168</f>
        <v>30223.640211983282</v>
      </c>
      <c r="AD168" s="1214">
        <v>43252</v>
      </c>
      <c r="AE168" s="1220">
        <v>0.03</v>
      </c>
      <c r="AF168" s="1213">
        <f t="shared" ref="AF168:AF177" si="97">AC168*AE168</f>
        <v>906.70920635949847</v>
      </c>
    </row>
    <row r="169" spans="1:32">
      <c r="A169" s="1217">
        <v>2010</v>
      </c>
      <c r="B169" s="1219">
        <v>156036</v>
      </c>
      <c r="C169" s="1219">
        <v>1</v>
      </c>
      <c r="D169" s="1219">
        <v>56036</v>
      </c>
      <c r="E169" s="1219" t="s">
        <v>2765</v>
      </c>
      <c r="F169" s="1217" t="s">
        <v>1484</v>
      </c>
      <c r="G169" s="1207">
        <v>1922.9833339999998</v>
      </c>
      <c r="H169" s="1207">
        <v>556.88666599999999</v>
      </c>
      <c r="I169" s="1207">
        <v>40</v>
      </c>
      <c r="J169" s="1207">
        <v>56</v>
      </c>
      <c r="K169" s="1207">
        <v>15.483333000000002</v>
      </c>
      <c r="L169" s="1208">
        <v>35757.379900000007</v>
      </c>
      <c r="M169" s="1207">
        <v>15774.750000000002</v>
      </c>
      <c r="N169" s="1207">
        <v>726.4</v>
      </c>
      <c r="O169" s="1207">
        <v>1049.76</v>
      </c>
      <c r="P169" s="1207">
        <v>2042.3999999999996</v>
      </c>
      <c r="Q169" s="1207">
        <v>319.54999999999995</v>
      </c>
      <c r="R169" s="1209">
        <f t="shared" si="90"/>
        <v>55670.239900000015</v>
      </c>
      <c r="S169" s="1159">
        <f t="shared" si="91"/>
        <v>2591.353333</v>
      </c>
      <c r="T169" s="1159">
        <f t="shared" si="92"/>
        <v>111.483333</v>
      </c>
      <c r="U169" s="1210">
        <f t="shared" si="93"/>
        <v>2479.87</v>
      </c>
      <c r="V169" s="1211"/>
      <c r="W169" s="1212"/>
      <c r="X169" s="1213">
        <f t="shared" si="94"/>
        <v>31260.811313972612</v>
      </c>
      <c r="Y169" s="1214">
        <v>42948</v>
      </c>
      <c r="Z169" s="1220">
        <v>0.19273127753303979</v>
      </c>
      <c r="AA169" s="1213">
        <f t="shared" si="95"/>
        <v>6024.9361012612453</v>
      </c>
      <c r="AB169" s="1216"/>
      <c r="AC169" s="1159">
        <f t="shared" si="96"/>
        <v>43558.476001261253</v>
      </c>
      <c r="AD169" s="1214">
        <v>43252</v>
      </c>
      <c r="AE169" s="1220">
        <v>0.03</v>
      </c>
      <c r="AF169" s="1213">
        <f t="shared" si="97"/>
        <v>1306.7542800378376</v>
      </c>
    </row>
    <row r="170" spans="1:32">
      <c r="A170" s="1217">
        <v>2010</v>
      </c>
      <c r="B170" s="1219">
        <v>117422</v>
      </c>
      <c r="C170" s="1219">
        <v>1</v>
      </c>
      <c r="D170" s="1219">
        <v>17422</v>
      </c>
      <c r="E170" s="1219" t="s">
        <v>2766</v>
      </c>
      <c r="F170" s="1217" t="s">
        <v>1484</v>
      </c>
      <c r="G170" s="1207">
        <v>1641.150001</v>
      </c>
      <c r="H170" s="1207">
        <v>568.71667000000014</v>
      </c>
      <c r="I170" s="1207">
        <v>72.3</v>
      </c>
      <c r="J170" s="1207">
        <v>48</v>
      </c>
      <c r="K170" s="1207">
        <v>28.166666000000003</v>
      </c>
      <c r="L170" s="1208">
        <v>36566.800000000003</v>
      </c>
      <c r="M170" s="1207">
        <v>19211.740000000005</v>
      </c>
      <c r="N170" s="1207">
        <v>1620.32</v>
      </c>
      <c r="O170" s="1207">
        <v>1069.6799999999998</v>
      </c>
      <c r="P170" s="1207">
        <v>1599.9999999999998</v>
      </c>
      <c r="Q170" s="1207">
        <v>664.54000000000008</v>
      </c>
      <c r="R170" s="1209">
        <f t="shared" si="90"/>
        <v>60733.080000000009</v>
      </c>
      <c r="S170" s="1159">
        <f t="shared" si="91"/>
        <v>2358.3333370000005</v>
      </c>
      <c r="T170" s="1159">
        <f t="shared" si="92"/>
        <v>148.466666</v>
      </c>
      <c r="U170" s="1210">
        <f t="shared" si="93"/>
        <v>2209.8666710000007</v>
      </c>
      <c r="V170" s="1211"/>
      <c r="W170" s="1212"/>
      <c r="X170" s="1213">
        <f t="shared" si="94"/>
        <v>26135.349041095895</v>
      </c>
      <c r="Y170" s="1214">
        <v>42887</v>
      </c>
      <c r="Z170" s="1220">
        <v>2.0261143628995917E-2</v>
      </c>
      <c r="AA170" s="1213">
        <f t="shared" si="95"/>
        <v>529.53206071558463</v>
      </c>
      <c r="AB170" s="1216"/>
      <c r="AC170" s="1159">
        <f t="shared" si="96"/>
        <v>39786.332060715591</v>
      </c>
      <c r="AD170" s="1214">
        <v>0</v>
      </c>
      <c r="AE170" s="1220">
        <v>0</v>
      </c>
      <c r="AF170" s="1213">
        <f t="shared" si="97"/>
        <v>0</v>
      </c>
    </row>
    <row r="171" spans="1:32">
      <c r="A171" s="1217">
        <v>2010</v>
      </c>
      <c r="B171" s="1219">
        <v>153879</v>
      </c>
      <c r="C171" s="1219">
        <v>1</v>
      </c>
      <c r="D171" s="1219">
        <v>53879</v>
      </c>
      <c r="E171" s="1219" t="s">
        <v>2767</v>
      </c>
      <c r="F171" s="1217" t="s">
        <v>1484</v>
      </c>
      <c r="G171" s="1207">
        <v>1307.4833330000001</v>
      </c>
      <c r="H171" s="1207">
        <v>305.54999999999995</v>
      </c>
      <c r="I171" s="1207">
        <v>48</v>
      </c>
      <c r="J171" s="1207">
        <v>40</v>
      </c>
      <c r="K171" s="1207">
        <v>18.316666999999999</v>
      </c>
      <c r="L171" s="1208">
        <v>27853.100000000006</v>
      </c>
      <c r="M171" s="1207">
        <v>9853.99</v>
      </c>
      <c r="N171" s="1207">
        <v>1017.52</v>
      </c>
      <c r="O171" s="1207">
        <v>844.24</v>
      </c>
      <c r="P171" s="1207">
        <v>0</v>
      </c>
      <c r="Q171" s="1207">
        <v>387.47</v>
      </c>
      <c r="R171" s="1209">
        <f t="shared" si="90"/>
        <v>39956.32</v>
      </c>
      <c r="S171" s="1159">
        <f t="shared" si="91"/>
        <v>1719.3500000000001</v>
      </c>
      <c r="T171" s="1159">
        <f t="shared" si="92"/>
        <v>106.316667</v>
      </c>
      <c r="U171" s="1210">
        <f t="shared" si="93"/>
        <v>1613.0333330000001</v>
      </c>
      <c r="V171" s="1211"/>
      <c r="W171" s="1212"/>
      <c r="X171" s="1213">
        <f t="shared" si="94"/>
        <v>19782.769808219186</v>
      </c>
      <c r="Y171" s="1214">
        <v>42887</v>
      </c>
      <c r="Z171" s="1220">
        <v>5.6585365853658587E-2</v>
      </c>
      <c r="AA171" s="1213">
        <f t="shared" si="95"/>
        <v>1119.4152671967938</v>
      </c>
      <c r="AB171" s="1216"/>
      <c r="AC171" s="1159">
        <f t="shared" si="96"/>
        <v>30834.275267196801</v>
      </c>
      <c r="AD171" s="1214">
        <v>43252</v>
      </c>
      <c r="AE171" s="1220">
        <v>0.03</v>
      </c>
      <c r="AF171" s="1213">
        <f t="shared" si="97"/>
        <v>925.02825801590404</v>
      </c>
    </row>
    <row r="172" spans="1:32">
      <c r="A172" s="1217">
        <v>2010</v>
      </c>
      <c r="B172" s="1219">
        <v>112406</v>
      </c>
      <c r="C172" s="1219">
        <v>1</v>
      </c>
      <c r="D172" s="1219">
        <v>12406</v>
      </c>
      <c r="E172" s="1219" t="s">
        <v>2768</v>
      </c>
      <c r="F172" s="1217" t="s">
        <v>1484</v>
      </c>
      <c r="G172" s="1207">
        <v>1799.3000010000001</v>
      </c>
      <c r="H172" s="1207">
        <v>524.29667100000006</v>
      </c>
      <c r="I172" s="1207">
        <v>192</v>
      </c>
      <c r="J172" s="1207">
        <v>56</v>
      </c>
      <c r="K172" s="1207">
        <v>12.349999</v>
      </c>
      <c r="L172" s="1208">
        <v>40187.360000000008</v>
      </c>
      <c r="M172" s="1207">
        <v>17633.32</v>
      </c>
      <c r="N172" s="1207">
        <v>4282.32</v>
      </c>
      <c r="O172" s="1207">
        <v>1250.96</v>
      </c>
      <c r="P172" s="1207">
        <v>599.99999999999977</v>
      </c>
      <c r="Q172" s="1207">
        <v>312.67</v>
      </c>
      <c r="R172" s="1209">
        <f t="shared" si="90"/>
        <v>64266.630000000005</v>
      </c>
      <c r="S172" s="1159">
        <f t="shared" si="91"/>
        <v>2583.9466710000002</v>
      </c>
      <c r="T172" s="1159">
        <f t="shared" si="92"/>
        <v>260.34999900000003</v>
      </c>
      <c r="U172" s="1210">
        <f t="shared" si="93"/>
        <v>2323.5966720000001</v>
      </c>
      <c r="V172" s="1211"/>
      <c r="W172" s="1212"/>
      <c r="X172" s="1213">
        <f t="shared" si="94"/>
        <v>30438.672657534255</v>
      </c>
      <c r="Y172" s="1214">
        <v>42887</v>
      </c>
      <c r="Z172" s="1220">
        <v>2.0261143628995917E-2</v>
      </c>
      <c r="AA172" s="1213">
        <f t="shared" si="95"/>
        <v>616.72231859029239</v>
      </c>
      <c r="AB172" s="1216"/>
      <c r="AC172" s="1159">
        <f t="shared" si="96"/>
        <v>46337.362318590298</v>
      </c>
      <c r="AD172" s="1214">
        <v>43252</v>
      </c>
      <c r="AE172" s="1220">
        <v>0.03</v>
      </c>
      <c r="AF172" s="1213">
        <f t="shared" si="97"/>
        <v>1390.1208695577088</v>
      </c>
    </row>
    <row r="173" spans="1:32">
      <c r="A173" s="1217">
        <v>2010</v>
      </c>
      <c r="B173" s="1219">
        <v>102672</v>
      </c>
      <c r="C173" s="1219">
        <v>1</v>
      </c>
      <c r="D173" s="1219">
        <v>2672</v>
      </c>
      <c r="E173" s="1219" t="s">
        <v>2769</v>
      </c>
      <c r="F173" s="1217" t="s">
        <v>1484</v>
      </c>
      <c r="G173" s="1207">
        <v>1808.9466649999999</v>
      </c>
      <c r="H173" s="1207">
        <v>599.00332899999989</v>
      </c>
      <c r="I173" s="1207">
        <v>152</v>
      </c>
      <c r="J173" s="1207">
        <v>56</v>
      </c>
      <c r="K173" s="1207">
        <v>17.943334999999998</v>
      </c>
      <c r="L173" s="1208">
        <v>40385.529900000009</v>
      </c>
      <c r="M173" s="1207">
        <v>20222.329999999998</v>
      </c>
      <c r="N173" s="1207">
        <v>3401.12</v>
      </c>
      <c r="O173" s="1207">
        <v>1250.96</v>
      </c>
      <c r="P173" s="1207">
        <v>1200</v>
      </c>
      <c r="Q173" s="1207">
        <v>435.66</v>
      </c>
      <c r="R173" s="1209">
        <f t="shared" si="90"/>
        <v>66895.599900000016</v>
      </c>
      <c r="S173" s="1159">
        <f t="shared" si="91"/>
        <v>2633.8933289999995</v>
      </c>
      <c r="T173" s="1159">
        <f t="shared" si="92"/>
        <v>225.94333499999999</v>
      </c>
      <c r="U173" s="1210">
        <f t="shared" si="93"/>
        <v>2407.9499939999996</v>
      </c>
      <c r="V173" s="1211"/>
      <c r="W173" s="1212"/>
      <c r="X173" s="1213">
        <f t="shared" si="94"/>
        <v>29983.943029315076</v>
      </c>
      <c r="Y173" s="1214">
        <v>42887</v>
      </c>
      <c r="Z173" s="1220">
        <v>2.0261143628995917E-2</v>
      </c>
      <c r="AA173" s="1213">
        <f t="shared" si="95"/>
        <v>607.50897628058374</v>
      </c>
      <c r="AB173" s="1216"/>
      <c r="AC173" s="1159">
        <f t="shared" si="96"/>
        <v>45645.118876280598</v>
      </c>
      <c r="AD173" s="1214">
        <v>43252</v>
      </c>
      <c r="AE173" s="1220">
        <v>0.03</v>
      </c>
      <c r="AF173" s="1213">
        <f t="shared" si="97"/>
        <v>1369.3535662884178</v>
      </c>
    </row>
    <row r="174" spans="1:32">
      <c r="A174" s="1217">
        <v>2010</v>
      </c>
      <c r="B174" s="1219">
        <v>102789</v>
      </c>
      <c r="C174" s="1219">
        <v>1</v>
      </c>
      <c r="D174" s="1219">
        <v>2789</v>
      </c>
      <c r="E174" s="1219" t="s">
        <v>2770</v>
      </c>
      <c r="F174" s="1217" t="s">
        <v>1484</v>
      </c>
      <c r="G174" s="1207">
        <v>1791.2599990000001</v>
      </c>
      <c r="H174" s="1207">
        <v>302.31333099999995</v>
      </c>
      <c r="I174" s="1207">
        <v>144</v>
      </c>
      <c r="J174" s="1207">
        <v>56</v>
      </c>
      <c r="K174" s="1207">
        <v>44.283332000000001</v>
      </c>
      <c r="L174" s="1208">
        <v>39995.150000000009</v>
      </c>
      <c r="M174" s="1207">
        <v>10252.299999999997</v>
      </c>
      <c r="N174" s="1207">
        <v>3227.0400000000004</v>
      </c>
      <c r="O174" s="1207">
        <v>1250.96</v>
      </c>
      <c r="P174" s="1207">
        <v>1400</v>
      </c>
      <c r="Q174" s="1207">
        <v>1021.53</v>
      </c>
      <c r="R174" s="1209">
        <f t="shared" si="90"/>
        <v>57146.98</v>
      </c>
      <c r="S174" s="1159">
        <f t="shared" si="91"/>
        <v>2337.8566620000001</v>
      </c>
      <c r="T174" s="1159">
        <f t="shared" si="92"/>
        <v>244.283332</v>
      </c>
      <c r="U174" s="1210">
        <f t="shared" si="93"/>
        <v>2093.5733300000002</v>
      </c>
      <c r="V174" s="1211"/>
      <c r="W174" s="1212"/>
      <c r="X174" s="1213">
        <f t="shared" si="94"/>
        <v>29608.151917808227</v>
      </c>
      <c r="Y174" s="1214">
        <v>42887</v>
      </c>
      <c r="Z174" s="1220">
        <v>2.0261143628995917E-2</v>
      </c>
      <c r="AA174" s="1213">
        <f t="shared" si="95"/>
        <v>599.89501859584334</v>
      </c>
      <c r="AB174" s="1216"/>
      <c r="AC174" s="1159">
        <f t="shared" si="96"/>
        <v>45073.045018595854</v>
      </c>
      <c r="AD174" s="1214">
        <v>43252</v>
      </c>
      <c r="AE174" s="1220">
        <v>0.03</v>
      </c>
      <c r="AF174" s="1213">
        <f t="shared" si="97"/>
        <v>1352.1913505578755</v>
      </c>
    </row>
    <row r="175" spans="1:32">
      <c r="A175" s="1217">
        <v>2010</v>
      </c>
      <c r="B175" s="1219">
        <v>112585</v>
      </c>
      <c r="C175" s="1219">
        <v>1</v>
      </c>
      <c r="D175" s="1219">
        <v>12585</v>
      </c>
      <c r="E175" s="1219" t="s">
        <v>2771</v>
      </c>
      <c r="F175" s="1217" t="s">
        <v>2966</v>
      </c>
      <c r="G175" s="1207">
        <v>1809.45</v>
      </c>
      <c r="H175" s="1207">
        <v>479.31333699999999</v>
      </c>
      <c r="I175" s="1207">
        <v>112</v>
      </c>
      <c r="J175" s="1207">
        <v>48</v>
      </c>
      <c r="K175" s="1207">
        <v>14.036667000000001</v>
      </c>
      <c r="L175" s="1208">
        <v>40432.10000000002</v>
      </c>
      <c r="M175" s="1207">
        <v>16190.420000000002</v>
      </c>
      <c r="N175" s="1207">
        <v>2487.52</v>
      </c>
      <c r="O175" s="1207">
        <v>1073.28</v>
      </c>
      <c r="P175" s="1207">
        <v>975.00000000000023</v>
      </c>
      <c r="Q175" s="1207">
        <v>349.59</v>
      </c>
      <c r="R175" s="1209">
        <f t="shared" si="90"/>
        <v>61507.910000000011</v>
      </c>
      <c r="S175" s="1159">
        <f t="shared" si="91"/>
        <v>2462.8000039999997</v>
      </c>
      <c r="T175" s="1159">
        <f t="shared" si="92"/>
        <v>174.03666699999999</v>
      </c>
      <c r="U175" s="1210">
        <f t="shared" si="93"/>
        <v>2288.7633369999999</v>
      </c>
      <c r="V175" s="1211"/>
      <c r="W175" s="1212"/>
      <c r="X175" s="1213">
        <f t="shared" si="94"/>
        <v>29288.42383561645</v>
      </c>
      <c r="Y175" s="1214">
        <v>42887</v>
      </c>
      <c r="Z175" s="1220">
        <v>2.0261143628995917E-2</v>
      </c>
      <c r="AA175" s="1213">
        <f t="shared" si="95"/>
        <v>593.41696200033243</v>
      </c>
      <c r="AB175" s="1216"/>
      <c r="AC175" s="1159">
        <f t="shared" si="96"/>
        <v>44586.316962000346</v>
      </c>
      <c r="AD175" s="1214">
        <v>43252</v>
      </c>
      <c r="AE175" s="1220">
        <v>0.03</v>
      </c>
      <c r="AF175" s="1213">
        <f t="shared" si="97"/>
        <v>1337.5895088600103</v>
      </c>
    </row>
    <row r="176" spans="1:32">
      <c r="A176" s="1217">
        <v>2010</v>
      </c>
      <c r="B176" s="1219">
        <v>151189</v>
      </c>
      <c r="C176" s="1219">
        <v>1</v>
      </c>
      <c r="D176" s="1219">
        <v>51189</v>
      </c>
      <c r="E176" s="1219" t="s">
        <v>2772</v>
      </c>
      <c r="F176" s="1217" t="s">
        <v>2966</v>
      </c>
      <c r="G176" s="1207">
        <v>1859.0000010000001</v>
      </c>
      <c r="H176" s="1207">
        <v>552.85999600000002</v>
      </c>
      <c r="I176" s="1207">
        <v>80</v>
      </c>
      <c r="J176" s="1207">
        <v>64</v>
      </c>
      <c r="K176" s="1207">
        <v>40.833333000000003</v>
      </c>
      <c r="L176" s="1208">
        <v>41517.719800000013</v>
      </c>
      <c r="M176" s="1207">
        <v>18753.579999999998</v>
      </c>
      <c r="N176" s="1207">
        <v>1787.6</v>
      </c>
      <c r="O176" s="1207">
        <v>1428.6399999999999</v>
      </c>
      <c r="P176" s="1207">
        <v>2024.9999999999998</v>
      </c>
      <c r="Q176" s="1207">
        <v>946.57999999999993</v>
      </c>
      <c r="R176" s="1209">
        <f t="shared" si="90"/>
        <v>66459.1198</v>
      </c>
      <c r="S176" s="1159">
        <f t="shared" si="91"/>
        <v>2596.6933300000001</v>
      </c>
      <c r="T176" s="1159">
        <f t="shared" si="92"/>
        <v>184.83333300000001</v>
      </c>
      <c r="U176" s="1210">
        <f t="shared" si="93"/>
        <v>2411.859997</v>
      </c>
      <c r="V176" s="1211"/>
      <c r="W176" s="1212"/>
      <c r="X176" s="1213">
        <f t="shared" si="94"/>
        <v>29781.786935342476</v>
      </c>
      <c r="Y176" s="1214">
        <v>42887</v>
      </c>
      <c r="Z176" s="1220">
        <v>2.0261143628995917E-2</v>
      </c>
      <c r="AA176" s="1213">
        <f t="shared" si="95"/>
        <v>603.41306262512808</v>
      </c>
      <c r="AB176" s="1216"/>
      <c r="AC176" s="1159">
        <f t="shared" si="96"/>
        <v>45337.37286262514</v>
      </c>
      <c r="AD176" s="1214">
        <v>43252</v>
      </c>
      <c r="AE176" s="1220">
        <v>0.03</v>
      </c>
      <c r="AF176" s="1213">
        <f t="shared" si="97"/>
        <v>1360.1211858787542</v>
      </c>
    </row>
    <row r="177" spans="1:32">
      <c r="A177" s="1217">
        <v>2010</v>
      </c>
      <c r="B177" s="1219">
        <v>113494</v>
      </c>
      <c r="C177" s="1219">
        <v>1</v>
      </c>
      <c r="D177" s="1219">
        <v>13494</v>
      </c>
      <c r="E177" s="1219" t="s">
        <v>2773</v>
      </c>
      <c r="F177" s="1217" t="s">
        <v>2966</v>
      </c>
      <c r="G177" s="1207">
        <v>1910.9499989999999</v>
      </c>
      <c r="H177" s="1207">
        <v>623.61999500000002</v>
      </c>
      <c r="I177" s="1207">
        <v>152</v>
      </c>
      <c r="J177" s="1207">
        <v>56</v>
      </c>
      <c r="K177" s="1207">
        <v>12.783334</v>
      </c>
      <c r="L177" s="1208">
        <v>42148.569900000017</v>
      </c>
      <c r="M177" s="1207">
        <v>20757.670000000002</v>
      </c>
      <c r="N177" s="1207">
        <v>3307.5199999999995</v>
      </c>
      <c r="O177" s="1207">
        <v>1218.96</v>
      </c>
      <c r="P177" s="1207">
        <v>1000</v>
      </c>
      <c r="Q177" s="1207">
        <v>313.74</v>
      </c>
      <c r="R177" s="1209">
        <f t="shared" si="90"/>
        <v>68746.459900000031</v>
      </c>
      <c r="S177" s="1159">
        <f t="shared" si="91"/>
        <v>2755.3533280000001</v>
      </c>
      <c r="T177" s="1159">
        <f t="shared" si="92"/>
        <v>220.783334</v>
      </c>
      <c r="U177" s="1210">
        <f t="shared" si="93"/>
        <v>2534.569994</v>
      </c>
      <c r="V177" s="1211"/>
      <c r="W177" s="1212"/>
      <c r="X177" s="1213">
        <f t="shared" si="94"/>
        <v>31074.074316986313</v>
      </c>
      <c r="Y177" s="1214">
        <v>42887</v>
      </c>
      <c r="Z177" s="1220">
        <v>6.8363979255068236E-2</v>
      </c>
      <c r="AA177" s="1213">
        <f t="shared" si="95"/>
        <v>2124.3473719769008</v>
      </c>
      <c r="AB177" s="1216"/>
      <c r="AC177" s="1159">
        <f t="shared" si="96"/>
        <v>48799.397271976915</v>
      </c>
      <c r="AD177" s="1214">
        <v>43252</v>
      </c>
      <c r="AE177" s="1220">
        <v>0.03</v>
      </c>
      <c r="AF177" s="1213">
        <f t="shared" si="97"/>
        <v>1463.9819181593075</v>
      </c>
    </row>
    <row r="178" spans="1:32">
      <c r="A178" s="1217"/>
      <c r="B178" s="1223"/>
      <c r="C178" s="1223"/>
      <c r="D178" s="1223"/>
      <c r="E178" s="1229"/>
      <c r="F178" s="1217"/>
      <c r="G178" s="1207"/>
      <c r="H178" s="1207"/>
      <c r="I178" s="1207"/>
      <c r="J178" s="1207"/>
      <c r="K178" s="1207"/>
      <c r="L178" s="1208"/>
      <c r="M178" s="1207"/>
      <c r="N178" s="1207"/>
      <c r="O178" s="1207"/>
      <c r="P178" s="1207"/>
      <c r="Q178" s="1207"/>
      <c r="R178" s="1209"/>
      <c r="S178" s="1236"/>
      <c r="T178" s="1236"/>
      <c r="U178" s="1236"/>
      <c r="V178" s="1236"/>
      <c r="W178" s="1236"/>
      <c r="X178" s="1236"/>
      <c r="Y178" s="1236"/>
      <c r="Z178" s="1236"/>
      <c r="AA178" s="1236"/>
      <c r="AB178" s="1236"/>
      <c r="AC178" s="1236"/>
      <c r="AD178" s="1236"/>
      <c r="AE178" s="1236"/>
      <c r="AF178" s="1236"/>
    </row>
    <row r="179" spans="1:32">
      <c r="A179" s="1217"/>
      <c r="B179" s="1223"/>
      <c r="C179" s="1223"/>
      <c r="D179" s="1223"/>
      <c r="E179" s="1229" t="s">
        <v>2774</v>
      </c>
      <c r="F179" s="1217"/>
      <c r="G179" s="1230">
        <f>+SUM(G168:G178)</f>
        <v>17079.250003000001</v>
      </c>
      <c r="H179" s="1230">
        <f t="shared" ref="H179:Q179" si="98">+SUM(H168:H178)</f>
        <v>4657.1666599999999</v>
      </c>
      <c r="I179" s="1230">
        <f t="shared" si="98"/>
        <v>1042.5999999999999</v>
      </c>
      <c r="J179" s="1230">
        <f t="shared" si="98"/>
        <v>504</v>
      </c>
      <c r="K179" s="1230">
        <f t="shared" si="98"/>
        <v>236.946662</v>
      </c>
      <c r="L179" s="1241">
        <f t="shared" si="98"/>
        <v>370197.21940000012</v>
      </c>
      <c r="M179" s="1230">
        <f t="shared" si="98"/>
        <v>152955.1</v>
      </c>
      <c r="N179" s="1230">
        <f t="shared" si="98"/>
        <v>22802.22</v>
      </c>
      <c r="O179" s="1230">
        <f t="shared" si="98"/>
        <v>10925.68</v>
      </c>
      <c r="P179" s="1230">
        <f t="shared" si="98"/>
        <v>11317.4</v>
      </c>
      <c r="Q179" s="1230">
        <f t="shared" si="98"/>
        <v>5437.08</v>
      </c>
      <c r="R179" s="1232">
        <f>+SUM(R168:R178)</f>
        <v>573634.69940000004</v>
      </c>
      <c r="S179" s="1233">
        <f>+SUM(S168:S178)</f>
        <v>23519.963325000001</v>
      </c>
      <c r="T179" s="1242">
        <f t="shared" ref="T179:AF179" si="99">+SUM(T168:T178)</f>
        <v>1783.546662</v>
      </c>
      <c r="U179" s="1242">
        <f t="shared" si="99"/>
        <v>21736.416663</v>
      </c>
      <c r="V179" s="1242"/>
      <c r="W179" s="1242"/>
      <c r="X179" s="1242">
        <f t="shared" si="99"/>
        <v>275187.26013178087</v>
      </c>
      <c r="Y179" s="1242"/>
      <c r="Z179" s="1242"/>
      <c r="AA179" s="1242">
        <f t="shared" si="99"/>
        <v>16256.217451225988</v>
      </c>
      <c r="AB179" s="1242"/>
      <c r="AC179" s="1242">
        <f t="shared" si="99"/>
        <v>420181.33685122605</v>
      </c>
      <c r="AD179" s="1242"/>
      <c r="AE179" s="1242"/>
      <c r="AF179" s="1242">
        <f t="shared" si="99"/>
        <v>11411.850143715314</v>
      </c>
    </row>
    <row r="180" spans="1:32">
      <c r="A180" s="1217"/>
      <c r="B180" s="1223"/>
      <c r="C180" s="1223"/>
      <c r="D180" s="1223"/>
      <c r="E180" s="1229"/>
      <c r="F180" s="1217"/>
      <c r="G180" s="1225"/>
      <c r="H180" s="1225"/>
      <c r="I180" s="1225"/>
      <c r="J180" s="1225"/>
      <c r="K180" s="1225"/>
      <c r="L180" s="1208"/>
      <c r="M180" s="1207"/>
      <c r="N180" s="1207"/>
      <c r="O180" s="1207"/>
      <c r="P180" s="1207"/>
      <c r="Q180" s="1207"/>
      <c r="R180" s="1209"/>
      <c r="S180" s="1236"/>
      <c r="T180" s="1236"/>
      <c r="U180" s="1236"/>
      <c r="V180" s="1236"/>
      <c r="W180" s="1236"/>
      <c r="X180" s="1236"/>
      <c r="Y180" s="1236"/>
      <c r="Z180" s="1236"/>
      <c r="AA180" s="1236"/>
      <c r="AB180" s="1236"/>
      <c r="AC180" s="1236"/>
      <c r="AD180" s="1236"/>
      <c r="AE180" s="1236"/>
      <c r="AF180" s="1236"/>
    </row>
    <row r="181" spans="1:32">
      <c r="A181" s="1203" t="s">
        <v>1485</v>
      </c>
      <c r="B181" s="1204"/>
      <c r="C181" s="1204"/>
      <c r="D181" s="1204"/>
      <c r="E181" s="1239"/>
      <c r="F181" s="1206"/>
      <c r="G181" s="1225"/>
      <c r="H181" s="1225"/>
      <c r="I181" s="1225"/>
      <c r="J181" s="1225"/>
      <c r="K181" s="1225"/>
      <c r="L181" s="1208"/>
      <c r="M181" s="1207"/>
      <c r="N181" s="1207"/>
      <c r="O181" s="1207"/>
      <c r="P181" s="1207"/>
      <c r="Q181" s="1207"/>
      <c r="R181" s="1209"/>
      <c r="S181" s="1236"/>
      <c r="T181" s="1236"/>
      <c r="U181" s="1236"/>
      <c r="V181" s="1236"/>
      <c r="W181" s="1236"/>
      <c r="X181" s="1236"/>
      <c r="Y181" s="1236"/>
      <c r="Z181" s="1236"/>
      <c r="AA181" s="1236"/>
      <c r="AB181" s="1236"/>
      <c r="AC181" s="1236"/>
      <c r="AD181" s="1236"/>
      <c r="AE181" s="1236"/>
      <c r="AF181" s="1236"/>
    </row>
    <row r="182" spans="1:32">
      <c r="A182" s="1217">
        <v>2010</v>
      </c>
      <c r="B182" s="1219">
        <v>301073</v>
      </c>
      <c r="C182" s="1219">
        <v>3</v>
      </c>
      <c r="D182" s="1219">
        <v>1073</v>
      </c>
      <c r="E182" s="1219" t="s">
        <v>2775</v>
      </c>
      <c r="F182" s="1217" t="s">
        <v>1485</v>
      </c>
      <c r="G182" s="1207">
        <v>710.85</v>
      </c>
      <c r="H182" s="1207">
        <v>132.63333499999999</v>
      </c>
      <c r="I182" s="1207">
        <v>0</v>
      </c>
      <c r="J182" s="1207">
        <v>0</v>
      </c>
      <c r="K182" s="1207">
        <v>6.733333</v>
      </c>
      <c r="L182" s="1208">
        <v>11748.619999999999</v>
      </c>
      <c r="M182" s="1207">
        <v>3281.6499999999996</v>
      </c>
      <c r="N182" s="1207">
        <v>0</v>
      </c>
      <c r="O182" s="1207">
        <v>0</v>
      </c>
      <c r="P182" s="1207">
        <v>0</v>
      </c>
      <c r="Q182" s="1207">
        <v>112.2</v>
      </c>
      <c r="R182" s="1209">
        <f t="shared" ref="R182:R207" si="100">SUM(L182:Q182)</f>
        <v>15142.47</v>
      </c>
      <c r="S182" s="1159">
        <f t="shared" ref="S182:S207" si="101">SUM(G182:K182)</f>
        <v>850.21666800000003</v>
      </c>
      <c r="T182" s="1159">
        <f t="shared" ref="T182:T207" si="102">I182+J182+K182</f>
        <v>6.733333</v>
      </c>
      <c r="U182" s="1210">
        <f t="shared" ref="U182:U207" si="103">S182-T182</f>
        <v>843.48333500000001</v>
      </c>
      <c r="V182" s="1211"/>
      <c r="W182" s="1212"/>
      <c r="X182" s="1213">
        <f t="shared" ref="X182:X204" si="104">SUM(L182,N182:O182)*((VLOOKUP(Y182,$AJ$9:$AK$30,2,FALSE))/365)</f>
        <v>7821.6840000000002</v>
      </c>
      <c r="Y182" s="1214">
        <v>42887</v>
      </c>
      <c r="Z182" s="1220">
        <v>0.03</v>
      </c>
      <c r="AA182" s="1213">
        <f t="shared" ref="AA182:AA207" si="105">X182*Z182</f>
        <v>234.65052</v>
      </c>
      <c r="AB182" s="1216"/>
      <c r="AC182" s="1159">
        <f t="shared" ref="AC182:AC207" si="106">SUM(L182,N182:O182)+AA182</f>
        <v>11983.270519999998</v>
      </c>
      <c r="AD182" s="1214">
        <v>43252</v>
      </c>
      <c r="AE182" s="1220">
        <v>0.03</v>
      </c>
      <c r="AF182" s="1213">
        <f t="shared" ref="AF182:AF207" si="107">AC182*AE182</f>
        <v>359.49811559999995</v>
      </c>
    </row>
    <row r="183" spans="1:32">
      <c r="A183" s="1217">
        <v>2010</v>
      </c>
      <c r="B183" s="1219">
        <v>300131</v>
      </c>
      <c r="C183" s="1219">
        <v>3</v>
      </c>
      <c r="D183" s="1219">
        <v>131</v>
      </c>
      <c r="E183" s="1219" t="s">
        <v>2776</v>
      </c>
      <c r="F183" s="1217" t="s">
        <v>1485</v>
      </c>
      <c r="G183" s="1207">
        <v>15.35</v>
      </c>
      <c r="H183" s="1207">
        <v>3.7166670000000002</v>
      </c>
      <c r="I183" s="1207">
        <v>0</v>
      </c>
      <c r="J183" s="1207">
        <v>0</v>
      </c>
      <c r="K183" s="1207">
        <v>0.65</v>
      </c>
      <c r="L183" s="1208">
        <v>248.06</v>
      </c>
      <c r="M183" s="1207">
        <v>90.11</v>
      </c>
      <c r="N183" s="1207">
        <v>0</v>
      </c>
      <c r="O183" s="1207">
        <v>0</v>
      </c>
      <c r="P183" s="1207">
        <v>0</v>
      </c>
      <c r="Q183" s="1207">
        <v>10.51</v>
      </c>
      <c r="R183" s="1209">
        <f t="shared" si="100"/>
        <v>348.68</v>
      </c>
      <c r="S183" s="1159">
        <f t="shared" si="101"/>
        <v>19.716666999999998</v>
      </c>
      <c r="T183" s="1159">
        <f t="shared" si="102"/>
        <v>0.65</v>
      </c>
      <c r="U183" s="1210">
        <f t="shared" si="103"/>
        <v>19.066666999999999</v>
      </c>
      <c r="V183" s="1211"/>
      <c r="W183" s="1212"/>
      <c r="X183" s="1213"/>
      <c r="Y183" s="1214"/>
      <c r="Z183" s="1220">
        <v>0</v>
      </c>
      <c r="AA183" s="1213">
        <f t="shared" si="105"/>
        <v>0</v>
      </c>
      <c r="AB183" s="1216"/>
      <c r="AC183" s="1159">
        <f t="shared" si="106"/>
        <v>248.06</v>
      </c>
      <c r="AD183" s="1214"/>
      <c r="AE183" s="1220">
        <v>0</v>
      </c>
      <c r="AF183" s="1213">
        <f t="shared" si="107"/>
        <v>0</v>
      </c>
    </row>
    <row r="184" spans="1:32">
      <c r="A184" s="1217">
        <v>2010</v>
      </c>
      <c r="B184" s="1219">
        <v>159184</v>
      </c>
      <c r="C184" s="1219">
        <v>1</v>
      </c>
      <c r="D184" s="1219">
        <v>59184</v>
      </c>
      <c r="E184" s="1219" t="s">
        <v>2777</v>
      </c>
      <c r="F184" s="1217" t="s">
        <v>1485</v>
      </c>
      <c r="G184" s="1207">
        <v>1694.499998</v>
      </c>
      <c r="H184" s="1207">
        <v>116.77333200000001</v>
      </c>
      <c r="I184" s="1207">
        <v>23</v>
      </c>
      <c r="J184" s="1207">
        <v>32</v>
      </c>
      <c r="K184" s="1207">
        <v>4.1166689999999999</v>
      </c>
      <c r="L184" s="1208">
        <v>22500.379999999997</v>
      </c>
      <c r="M184" s="1207">
        <v>2339.5899999999997</v>
      </c>
      <c r="N184" s="1207">
        <v>310.5</v>
      </c>
      <c r="O184" s="1207">
        <v>428</v>
      </c>
      <c r="P184" s="1207">
        <v>200</v>
      </c>
      <c r="Q184" s="1207">
        <v>90.67</v>
      </c>
      <c r="R184" s="1209">
        <f t="shared" si="100"/>
        <v>25869.139999999996</v>
      </c>
      <c r="S184" s="1159">
        <f t="shared" si="101"/>
        <v>1870.389999</v>
      </c>
      <c r="T184" s="1159">
        <f t="shared" si="102"/>
        <v>59.116669000000002</v>
      </c>
      <c r="U184" s="1210">
        <f t="shared" si="103"/>
        <v>1811.27333</v>
      </c>
      <c r="V184" s="1211"/>
      <c r="W184" s="1212"/>
      <c r="X184" s="1213">
        <f t="shared" si="104"/>
        <v>11714.942246575341</v>
      </c>
      <c r="Y184" s="1214">
        <v>42828</v>
      </c>
      <c r="Z184" s="1220">
        <v>3.8461538461538464E-2</v>
      </c>
      <c r="AA184" s="1213">
        <f t="shared" si="105"/>
        <v>450.5747017913593</v>
      </c>
      <c r="AB184" s="1216"/>
      <c r="AC184" s="1159">
        <f t="shared" si="106"/>
        <v>23689.454701791357</v>
      </c>
      <c r="AD184" s="1214">
        <v>43252</v>
      </c>
      <c r="AE184" s="1220">
        <v>0.27109629629629628</v>
      </c>
      <c r="AF184" s="1213">
        <f t="shared" si="107"/>
        <v>6422.1234309345191</v>
      </c>
    </row>
    <row r="185" spans="1:32">
      <c r="A185" s="1217">
        <v>2010</v>
      </c>
      <c r="B185" s="1219">
        <v>302629</v>
      </c>
      <c r="C185" s="1219">
        <v>3</v>
      </c>
      <c r="D185" s="1219">
        <v>2629</v>
      </c>
      <c r="E185" s="1219" t="s">
        <v>2778</v>
      </c>
      <c r="F185" s="1217" t="s">
        <v>1485</v>
      </c>
      <c r="G185" s="1207">
        <v>51.6</v>
      </c>
      <c r="H185" s="1207">
        <v>5.716666</v>
      </c>
      <c r="I185" s="1207">
        <v>0</v>
      </c>
      <c r="J185" s="1207">
        <v>0</v>
      </c>
      <c r="K185" s="1207">
        <v>0</v>
      </c>
      <c r="L185" s="1208">
        <v>859.66000000000008</v>
      </c>
      <c r="M185" s="1207">
        <v>142.86000000000001</v>
      </c>
      <c r="N185" s="1207">
        <v>0</v>
      </c>
      <c r="O185" s="1207">
        <v>0</v>
      </c>
      <c r="P185" s="1207">
        <v>0</v>
      </c>
      <c r="Q185" s="1207">
        <v>0</v>
      </c>
      <c r="R185" s="1209">
        <f t="shared" si="100"/>
        <v>1002.5200000000001</v>
      </c>
      <c r="S185" s="1159">
        <f t="shared" si="101"/>
        <v>57.316665999999998</v>
      </c>
      <c r="T185" s="1159">
        <f t="shared" si="102"/>
        <v>0</v>
      </c>
      <c r="U185" s="1210">
        <f t="shared" si="103"/>
        <v>57.316665999999998</v>
      </c>
      <c r="V185" s="1211"/>
      <c r="W185" s="1212"/>
      <c r="X185" s="1213"/>
      <c r="Y185" s="1214"/>
      <c r="Z185" s="1220">
        <v>0</v>
      </c>
      <c r="AA185" s="1213">
        <f t="shared" si="105"/>
        <v>0</v>
      </c>
      <c r="AB185" s="1216"/>
      <c r="AC185" s="1159">
        <f t="shared" si="106"/>
        <v>859.66000000000008</v>
      </c>
      <c r="AD185" s="1214"/>
      <c r="AE185" s="1220">
        <v>0</v>
      </c>
      <c r="AF185" s="1213">
        <f t="shared" si="107"/>
        <v>0</v>
      </c>
    </row>
    <row r="186" spans="1:32">
      <c r="A186" s="1217">
        <v>2010</v>
      </c>
      <c r="B186" s="1219">
        <v>301074</v>
      </c>
      <c r="C186" s="1219">
        <v>3</v>
      </c>
      <c r="D186" s="1219">
        <v>1074</v>
      </c>
      <c r="E186" s="1219" t="s">
        <v>2779</v>
      </c>
      <c r="F186" s="1217" t="s">
        <v>1485</v>
      </c>
      <c r="G186" s="1207">
        <v>649.14999899999998</v>
      </c>
      <c r="H186" s="1207">
        <v>114.033332</v>
      </c>
      <c r="I186" s="1207">
        <v>0</v>
      </c>
      <c r="J186" s="1207">
        <v>8</v>
      </c>
      <c r="K186" s="1207">
        <v>15.633334</v>
      </c>
      <c r="L186" s="1208">
        <v>10738.930000000002</v>
      </c>
      <c r="M186" s="1207">
        <v>2824.5699999999997</v>
      </c>
      <c r="N186" s="1207">
        <v>0</v>
      </c>
      <c r="O186" s="1207">
        <v>133.28</v>
      </c>
      <c r="P186" s="1207">
        <v>0</v>
      </c>
      <c r="Q186" s="1207">
        <v>260.49</v>
      </c>
      <c r="R186" s="1209">
        <f t="shared" si="100"/>
        <v>13957.270000000002</v>
      </c>
      <c r="S186" s="1159">
        <f t="shared" si="101"/>
        <v>786.81666499999994</v>
      </c>
      <c r="T186" s="1159">
        <f t="shared" si="102"/>
        <v>23.633333999999998</v>
      </c>
      <c r="U186" s="1210">
        <f t="shared" si="103"/>
        <v>763.18333099999995</v>
      </c>
      <c r="V186" s="1211"/>
      <c r="W186" s="1212"/>
      <c r="X186" s="1213">
        <f t="shared" si="104"/>
        <v>7238.2110410958931</v>
      </c>
      <c r="Y186" s="1214">
        <v>42887</v>
      </c>
      <c r="Z186" s="1220">
        <v>3.094059405940594E-2</v>
      </c>
      <c r="AA186" s="1213">
        <f t="shared" si="105"/>
        <v>223.95454953885809</v>
      </c>
      <c r="AB186" s="1216"/>
      <c r="AC186" s="1159">
        <f t="shared" si="106"/>
        <v>11096.16454953886</v>
      </c>
      <c r="AD186" s="1214">
        <v>43252</v>
      </c>
      <c r="AE186" s="1220">
        <v>0.03</v>
      </c>
      <c r="AF186" s="1213">
        <f t="shared" si="107"/>
        <v>332.88493648616577</v>
      </c>
    </row>
    <row r="187" spans="1:32">
      <c r="A187" s="1217">
        <v>2010</v>
      </c>
      <c r="B187" s="1219">
        <v>159207</v>
      </c>
      <c r="C187" s="1219">
        <v>1</v>
      </c>
      <c r="D187" s="1219">
        <v>59207</v>
      </c>
      <c r="E187" s="1219" t="s">
        <v>2780</v>
      </c>
      <c r="F187" s="1217" t="s">
        <v>1485</v>
      </c>
      <c r="G187" s="1207">
        <v>600.80000099999995</v>
      </c>
      <c r="H187" s="1207">
        <v>94.236666</v>
      </c>
      <c r="I187" s="1207">
        <v>0</v>
      </c>
      <c r="J187" s="1207">
        <v>0</v>
      </c>
      <c r="K187" s="1207">
        <v>26.249999000000003</v>
      </c>
      <c r="L187" s="1208">
        <v>9708.9699999999975</v>
      </c>
      <c r="M187" s="1207">
        <v>2284.3999999999996</v>
      </c>
      <c r="N187" s="1207">
        <v>0</v>
      </c>
      <c r="O187" s="1207">
        <v>0</v>
      </c>
      <c r="P187" s="1207">
        <v>0</v>
      </c>
      <c r="Q187" s="1207">
        <v>461.36</v>
      </c>
      <c r="R187" s="1209">
        <f t="shared" si="100"/>
        <v>12454.729999999998</v>
      </c>
      <c r="S187" s="1159">
        <f t="shared" si="101"/>
        <v>721.28666599999997</v>
      </c>
      <c r="T187" s="1159">
        <f t="shared" si="102"/>
        <v>26.249999000000003</v>
      </c>
      <c r="U187" s="1210">
        <f t="shared" si="103"/>
        <v>695.03666699999997</v>
      </c>
      <c r="V187" s="1211"/>
      <c r="W187" s="1212"/>
      <c r="X187" s="1213"/>
      <c r="Y187" s="1214"/>
      <c r="Z187" s="1220">
        <v>0</v>
      </c>
      <c r="AA187" s="1213">
        <f t="shared" si="105"/>
        <v>0</v>
      </c>
      <c r="AB187" s="1216"/>
      <c r="AC187" s="1159">
        <f t="shared" si="106"/>
        <v>9708.9699999999975</v>
      </c>
      <c r="AD187" s="1214"/>
      <c r="AE187" s="1220">
        <v>0</v>
      </c>
      <c r="AF187" s="1213">
        <f t="shared" si="107"/>
        <v>0</v>
      </c>
    </row>
    <row r="188" spans="1:32">
      <c r="A188" s="1217">
        <v>2010</v>
      </c>
      <c r="B188" s="1219">
        <v>300156</v>
      </c>
      <c r="C188" s="1219">
        <v>3</v>
      </c>
      <c r="D188" s="1219">
        <v>156</v>
      </c>
      <c r="E188" s="1219" t="s">
        <v>2781</v>
      </c>
      <c r="F188" s="1217" t="s">
        <v>1485</v>
      </c>
      <c r="G188" s="1207">
        <v>176.8</v>
      </c>
      <c r="H188" s="1207">
        <v>32.700001</v>
      </c>
      <c r="I188" s="1207">
        <v>0</v>
      </c>
      <c r="J188" s="1207">
        <v>0</v>
      </c>
      <c r="K188" s="1207">
        <v>7.1999999999999993</v>
      </c>
      <c r="L188" s="1208">
        <v>2857.11</v>
      </c>
      <c r="M188" s="1207">
        <v>792.71</v>
      </c>
      <c r="N188" s="1207">
        <v>0</v>
      </c>
      <c r="O188" s="1207">
        <v>0</v>
      </c>
      <c r="P188" s="1207">
        <v>0</v>
      </c>
      <c r="Q188" s="1207">
        <v>116.36</v>
      </c>
      <c r="R188" s="1209">
        <f t="shared" si="100"/>
        <v>3766.1800000000003</v>
      </c>
      <c r="S188" s="1159">
        <f t="shared" si="101"/>
        <v>216.70000099999999</v>
      </c>
      <c r="T188" s="1159">
        <f t="shared" si="102"/>
        <v>7.1999999999999993</v>
      </c>
      <c r="U188" s="1210">
        <f t="shared" si="103"/>
        <v>209.500001</v>
      </c>
      <c r="V188" s="1211"/>
      <c r="W188" s="1212"/>
      <c r="X188" s="1213"/>
      <c r="Y188" s="1214"/>
      <c r="Z188" s="1220">
        <v>0</v>
      </c>
      <c r="AA188" s="1213">
        <f t="shared" si="105"/>
        <v>0</v>
      </c>
      <c r="AB188" s="1216"/>
      <c r="AC188" s="1159">
        <f t="shared" si="106"/>
        <v>2857.11</v>
      </c>
      <c r="AD188" s="1214"/>
      <c r="AE188" s="1220">
        <v>0</v>
      </c>
      <c r="AF188" s="1213">
        <f t="shared" si="107"/>
        <v>0</v>
      </c>
    </row>
    <row r="189" spans="1:32">
      <c r="A189" s="1217">
        <v>2010</v>
      </c>
      <c r="B189" s="1219">
        <v>159110</v>
      </c>
      <c r="C189" s="1219">
        <v>1</v>
      </c>
      <c r="D189" s="1219">
        <v>59110</v>
      </c>
      <c r="E189" s="1219" t="s">
        <v>2782</v>
      </c>
      <c r="F189" s="1217" t="s">
        <v>1485</v>
      </c>
      <c r="G189" s="1207">
        <v>180.25000000000003</v>
      </c>
      <c r="H189" s="1207">
        <v>46.599999999999994</v>
      </c>
      <c r="I189" s="1207">
        <v>0</v>
      </c>
      <c r="J189" s="1207">
        <v>0</v>
      </c>
      <c r="K189" s="1207">
        <v>0</v>
      </c>
      <c r="L189" s="1208">
        <v>2912.8299999999995</v>
      </c>
      <c r="M189" s="1207">
        <v>1151.3599999999999</v>
      </c>
      <c r="N189" s="1207">
        <v>0</v>
      </c>
      <c r="O189" s="1207">
        <v>0</v>
      </c>
      <c r="P189" s="1207">
        <v>0</v>
      </c>
      <c r="Q189" s="1207">
        <v>0</v>
      </c>
      <c r="R189" s="1209">
        <f t="shared" si="100"/>
        <v>4064.1899999999996</v>
      </c>
      <c r="S189" s="1159">
        <f t="shared" si="101"/>
        <v>226.85000000000002</v>
      </c>
      <c r="T189" s="1159">
        <f t="shared" si="102"/>
        <v>0</v>
      </c>
      <c r="U189" s="1210">
        <f t="shared" si="103"/>
        <v>226.85000000000002</v>
      </c>
      <c r="V189" s="1211"/>
      <c r="W189" s="1212"/>
      <c r="X189" s="1213"/>
      <c r="Y189" s="1214"/>
      <c r="Z189" s="1220">
        <v>0</v>
      </c>
      <c r="AA189" s="1213">
        <f t="shared" si="105"/>
        <v>0</v>
      </c>
      <c r="AB189" s="1216"/>
      <c r="AC189" s="1159">
        <f t="shared" si="106"/>
        <v>2912.8299999999995</v>
      </c>
      <c r="AD189" s="1214"/>
      <c r="AE189" s="1220">
        <v>0</v>
      </c>
      <c r="AF189" s="1213">
        <f t="shared" si="107"/>
        <v>0</v>
      </c>
    </row>
    <row r="190" spans="1:32">
      <c r="A190" s="1217">
        <v>2010</v>
      </c>
      <c r="B190" s="1219">
        <v>301877</v>
      </c>
      <c r="C190" s="1219">
        <v>3</v>
      </c>
      <c r="D190" s="1219">
        <v>1877</v>
      </c>
      <c r="E190" s="1219" t="s">
        <v>2783</v>
      </c>
      <c r="F190" s="1217" t="s">
        <v>1485</v>
      </c>
      <c r="G190" s="1207">
        <v>311.16666699999996</v>
      </c>
      <c r="H190" s="1207">
        <v>69.683335999999997</v>
      </c>
      <c r="I190" s="1207">
        <v>0</v>
      </c>
      <c r="J190" s="1207">
        <v>0</v>
      </c>
      <c r="K190" s="1207">
        <v>0.83333299999999999</v>
      </c>
      <c r="L190" s="1208">
        <v>5184.04</v>
      </c>
      <c r="M190" s="1207">
        <v>1741.47</v>
      </c>
      <c r="N190" s="1207">
        <v>0</v>
      </c>
      <c r="O190" s="1207">
        <v>0</v>
      </c>
      <c r="P190" s="1207">
        <v>0</v>
      </c>
      <c r="Q190" s="1207">
        <v>13.89</v>
      </c>
      <c r="R190" s="1209">
        <f t="shared" si="100"/>
        <v>6939.4000000000005</v>
      </c>
      <c r="S190" s="1159">
        <f t="shared" si="101"/>
        <v>381.68333599999994</v>
      </c>
      <c r="T190" s="1159">
        <f t="shared" si="102"/>
        <v>0.83333299999999999</v>
      </c>
      <c r="U190" s="1210">
        <f t="shared" si="103"/>
        <v>380.85000299999996</v>
      </c>
      <c r="V190" s="1211"/>
      <c r="W190" s="1212"/>
      <c r="X190" s="1213"/>
      <c r="Y190" s="1214"/>
      <c r="Z190" s="1220">
        <v>0</v>
      </c>
      <c r="AA190" s="1213">
        <f t="shared" si="105"/>
        <v>0</v>
      </c>
      <c r="AB190" s="1216"/>
      <c r="AC190" s="1159">
        <f t="shared" si="106"/>
        <v>5184.04</v>
      </c>
      <c r="AD190" s="1214">
        <v>43252</v>
      </c>
      <c r="AE190" s="1220">
        <v>0.03</v>
      </c>
      <c r="AF190" s="1213">
        <f t="shared" si="107"/>
        <v>155.52119999999999</v>
      </c>
    </row>
    <row r="191" spans="1:32">
      <c r="A191" s="1217">
        <v>2010</v>
      </c>
      <c r="B191" s="1219">
        <v>300319</v>
      </c>
      <c r="C191" s="1219">
        <v>3</v>
      </c>
      <c r="D191" s="1219">
        <v>319</v>
      </c>
      <c r="E191" s="1219" t="s">
        <v>2784</v>
      </c>
      <c r="F191" s="1217" t="s">
        <v>1485</v>
      </c>
      <c r="G191" s="1207">
        <v>161.51666700000001</v>
      </c>
      <c r="H191" s="1207">
        <v>11.216665000000001</v>
      </c>
      <c r="I191" s="1207">
        <v>0</v>
      </c>
      <c r="J191" s="1207">
        <v>0</v>
      </c>
      <c r="K191" s="1207">
        <v>7.4166659999999993</v>
      </c>
      <c r="L191" s="1208">
        <v>2610.1400000000003</v>
      </c>
      <c r="M191" s="1207">
        <v>271.93</v>
      </c>
      <c r="N191" s="1207">
        <v>0</v>
      </c>
      <c r="O191" s="1207">
        <v>0</v>
      </c>
      <c r="P191" s="1207">
        <v>0</v>
      </c>
      <c r="Q191" s="1207">
        <v>119.86</v>
      </c>
      <c r="R191" s="1209">
        <f t="shared" si="100"/>
        <v>3001.9300000000003</v>
      </c>
      <c r="S191" s="1159">
        <f t="shared" si="101"/>
        <v>180.14999800000001</v>
      </c>
      <c r="T191" s="1159">
        <f t="shared" si="102"/>
        <v>7.4166659999999993</v>
      </c>
      <c r="U191" s="1210">
        <f t="shared" si="103"/>
        <v>172.73333200000002</v>
      </c>
      <c r="V191" s="1211"/>
      <c r="W191" s="1212"/>
      <c r="X191" s="1213"/>
      <c r="Y191" s="1214"/>
      <c r="Z191" s="1220">
        <v>0</v>
      </c>
      <c r="AA191" s="1213">
        <f t="shared" si="105"/>
        <v>0</v>
      </c>
      <c r="AB191" s="1216"/>
      <c r="AC191" s="1159">
        <f t="shared" si="106"/>
        <v>2610.1400000000003</v>
      </c>
      <c r="AD191" s="1214"/>
      <c r="AE191" s="1220">
        <v>0</v>
      </c>
      <c r="AF191" s="1213">
        <f t="shared" si="107"/>
        <v>0</v>
      </c>
    </row>
    <row r="192" spans="1:32">
      <c r="A192" s="1217">
        <v>2010</v>
      </c>
      <c r="B192" s="1219">
        <v>301055</v>
      </c>
      <c r="C192" s="1219">
        <v>3</v>
      </c>
      <c r="D192" s="1219">
        <v>1055</v>
      </c>
      <c r="E192" s="1219" t="s">
        <v>2785</v>
      </c>
      <c r="F192" s="1217" t="s">
        <v>1485</v>
      </c>
      <c r="G192" s="1207">
        <v>162.183333</v>
      </c>
      <c r="H192" s="1207">
        <v>36.799999</v>
      </c>
      <c r="I192" s="1207">
        <v>0</v>
      </c>
      <c r="J192" s="1207">
        <v>0</v>
      </c>
      <c r="K192" s="1207">
        <v>0.73333300000000001</v>
      </c>
      <c r="L192" s="1208">
        <v>2620.91</v>
      </c>
      <c r="M192" s="1207">
        <v>892.07</v>
      </c>
      <c r="N192" s="1207">
        <v>0</v>
      </c>
      <c r="O192" s="1207">
        <v>0</v>
      </c>
      <c r="P192" s="1207">
        <v>0</v>
      </c>
      <c r="Q192" s="1207">
        <v>11.86</v>
      </c>
      <c r="R192" s="1209">
        <f t="shared" si="100"/>
        <v>3524.84</v>
      </c>
      <c r="S192" s="1159">
        <f t="shared" si="101"/>
        <v>199.71666500000001</v>
      </c>
      <c r="T192" s="1159">
        <f t="shared" si="102"/>
        <v>0.73333300000000001</v>
      </c>
      <c r="U192" s="1210">
        <f t="shared" si="103"/>
        <v>198.98333200000002</v>
      </c>
      <c r="V192" s="1211"/>
      <c r="W192" s="1212"/>
      <c r="X192" s="1213"/>
      <c r="Y192" s="1214"/>
      <c r="Z192" s="1220">
        <v>0</v>
      </c>
      <c r="AA192" s="1213">
        <f t="shared" si="105"/>
        <v>0</v>
      </c>
      <c r="AB192" s="1216"/>
      <c r="AC192" s="1159">
        <f t="shared" si="106"/>
        <v>2620.91</v>
      </c>
      <c r="AD192" s="1214"/>
      <c r="AE192" s="1220">
        <v>0</v>
      </c>
      <c r="AF192" s="1213">
        <f t="shared" si="107"/>
        <v>0</v>
      </c>
    </row>
    <row r="193" spans="1:32">
      <c r="A193" s="1217">
        <v>2010</v>
      </c>
      <c r="B193" s="1219">
        <v>302355</v>
      </c>
      <c r="C193" s="1219">
        <v>3</v>
      </c>
      <c r="D193" s="1219">
        <v>2355</v>
      </c>
      <c r="E193" s="1219" t="s">
        <v>2786</v>
      </c>
      <c r="F193" s="1217" t="s">
        <v>1485</v>
      </c>
      <c r="G193" s="1207">
        <v>31.95</v>
      </c>
      <c r="H193" s="1207">
        <v>5.8</v>
      </c>
      <c r="I193" s="1207">
        <v>0</v>
      </c>
      <c r="J193" s="1207">
        <v>0</v>
      </c>
      <c r="K193" s="1207">
        <v>0.05</v>
      </c>
      <c r="L193" s="1208">
        <v>532.29</v>
      </c>
      <c r="M193" s="1207">
        <v>144.94999999999999</v>
      </c>
      <c r="N193" s="1207">
        <v>0</v>
      </c>
      <c r="O193" s="1207">
        <v>0</v>
      </c>
      <c r="P193" s="1207">
        <v>0</v>
      </c>
      <c r="Q193" s="1207">
        <v>0.84</v>
      </c>
      <c r="R193" s="1209">
        <f t="shared" si="100"/>
        <v>678.08</v>
      </c>
      <c r="S193" s="1159">
        <f t="shared" si="101"/>
        <v>37.799999999999997</v>
      </c>
      <c r="T193" s="1159">
        <f t="shared" si="102"/>
        <v>0.05</v>
      </c>
      <c r="U193" s="1210">
        <f t="shared" si="103"/>
        <v>37.75</v>
      </c>
      <c r="V193" s="1211"/>
      <c r="W193" s="1212"/>
      <c r="X193" s="1213"/>
      <c r="Y193" s="1214"/>
      <c r="Z193" s="1220">
        <v>0</v>
      </c>
      <c r="AA193" s="1213">
        <f t="shared" si="105"/>
        <v>0</v>
      </c>
      <c r="AB193" s="1216"/>
      <c r="AC193" s="1159">
        <f t="shared" si="106"/>
        <v>532.29</v>
      </c>
      <c r="AD193" s="1214"/>
      <c r="AE193" s="1220">
        <v>0</v>
      </c>
      <c r="AF193" s="1213">
        <f t="shared" si="107"/>
        <v>0</v>
      </c>
    </row>
    <row r="194" spans="1:32">
      <c r="A194" s="1217">
        <v>2010</v>
      </c>
      <c r="B194" s="1219">
        <v>159000</v>
      </c>
      <c r="C194" s="1219">
        <v>1</v>
      </c>
      <c r="D194" s="1219">
        <v>59000</v>
      </c>
      <c r="E194" s="1219" t="s">
        <v>2787</v>
      </c>
      <c r="F194" s="1217" t="s">
        <v>1485</v>
      </c>
      <c r="G194" s="1207">
        <v>15.02</v>
      </c>
      <c r="H194" s="1207">
        <v>0</v>
      </c>
      <c r="I194" s="1207">
        <v>0</v>
      </c>
      <c r="J194" s="1207">
        <v>0</v>
      </c>
      <c r="K194" s="1207">
        <v>0</v>
      </c>
      <c r="L194" s="1208">
        <v>195.26</v>
      </c>
      <c r="M194" s="1207">
        <v>0</v>
      </c>
      <c r="N194" s="1207">
        <v>0</v>
      </c>
      <c r="O194" s="1207">
        <v>0</v>
      </c>
      <c r="P194" s="1207">
        <v>0</v>
      </c>
      <c r="Q194" s="1207">
        <v>0</v>
      </c>
      <c r="R194" s="1209">
        <f t="shared" si="100"/>
        <v>195.26</v>
      </c>
      <c r="S194" s="1159">
        <f t="shared" si="101"/>
        <v>15.02</v>
      </c>
      <c r="T194" s="1159">
        <f t="shared" si="102"/>
        <v>0</v>
      </c>
      <c r="U194" s="1210">
        <f t="shared" si="103"/>
        <v>15.02</v>
      </c>
      <c r="V194" s="1211"/>
      <c r="W194" s="1212"/>
      <c r="X194" s="1213"/>
      <c r="Y194" s="1214"/>
      <c r="Z194" s="1220">
        <v>0</v>
      </c>
      <c r="AA194" s="1213">
        <f t="shared" si="105"/>
        <v>0</v>
      </c>
      <c r="AB194" s="1216"/>
      <c r="AC194" s="1159">
        <f t="shared" si="106"/>
        <v>195.26</v>
      </c>
      <c r="AD194" s="1214"/>
      <c r="AE194" s="1220">
        <v>0</v>
      </c>
      <c r="AF194" s="1213">
        <f t="shared" si="107"/>
        <v>0</v>
      </c>
    </row>
    <row r="195" spans="1:32">
      <c r="A195" s="1217">
        <v>2010</v>
      </c>
      <c r="B195" s="1219">
        <v>302128</v>
      </c>
      <c r="C195" s="1219">
        <v>3</v>
      </c>
      <c r="D195" s="1219">
        <v>2128</v>
      </c>
      <c r="E195" s="1219" t="s">
        <v>2788</v>
      </c>
      <c r="F195" s="1217" t="s">
        <v>1485</v>
      </c>
      <c r="G195" s="1207">
        <v>271.35000000000002</v>
      </c>
      <c r="H195" s="1207">
        <v>74.950001</v>
      </c>
      <c r="I195" s="1207">
        <v>0</v>
      </c>
      <c r="J195" s="1207">
        <v>0</v>
      </c>
      <c r="K195" s="1207">
        <v>0.65</v>
      </c>
      <c r="L195" s="1208">
        <v>4520.7</v>
      </c>
      <c r="M195" s="1207">
        <v>1873.09</v>
      </c>
      <c r="N195" s="1207">
        <v>0</v>
      </c>
      <c r="O195" s="1207">
        <v>0</v>
      </c>
      <c r="P195" s="1207">
        <v>0</v>
      </c>
      <c r="Q195" s="1207">
        <v>10.83</v>
      </c>
      <c r="R195" s="1209">
        <f t="shared" si="100"/>
        <v>6404.62</v>
      </c>
      <c r="S195" s="1159">
        <f t="shared" si="101"/>
        <v>346.95000099999999</v>
      </c>
      <c r="T195" s="1159">
        <f t="shared" si="102"/>
        <v>0.65</v>
      </c>
      <c r="U195" s="1210">
        <f t="shared" si="103"/>
        <v>346.30000100000001</v>
      </c>
      <c r="V195" s="1211"/>
      <c r="W195" s="1212"/>
      <c r="X195" s="1213"/>
      <c r="Y195" s="1214"/>
      <c r="Z195" s="1220">
        <v>0</v>
      </c>
      <c r="AA195" s="1213">
        <f t="shared" si="105"/>
        <v>0</v>
      </c>
      <c r="AB195" s="1216"/>
      <c r="AC195" s="1159">
        <f t="shared" si="106"/>
        <v>4520.7</v>
      </c>
      <c r="AD195" s="1214">
        <v>43252</v>
      </c>
      <c r="AE195" s="1220">
        <v>0.03</v>
      </c>
      <c r="AF195" s="1213">
        <f t="shared" si="107"/>
        <v>135.62099999999998</v>
      </c>
    </row>
    <row r="196" spans="1:32">
      <c r="A196" s="1217">
        <v>2010</v>
      </c>
      <c r="B196" s="1219">
        <v>300981</v>
      </c>
      <c r="C196" s="1219">
        <v>3</v>
      </c>
      <c r="D196" s="1219">
        <v>981</v>
      </c>
      <c r="E196" s="1219" t="s">
        <v>2789</v>
      </c>
      <c r="F196" s="1217" t="s">
        <v>1485</v>
      </c>
      <c r="G196" s="1207">
        <v>797.88333499999999</v>
      </c>
      <c r="H196" s="1207">
        <v>153.366668</v>
      </c>
      <c r="I196" s="1207">
        <v>0</v>
      </c>
      <c r="J196" s="1207">
        <v>0</v>
      </c>
      <c r="K196" s="1207">
        <v>18.116664999999998</v>
      </c>
      <c r="L196" s="1208">
        <v>13161.010000000002</v>
      </c>
      <c r="M196" s="1207">
        <v>3805.6200000000008</v>
      </c>
      <c r="N196" s="1207">
        <v>0</v>
      </c>
      <c r="O196" s="1207">
        <v>0</v>
      </c>
      <c r="P196" s="1207">
        <v>100.00000000000001</v>
      </c>
      <c r="Q196" s="1207">
        <v>297.68000000000012</v>
      </c>
      <c r="R196" s="1209">
        <f t="shared" si="100"/>
        <v>17364.310000000005</v>
      </c>
      <c r="S196" s="1159">
        <f t="shared" si="101"/>
        <v>969.366668</v>
      </c>
      <c r="T196" s="1159">
        <f t="shared" si="102"/>
        <v>18.116664999999998</v>
      </c>
      <c r="U196" s="1210">
        <f t="shared" si="103"/>
        <v>951.25000299999999</v>
      </c>
      <c r="V196" s="1211"/>
      <c r="W196" s="1212"/>
      <c r="X196" s="1213">
        <f t="shared" si="104"/>
        <v>8761.9874794520565</v>
      </c>
      <c r="Y196" s="1214">
        <v>42887</v>
      </c>
      <c r="Z196" s="1220">
        <v>3.094059405940594E-2</v>
      </c>
      <c r="AA196" s="1213">
        <f t="shared" si="105"/>
        <v>271.10109775532351</v>
      </c>
      <c r="AB196" s="1216"/>
      <c r="AC196" s="1159">
        <f t="shared" si="106"/>
        <v>13432.111097755325</v>
      </c>
      <c r="AD196" s="1214">
        <v>43252</v>
      </c>
      <c r="AE196" s="1220">
        <v>0.03</v>
      </c>
      <c r="AF196" s="1213">
        <f t="shared" si="107"/>
        <v>402.96333293265974</v>
      </c>
    </row>
    <row r="197" spans="1:32">
      <c r="A197" s="1217">
        <v>2010</v>
      </c>
      <c r="B197" s="1219">
        <v>301364</v>
      </c>
      <c r="C197" s="1219">
        <v>3</v>
      </c>
      <c r="D197" s="1219">
        <v>1364</v>
      </c>
      <c r="E197" s="1219" t="s">
        <v>2790</v>
      </c>
      <c r="F197" s="1217" t="s">
        <v>1485</v>
      </c>
      <c r="G197" s="1207">
        <v>555.01666699999987</v>
      </c>
      <c r="H197" s="1207">
        <v>135.58333300000001</v>
      </c>
      <c r="I197" s="1207">
        <v>0</v>
      </c>
      <c r="J197" s="1207">
        <v>0</v>
      </c>
      <c r="K197" s="1207">
        <v>2.716666</v>
      </c>
      <c r="L197" s="1208">
        <v>9226.7599999999984</v>
      </c>
      <c r="M197" s="1207">
        <v>3380.28</v>
      </c>
      <c r="N197" s="1207">
        <v>0</v>
      </c>
      <c r="O197" s="1207">
        <v>0</v>
      </c>
      <c r="P197" s="1207">
        <v>0</v>
      </c>
      <c r="Q197" s="1207">
        <v>45.120000000000005</v>
      </c>
      <c r="R197" s="1209">
        <f t="shared" si="100"/>
        <v>12652.16</v>
      </c>
      <c r="S197" s="1159">
        <f t="shared" si="101"/>
        <v>693.31666599999994</v>
      </c>
      <c r="T197" s="1159">
        <f t="shared" si="102"/>
        <v>2.716666</v>
      </c>
      <c r="U197" s="1210">
        <f t="shared" si="103"/>
        <v>690.59999999999991</v>
      </c>
      <c r="V197" s="1211"/>
      <c r="W197" s="1212"/>
      <c r="X197" s="1213">
        <f t="shared" si="104"/>
        <v>6142.7470684931504</v>
      </c>
      <c r="Y197" s="1214">
        <v>42887</v>
      </c>
      <c r="Z197" s="1220">
        <v>3.094059405940594E-2</v>
      </c>
      <c r="AA197" s="1213">
        <f t="shared" si="105"/>
        <v>190.06024345585243</v>
      </c>
      <c r="AB197" s="1216"/>
      <c r="AC197" s="1159">
        <f t="shared" si="106"/>
        <v>9416.8202434558516</v>
      </c>
      <c r="AD197" s="1214">
        <v>43252</v>
      </c>
      <c r="AE197" s="1220">
        <v>0.03</v>
      </c>
      <c r="AF197" s="1213">
        <f t="shared" si="107"/>
        <v>282.50460730367553</v>
      </c>
    </row>
    <row r="198" spans="1:32">
      <c r="A198" s="1217">
        <v>2010</v>
      </c>
      <c r="B198" s="1219">
        <v>300354</v>
      </c>
      <c r="C198" s="1219">
        <v>3</v>
      </c>
      <c r="D198" s="1219">
        <v>354</v>
      </c>
      <c r="E198" s="1219" t="s">
        <v>2791</v>
      </c>
      <c r="F198" s="1217" t="s">
        <v>1485</v>
      </c>
      <c r="G198" s="1207">
        <v>333.44999900000005</v>
      </c>
      <c r="H198" s="1207">
        <v>28.000000999999997</v>
      </c>
      <c r="I198" s="1207">
        <v>0</v>
      </c>
      <c r="J198" s="1207">
        <v>0</v>
      </c>
      <c r="K198" s="1207">
        <v>12.550001</v>
      </c>
      <c r="L198" s="1208">
        <v>5388.6</v>
      </c>
      <c r="M198" s="1207">
        <v>678.8</v>
      </c>
      <c r="N198" s="1207">
        <v>0</v>
      </c>
      <c r="O198" s="1207">
        <v>0</v>
      </c>
      <c r="P198" s="1207">
        <v>0</v>
      </c>
      <c r="Q198" s="1207">
        <v>202.85000000000002</v>
      </c>
      <c r="R198" s="1209">
        <f t="shared" si="100"/>
        <v>6270.2500000000009</v>
      </c>
      <c r="S198" s="1159">
        <f t="shared" si="101"/>
        <v>374.00000100000005</v>
      </c>
      <c r="T198" s="1159">
        <f t="shared" si="102"/>
        <v>12.550001</v>
      </c>
      <c r="U198" s="1210">
        <f t="shared" si="103"/>
        <v>361.45000000000005</v>
      </c>
      <c r="V198" s="1211"/>
      <c r="W198" s="1212"/>
      <c r="X198" s="1213"/>
      <c r="Y198" s="1214"/>
      <c r="Z198" s="1220">
        <v>0</v>
      </c>
      <c r="AA198" s="1213">
        <f t="shared" si="105"/>
        <v>0</v>
      </c>
      <c r="AB198" s="1216"/>
      <c r="AC198" s="1159">
        <f t="shared" si="106"/>
        <v>5388.6</v>
      </c>
      <c r="AD198" s="1214"/>
      <c r="AE198" s="1220">
        <v>0</v>
      </c>
      <c r="AF198" s="1213">
        <f t="shared" si="107"/>
        <v>0</v>
      </c>
    </row>
    <row r="199" spans="1:32">
      <c r="A199" s="1217">
        <v>2010</v>
      </c>
      <c r="B199" s="1219">
        <v>157529</v>
      </c>
      <c r="C199" s="1219">
        <v>1</v>
      </c>
      <c r="D199" s="1219">
        <v>57529</v>
      </c>
      <c r="E199" s="1219" t="s">
        <v>2792</v>
      </c>
      <c r="F199" s="1217" t="s">
        <v>1485</v>
      </c>
      <c r="G199" s="1207">
        <v>614.44333299999994</v>
      </c>
      <c r="H199" s="1207">
        <v>108.67333199999999</v>
      </c>
      <c r="I199" s="1207">
        <v>0</v>
      </c>
      <c r="J199" s="1207">
        <v>0</v>
      </c>
      <c r="K199" s="1207">
        <v>4.4166670000000003</v>
      </c>
      <c r="L199" s="1208">
        <v>9929.41</v>
      </c>
      <c r="M199" s="1207">
        <v>2634.31</v>
      </c>
      <c r="N199" s="1207">
        <v>0</v>
      </c>
      <c r="O199" s="1207">
        <v>0</v>
      </c>
      <c r="P199" s="1207">
        <v>0</v>
      </c>
      <c r="Q199" s="1207">
        <v>108.50999999999999</v>
      </c>
      <c r="R199" s="1209">
        <f t="shared" si="100"/>
        <v>12672.23</v>
      </c>
      <c r="S199" s="1159">
        <f t="shared" si="101"/>
        <v>727.53333199999986</v>
      </c>
      <c r="T199" s="1159">
        <f t="shared" si="102"/>
        <v>4.4166670000000003</v>
      </c>
      <c r="U199" s="1210">
        <f t="shared" si="103"/>
        <v>723.1166649999999</v>
      </c>
      <c r="V199" s="1211"/>
      <c r="W199" s="1212"/>
      <c r="X199" s="1213"/>
      <c r="Y199" s="1214"/>
      <c r="Z199" s="1220">
        <v>0</v>
      </c>
      <c r="AA199" s="1213">
        <f t="shared" si="105"/>
        <v>0</v>
      </c>
      <c r="AB199" s="1216"/>
      <c r="AC199" s="1159">
        <f t="shared" si="106"/>
        <v>9929.41</v>
      </c>
      <c r="AD199" s="1214"/>
      <c r="AE199" s="1220">
        <v>0</v>
      </c>
      <c r="AF199" s="1213">
        <f t="shared" si="107"/>
        <v>0</v>
      </c>
    </row>
    <row r="200" spans="1:32">
      <c r="A200" s="1217">
        <v>2010</v>
      </c>
      <c r="B200" s="1219">
        <v>158473</v>
      </c>
      <c r="C200" s="1219">
        <v>1</v>
      </c>
      <c r="D200" s="1219">
        <v>58473</v>
      </c>
      <c r="E200" s="1219" t="s">
        <v>2793</v>
      </c>
      <c r="F200" s="1217" t="s">
        <v>1485</v>
      </c>
      <c r="G200" s="1207">
        <v>152</v>
      </c>
      <c r="H200" s="1207">
        <v>37.83</v>
      </c>
      <c r="I200" s="1207">
        <v>0</v>
      </c>
      <c r="J200" s="1207">
        <v>0</v>
      </c>
      <c r="K200" s="1207">
        <v>0</v>
      </c>
      <c r="L200" s="1208">
        <v>3223.92</v>
      </c>
      <c r="M200" s="1207">
        <v>1203.56</v>
      </c>
      <c r="N200" s="1207">
        <v>0</v>
      </c>
      <c r="O200" s="1207">
        <v>0</v>
      </c>
      <c r="P200" s="1207">
        <v>0</v>
      </c>
      <c r="Q200" s="1207">
        <v>0</v>
      </c>
      <c r="R200" s="1209">
        <f t="shared" si="100"/>
        <v>4427.4799999999996</v>
      </c>
      <c r="S200" s="1159">
        <f t="shared" si="101"/>
        <v>189.82999999999998</v>
      </c>
      <c r="T200" s="1159">
        <f t="shared" si="102"/>
        <v>0</v>
      </c>
      <c r="U200" s="1210">
        <f t="shared" si="103"/>
        <v>189.82999999999998</v>
      </c>
      <c r="V200" s="1211"/>
      <c r="W200" s="1212"/>
      <c r="X200" s="1213"/>
      <c r="Y200" s="1214"/>
      <c r="Z200" s="1220">
        <v>0</v>
      </c>
      <c r="AA200" s="1213">
        <f t="shared" si="105"/>
        <v>0</v>
      </c>
      <c r="AB200" s="1216"/>
      <c r="AC200" s="1159">
        <f t="shared" si="106"/>
        <v>3223.92</v>
      </c>
      <c r="AD200" s="1214"/>
      <c r="AE200" s="1220">
        <v>0</v>
      </c>
      <c r="AF200" s="1213">
        <f t="shared" si="107"/>
        <v>0</v>
      </c>
    </row>
    <row r="201" spans="1:32">
      <c r="A201" s="1217">
        <v>2010</v>
      </c>
      <c r="B201" s="1219">
        <v>155887</v>
      </c>
      <c r="C201" s="1219">
        <v>1</v>
      </c>
      <c r="D201" s="1219">
        <v>55887</v>
      </c>
      <c r="E201" s="1219" t="s">
        <v>2794</v>
      </c>
      <c r="F201" s="1217" t="s">
        <v>1485</v>
      </c>
      <c r="G201" s="1207">
        <v>120</v>
      </c>
      <c r="H201" s="1207">
        <v>29.799999999999997</v>
      </c>
      <c r="I201" s="1207">
        <v>38.700000000000003</v>
      </c>
      <c r="J201" s="1207">
        <v>0</v>
      </c>
      <c r="K201" s="1207">
        <v>0</v>
      </c>
      <c r="L201" s="1208">
        <v>2179.1999999999998</v>
      </c>
      <c r="M201" s="1207">
        <v>811.75</v>
      </c>
      <c r="N201" s="1207">
        <v>702.79</v>
      </c>
      <c r="O201" s="1207">
        <v>0</v>
      </c>
      <c r="P201" s="1207">
        <v>0</v>
      </c>
      <c r="Q201" s="1207">
        <v>0</v>
      </c>
      <c r="R201" s="1209">
        <f t="shared" si="100"/>
        <v>3693.74</v>
      </c>
      <c r="S201" s="1159">
        <f t="shared" si="101"/>
        <v>188.5</v>
      </c>
      <c r="T201" s="1159">
        <f t="shared" si="102"/>
        <v>38.700000000000003</v>
      </c>
      <c r="U201" s="1210">
        <f t="shared" si="103"/>
        <v>149.80000000000001</v>
      </c>
      <c r="V201" s="1211"/>
      <c r="W201" s="1212"/>
      <c r="X201" s="1213"/>
      <c r="Y201" s="1214"/>
      <c r="Z201" s="1220">
        <v>0</v>
      </c>
      <c r="AA201" s="1213">
        <f t="shared" si="105"/>
        <v>0</v>
      </c>
      <c r="AB201" s="1216"/>
      <c r="AC201" s="1159">
        <f t="shared" si="106"/>
        <v>2881.99</v>
      </c>
      <c r="AD201" s="1214"/>
      <c r="AE201" s="1220">
        <v>0</v>
      </c>
      <c r="AF201" s="1213">
        <f t="shared" si="107"/>
        <v>0</v>
      </c>
    </row>
    <row r="202" spans="1:32">
      <c r="A202" s="1217">
        <v>2010</v>
      </c>
      <c r="B202" s="1219">
        <v>301493</v>
      </c>
      <c r="C202" s="1219">
        <v>3</v>
      </c>
      <c r="D202" s="1219">
        <v>1493</v>
      </c>
      <c r="E202" s="1219" t="s">
        <v>2795</v>
      </c>
      <c r="F202" s="1217" t="s">
        <v>1485</v>
      </c>
      <c r="G202" s="1207">
        <v>70</v>
      </c>
      <c r="H202" s="1207">
        <v>13.383333</v>
      </c>
      <c r="I202" s="1207">
        <v>0</v>
      </c>
      <c r="J202" s="1207">
        <v>0</v>
      </c>
      <c r="K202" s="1207">
        <v>2</v>
      </c>
      <c r="L202" s="1208">
        <v>1166.2</v>
      </c>
      <c r="M202" s="1207">
        <v>334.48</v>
      </c>
      <c r="N202" s="1207">
        <v>0</v>
      </c>
      <c r="O202" s="1207">
        <v>0</v>
      </c>
      <c r="P202" s="1207">
        <v>0</v>
      </c>
      <c r="Q202" s="1207">
        <v>33.32</v>
      </c>
      <c r="R202" s="1209">
        <f t="shared" si="100"/>
        <v>1534</v>
      </c>
      <c r="S202" s="1159">
        <f t="shared" si="101"/>
        <v>85.383332999999993</v>
      </c>
      <c r="T202" s="1159">
        <f t="shared" si="102"/>
        <v>2</v>
      </c>
      <c r="U202" s="1210">
        <f t="shared" si="103"/>
        <v>83.383332999999993</v>
      </c>
      <c r="V202" s="1211"/>
      <c r="W202" s="1212"/>
      <c r="X202" s="1213">
        <f t="shared" si="104"/>
        <v>776.40164383561648</v>
      </c>
      <c r="Y202" s="1214">
        <v>42887</v>
      </c>
      <c r="Z202" s="1220">
        <v>3.094059405940594E-2</v>
      </c>
      <c r="AA202" s="1213">
        <f t="shared" si="105"/>
        <v>24.022328088973282</v>
      </c>
      <c r="AB202" s="1216"/>
      <c r="AC202" s="1159">
        <f t="shared" si="106"/>
        <v>1190.2223280889734</v>
      </c>
      <c r="AD202" s="1214"/>
      <c r="AE202" s="1220">
        <v>0</v>
      </c>
      <c r="AF202" s="1213">
        <f t="shared" si="107"/>
        <v>0</v>
      </c>
    </row>
    <row r="203" spans="1:32">
      <c r="A203" s="1217">
        <v>2010</v>
      </c>
      <c r="B203" s="1219">
        <v>300301</v>
      </c>
      <c r="C203" s="1219">
        <v>3</v>
      </c>
      <c r="D203" s="1219">
        <v>301</v>
      </c>
      <c r="E203" s="1219" t="s">
        <v>2796</v>
      </c>
      <c r="F203" s="1217" t="s">
        <v>1485</v>
      </c>
      <c r="G203" s="1207">
        <v>510.96666700000003</v>
      </c>
      <c r="H203" s="1207">
        <v>64.683330999999995</v>
      </c>
      <c r="I203" s="1207">
        <v>0</v>
      </c>
      <c r="J203" s="1207">
        <v>0</v>
      </c>
      <c r="K203" s="1207">
        <v>4.7666659999999998</v>
      </c>
      <c r="L203" s="1208">
        <v>8257.2499999999982</v>
      </c>
      <c r="M203" s="1207">
        <v>1568.02</v>
      </c>
      <c r="N203" s="1207">
        <v>0</v>
      </c>
      <c r="O203" s="1207">
        <v>0</v>
      </c>
      <c r="P203" s="1207">
        <v>0</v>
      </c>
      <c r="Q203" s="1207">
        <v>77.05</v>
      </c>
      <c r="R203" s="1209">
        <f t="shared" si="100"/>
        <v>9902.3199999999979</v>
      </c>
      <c r="S203" s="1159">
        <f t="shared" si="101"/>
        <v>580.41666399999997</v>
      </c>
      <c r="T203" s="1159">
        <f t="shared" si="102"/>
        <v>4.7666659999999998</v>
      </c>
      <c r="U203" s="1210">
        <f t="shared" si="103"/>
        <v>575.64999799999998</v>
      </c>
      <c r="V203" s="1211"/>
      <c r="W203" s="1212"/>
      <c r="X203" s="1213"/>
      <c r="Y203" s="1214"/>
      <c r="Z203" s="1220">
        <v>0</v>
      </c>
      <c r="AA203" s="1213">
        <f t="shared" si="105"/>
        <v>0</v>
      </c>
      <c r="AB203" s="1216"/>
      <c r="AC203" s="1159">
        <f t="shared" si="106"/>
        <v>8257.2499999999982</v>
      </c>
      <c r="AD203" s="1214"/>
      <c r="AE203" s="1220">
        <v>0</v>
      </c>
      <c r="AF203" s="1213">
        <f t="shared" si="107"/>
        <v>0</v>
      </c>
    </row>
    <row r="204" spans="1:32">
      <c r="A204" s="1217">
        <v>2010</v>
      </c>
      <c r="B204" s="1219">
        <v>159260</v>
      </c>
      <c r="C204" s="1219">
        <v>1</v>
      </c>
      <c r="D204" s="1219">
        <v>59260</v>
      </c>
      <c r="E204" s="1219" t="s">
        <v>2797</v>
      </c>
      <c r="F204" s="1217" t="s">
        <v>1485</v>
      </c>
      <c r="G204" s="1207">
        <v>1334.483334</v>
      </c>
      <c r="H204" s="1207">
        <v>176.23333299999996</v>
      </c>
      <c r="I204" s="1207">
        <v>0</v>
      </c>
      <c r="J204" s="1207">
        <v>16</v>
      </c>
      <c r="K204" s="1207">
        <v>43.986670000000004</v>
      </c>
      <c r="L204" s="1208">
        <v>21780.32</v>
      </c>
      <c r="M204" s="1207">
        <v>4315.4600000000009</v>
      </c>
      <c r="N204" s="1207">
        <v>0</v>
      </c>
      <c r="O204" s="1207">
        <v>262.56</v>
      </c>
      <c r="P204" s="1207">
        <v>0</v>
      </c>
      <c r="Q204" s="1207">
        <v>753.04</v>
      </c>
      <c r="R204" s="1209">
        <f t="shared" si="100"/>
        <v>27111.38</v>
      </c>
      <c r="S204" s="1159">
        <f t="shared" si="101"/>
        <v>1570.7033369999999</v>
      </c>
      <c r="T204" s="1159">
        <f t="shared" si="102"/>
        <v>59.986670000000004</v>
      </c>
      <c r="U204" s="1210">
        <f t="shared" si="103"/>
        <v>1510.7166669999999</v>
      </c>
      <c r="V204" s="1211"/>
      <c r="W204" s="1212"/>
      <c r="X204" s="1213">
        <f t="shared" si="104"/>
        <v>14675.12284931507</v>
      </c>
      <c r="Y204" s="1214">
        <v>42887</v>
      </c>
      <c r="Z204" s="1220">
        <v>3.094059405940594E-2</v>
      </c>
      <c r="AA204" s="1213">
        <f t="shared" si="105"/>
        <v>454.05701885257025</v>
      </c>
      <c r="AB204" s="1216"/>
      <c r="AC204" s="1159">
        <f t="shared" si="106"/>
        <v>22496.937018852572</v>
      </c>
      <c r="AD204" s="1214"/>
      <c r="AE204" s="1220">
        <v>0</v>
      </c>
      <c r="AF204" s="1213">
        <f t="shared" si="107"/>
        <v>0</v>
      </c>
    </row>
    <row r="205" spans="1:32">
      <c r="A205" s="1217">
        <v>2010</v>
      </c>
      <c r="B205" s="1219">
        <v>159204</v>
      </c>
      <c r="C205" s="1219">
        <v>1</v>
      </c>
      <c r="D205" s="1219">
        <v>59204</v>
      </c>
      <c r="E205" s="1219" t="s">
        <v>2798</v>
      </c>
      <c r="F205" s="1217" t="s">
        <v>1485</v>
      </c>
      <c r="G205" s="1207">
        <v>262.05</v>
      </c>
      <c r="H205" s="1207">
        <v>64.563331000000005</v>
      </c>
      <c r="I205" s="1207">
        <v>0</v>
      </c>
      <c r="J205" s="1207">
        <v>0</v>
      </c>
      <c r="K205" s="1207">
        <v>3.806667</v>
      </c>
      <c r="L205" s="1208">
        <v>4234.74</v>
      </c>
      <c r="M205" s="1207">
        <v>1565.0500000000002</v>
      </c>
      <c r="N205" s="1207">
        <v>0</v>
      </c>
      <c r="O205" s="1207">
        <v>0</v>
      </c>
      <c r="P205" s="1207">
        <v>0</v>
      </c>
      <c r="Q205" s="1207">
        <v>98.65</v>
      </c>
      <c r="R205" s="1209">
        <f t="shared" si="100"/>
        <v>5898.44</v>
      </c>
      <c r="S205" s="1159">
        <f t="shared" si="101"/>
        <v>330.41999800000002</v>
      </c>
      <c r="T205" s="1159">
        <f t="shared" si="102"/>
        <v>3.806667</v>
      </c>
      <c r="U205" s="1210">
        <f t="shared" si="103"/>
        <v>326.61333100000002</v>
      </c>
      <c r="V205" s="1211"/>
      <c r="W205" s="1212"/>
      <c r="X205" s="1213"/>
      <c r="Y205" s="1214"/>
      <c r="Z205" s="1220">
        <v>0</v>
      </c>
      <c r="AA205" s="1213">
        <f t="shared" si="105"/>
        <v>0</v>
      </c>
      <c r="AB205" s="1216"/>
      <c r="AC205" s="1159">
        <f t="shared" si="106"/>
        <v>4234.74</v>
      </c>
      <c r="AD205" s="1214"/>
      <c r="AE205" s="1220">
        <v>0</v>
      </c>
      <c r="AF205" s="1213">
        <f t="shared" si="107"/>
        <v>0</v>
      </c>
    </row>
    <row r="206" spans="1:32">
      <c r="A206" s="1217">
        <v>2010</v>
      </c>
      <c r="B206" s="1219">
        <v>159012</v>
      </c>
      <c r="C206" s="1219">
        <v>1</v>
      </c>
      <c r="D206" s="1219">
        <v>59012</v>
      </c>
      <c r="E206" s="1219" t="s">
        <v>2799</v>
      </c>
      <c r="F206" s="1217" t="s">
        <v>1485</v>
      </c>
      <c r="G206" s="1207">
        <v>40.5</v>
      </c>
      <c r="H206" s="1207">
        <v>4.83</v>
      </c>
      <c r="I206" s="1207">
        <v>0</v>
      </c>
      <c r="J206" s="1207">
        <v>0</v>
      </c>
      <c r="K206" s="1207">
        <v>0</v>
      </c>
      <c r="L206" s="1208">
        <v>654.48</v>
      </c>
      <c r="M206" s="1207">
        <v>117.08</v>
      </c>
      <c r="N206" s="1207">
        <v>0</v>
      </c>
      <c r="O206" s="1207">
        <v>0</v>
      </c>
      <c r="P206" s="1207">
        <v>0</v>
      </c>
      <c r="Q206" s="1207">
        <v>0</v>
      </c>
      <c r="R206" s="1209">
        <f t="shared" si="100"/>
        <v>771.56000000000006</v>
      </c>
      <c r="S206" s="1159">
        <f t="shared" si="101"/>
        <v>45.33</v>
      </c>
      <c r="T206" s="1159">
        <f t="shared" si="102"/>
        <v>0</v>
      </c>
      <c r="U206" s="1210">
        <f t="shared" si="103"/>
        <v>45.33</v>
      </c>
      <c r="V206" s="1211"/>
      <c r="W206" s="1212"/>
      <c r="X206" s="1213"/>
      <c r="Y206" s="1214"/>
      <c r="Z206" s="1220">
        <v>0</v>
      </c>
      <c r="AA206" s="1213">
        <f t="shared" si="105"/>
        <v>0</v>
      </c>
      <c r="AB206" s="1216"/>
      <c r="AC206" s="1159">
        <f t="shared" si="106"/>
        <v>654.48</v>
      </c>
      <c r="AD206" s="1214"/>
      <c r="AE206" s="1220">
        <v>0</v>
      </c>
      <c r="AF206" s="1213">
        <f t="shared" si="107"/>
        <v>0</v>
      </c>
    </row>
    <row r="207" spans="1:32">
      <c r="A207" s="1217">
        <v>2010</v>
      </c>
      <c r="B207" s="1219">
        <v>157528</v>
      </c>
      <c r="C207" s="1219">
        <v>1</v>
      </c>
      <c r="D207" s="1219">
        <v>57528</v>
      </c>
      <c r="E207" s="1219" t="s">
        <v>2800</v>
      </c>
      <c r="F207" s="1217" t="s">
        <v>1485</v>
      </c>
      <c r="G207" s="1207">
        <v>693.47999900000002</v>
      </c>
      <c r="H207" s="1207">
        <v>75.91999899999999</v>
      </c>
      <c r="I207" s="1207">
        <v>24</v>
      </c>
      <c r="J207" s="1207">
        <v>0</v>
      </c>
      <c r="K207" s="1207">
        <v>13.940000000000001</v>
      </c>
      <c r="L207" s="1208">
        <v>11206.6901</v>
      </c>
      <c r="M207" s="1207">
        <v>1847.69</v>
      </c>
      <c r="N207" s="1207">
        <v>387.84000000000003</v>
      </c>
      <c r="O207" s="1207">
        <v>0</v>
      </c>
      <c r="P207" s="1207">
        <v>0</v>
      </c>
      <c r="Q207" s="1207">
        <v>262.44</v>
      </c>
      <c r="R207" s="1209">
        <f t="shared" si="100"/>
        <v>13704.660100000001</v>
      </c>
      <c r="S207" s="1159">
        <f t="shared" si="101"/>
        <v>807.33999800000004</v>
      </c>
      <c r="T207" s="1159">
        <f t="shared" si="102"/>
        <v>37.94</v>
      </c>
      <c r="U207" s="1210">
        <f t="shared" si="103"/>
        <v>769.3999980000001</v>
      </c>
      <c r="V207" s="1211"/>
      <c r="W207" s="1212"/>
      <c r="X207" s="1213"/>
      <c r="Y207" s="1214"/>
      <c r="Z207" s="1220">
        <v>0</v>
      </c>
      <c r="AA207" s="1213">
        <f t="shared" si="105"/>
        <v>0</v>
      </c>
      <c r="AB207" s="1216"/>
      <c r="AC207" s="1159">
        <f t="shared" si="106"/>
        <v>11594.5301</v>
      </c>
      <c r="AD207" s="1214"/>
      <c r="AE207" s="1220">
        <v>0</v>
      </c>
      <c r="AF207" s="1213">
        <f t="shared" si="107"/>
        <v>0</v>
      </c>
    </row>
    <row r="208" spans="1:32">
      <c r="A208" s="1217"/>
      <c r="B208" s="1223"/>
      <c r="C208" s="1223"/>
      <c r="D208" s="1223"/>
      <c r="E208" s="1229"/>
      <c r="F208" s="1217"/>
      <c r="G208" s="1225"/>
      <c r="H208" s="1225"/>
      <c r="I208" s="1225"/>
      <c r="J208" s="1225"/>
      <c r="K208" s="1225"/>
      <c r="L208" s="1208"/>
      <c r="M208" s="1207"/>
      <c r="N208" s="1207"/>
      <c r="O208" s="1207"/>
      <c r="P208" s="1207"/>
      <c r="Q208" s="1207"/>
      <c r="R208" s="1209"/>
      <c r="S208" s="1236"/>
      <c r="T208" s="1236"/>
      <c r="U208" s="1236"/>
      <c r="V208" s="1236"/>
      <c r="W208" s="1236"/>
      <c r="X208" s="1236"/>
      <c r="Y208" s="1236"/>
      <c r="Z208" s="1236"/>
      <c r="AA208" s="1236"/>
      <c r="AB208" s="1236"/>
      <c r="AC208" s="1236"/>
      <c r="AD208" s="1236"/>
      <c r="AE208" s="1236"/>
      <c r="AF208" s="1236"/>
    </row>
    <row r="209" spans="1:32">
      <c r="A209" s="1217"/>
      <c r="B209" s="1223"/>
      <c r="C209" s="1223"/>
      <c r="D209" s="1223"/>
      <c r="E209" s="1229" t="s">
        <v>2801</v>
      </c>
      <c r="F209" s="1217"/>
      <c r="G209" s="1230">
        <f>+SUM(G182:G208)</f>
        <v>10516.759999</v>
      </c>
      <c r="H209" s="1230">
        <f t="shared" ref="H209:Q209" si="108">+SUM(H182:H208)</f>
        <v>1637.7266609999999</v>
      </c>
      <c r="I209" s="1230">
        <f t="shared" si="108"/>
        <v>85.7</v>
      </c>
      <c r="J209" s="1230">
        <f t="shared" si="108"/>
        <v>56</v>
      </c>
      <c r="K209" s="1230">
        <f t="shared" si="108"/>
        <v>176.56666900000002</v>
      </c>
      <c r="L209" s="1241">
        <f t="shared" si="108"/>
        <v>167646.48009999999</v>
      </c>
      <c r="M209" s="1230">
        <f t="shared" si="108"/>
        <v>40092.860000000008</v>
      </c>
      <c r="N209" s="1230">
        <f t="shared" si="108"/>
        <v>1401.13</v>
      </c>
      <c r="O209" s="1230">
        <f t="shared" si="108"/>
        <v>823.83999999999992</v>
      </c>
      <c r="P209" s="1230">
        <f t="shared" si="108"/>
        <v>300</v>
      </c>
      <c r="Q209" s="1230">
        <f t="shared" si="108"/>
        <v>3087.5299999999997</v>
      </c>
      <c r="R209" s="1232">
        <f>+SUM(R182:R208)</f>
        <v>213351.8401</v>
      </c>
      <c r="S209" s="1233">
        <f>+SUM(S182:S208)</f>
        <v>12472.753328999999</v>
      </c>
      <c r="T209" s="1242">
        <f t="shared" ref="T209:AF209" si="109">+SUM(T182:T208)</f>
        <v>318.26666899999998</v>
      </c>
      <c r="U209" s="1242">
        <f t="shared" si="109"/>
        <v>12154.486660000002</v>
      </c>
      <c r="V209" s="1242"/>
      <c r="W209" s="1242"/>
      <c r="X209" s="1242">
        <f t="shared" si="109"/>
        <v>57131.096328767133</v>
      </c>
      <c r="Y209" s="1242">
        <f t="shared" si="109"/>
        <v>300150</v>
      </c>
      <c r="Z209" s="1242"/>
      <c r="AA209" s="1242">
        <f t="shared" si="109"/>
        <v>1848.4204594829371</v>
      </c>
      <c r="AB209" s="1242"/>
      <c r="AC209" s="1242">
        <f t="shared" si="109"/>
        <v>171719.87055948292</v>
      </c>
      <c r="AD209" s="1242"/>
      <c r="AE209" s="1242"/>
      <c r="AF209" s="1242">
        <f t="shared" si="109"/>
        <v>8091.1166232570204</v>
      </c>
    </row>
    <row r="210" spans="1:32">
      <c r="A210" s="1217"/>
      <c r="B210" s="1219"/>
      <c r="C210" s="1219"/>
      <c r="D210" s="1219"/>
      <c r="E210" s="1219"/>
      <c r="F210" s="1217"/>
      <c r="G210" s="1225"/>
      <c r="H210" s="1225"/>
      <c r="I210" s="1225"/>
      <c r="J210" s="1225"/>
      <c r="K210" s="1225"/>
      <c r="L210" s="1208"/>
      <c r="M210" s="1207"/>
      <c r="N210" s="1207"/>
      <c r="O210" s="1207"/>
      <c r="P210" s="1207"/>
      <c r="Q210" s="1207"/>
      <c r="R210" s="1209"/>
      <c r="S210" s="1236"/>
      <c r="T210" s="1236"/>
      <c r="U210" s="1236"/>
      <c r="V210" s="1236"/>
      <c r="W210" s="1236"/>
      <c r="X210" s="1236"/>
      <c r="Y210" s="1236"/>
      <c r="Z210" s="1236"/>
      <c r="AA210" s="1236"/>
      <c r="AB210" s="1236"/>
      <c r="AC210" s="1236"/>
      <c r="AD210" s="1236"/>
      <c r="AE210" s="1236"/>
      <c r="AF210" s="1236"/>
    </row>
    <row r="211" spans="1:32">
      <c r="A211" s="1203" t="s">
        <v>1486</v>
      </c>
      <c r="B211" s="1204"/>
      <c r="C211" s="1204"/>
      <c r="D211" s="1204"/>
      <c r="E211" s="1239"/>
      <c r="F211" s="1206"/>
      <c r="G211" s="1225"/>
      <c r="H211" s="1225"/>
      <c r="I211" s="1225"/>
      <c r="J211" s="1225"/>
      <c r="K211" s="1225"/>
      <c r="L211" s="1208"/>
      <c r="M211" s="1207"/>
      <c r="N211" s="1207"/>
      <c r="O211" s="1207"/>
      <c r="P211" s="1207"/>
      <c r="Q211" s="1207"/>
      <c r="R211" s="1209"/>
      <c r="S211" s="1236"/>
      <c r="T211" s="1236"/>
      <c r="U211" s="1236"/>
      <c r="V211" s="1236"/>
      <c r="W211" s="1236"/>
      <c r="X211" s="1236"/>
      <c r="Y211" s="1236"/>
      <c r="Z211" s="1236"/>
      <c r="AA211" s="1236"/>
      <c r="AB211" s="1236"/>
      <c r="AC211" s="1236"/>
      <c r="AD211" s="1236"/>
      <c r="AE211" s="1236"/>
      <c r="AF211" s="1236"/>
    </row>
    <row r="212" spans="1:32">
      <c r="A212" s="1217">
        <v>2010</v>
      </c>
      <c r="B212" s="1219">
        <v>102277</v>
      </c>
      <c r="C212" s="1219">
        <v>1</v>
      </c>
      <c r="D212" s="1219">
        <v>2277</v>
      </c>
      <c r="E212" s="1219" t="s">
        <v>2663</v>
      </c>
      <c r="F212" s="1217" t="s">
        <v>2958</v>
      </c>
      <c r="G212" s="1207">
        <v>723.52</v>
      </c>
      <c r="H212" s="1207">
        <v>212.01733360000009</v>
      </c>
      <c r="I212" s="1207">
        <v>64</v>
      </c>
      <c r="J212" s="1207">
        <v>22.400000000000002</v>
      </c>
      <c r="K212" s="1207">
        <v>7.673333200000001</v>
      </c>
      <c r="L212" s="1208">
        <v>15427.220000000005</v>
      </c>
      <c r="M212" s="1207">
        <v>6876.0279999999984</v>
      </c>
      <c r="N212" s="1207">
        <v>1371.8400000000001</v>
      </c>
      <c r="O212" s="1207">
        <v>477.98400000000004</v>
      </c>
      <c r="P212" s="1207">
        <v>820</v>
      </c>
      <c r="Q212" s="1207">
        <v>177.62800000000004</v>
      </c>
      <c r="R212" s="1209">
        <f t="shared" ref="R212" si="110">SUM(L212:Q212)</f>
        <v>25150.700000000004</v>
      </c>
      <c r="S212" s="1159">
        <f t="shared" ref="S212" si="111">SUM(G212:K212)</f>
        <v>1029.6106668</v>
      </c>
      <c r="T212" s="1159">
        <f t="shared" ref="T212" si="112">I212+J212+K212</f>
        <v>94.073333200000008</v>
      </c>
      <c r="U212" s="1210">
        <f t="shared" ref="U212" si="113">S212-T212</f>
        <v>935.53733360000001</v>
      </c>
      <c r="V212" s="1211"/>
      <c r="W212" s="1212"/>
      <c r="X212" s="1213">
        <f t="shared" ref="X212" si="114">SUM(L212,N212:O212)*((VLOOKUP(Y212,$AJ$9:$AK$30,2,FALSE))/365)</f>
        <v>11502.251210958908</v>
      </c>
      <c r="Y212" s="1214">
        <v>42887</v>
      </c>
      <c r="Z212" s="1220">
        <v>2.12E-2</v>
      </c>
      <c r="AA212" s="1213">
        <f t="shared" ref="AA212" si="115">X212*Z212</f>
        <v>243.84772567232883</v>
      </c>
      <c r="AB212" s="1216"/>
      <c r="AC212" s="1159">
        <f t="shared" ref="AC212" si="116">SUM(L212,N212:O212)+AA212</f>
        <v>17520.891725672333</v>
      </c>
      <c r="AD212" s="1214">
        <v>43252</v>
      </c>
      <c r="AE212" s="1220">
        <v>0.03</v>
      </c>
      <c r="AF212" s="1213">
        <f t="shared" ref="AF212" si="117">AC212*AE212</f>
        <v>525.6267517701699</v>
      </c>
    </row>
    <row r="213" spans="1:32">
      <c r="A213" s="1217"/>
      <c r="B213" s="1219"/>
      <c r="C213" s="1219"/>
      <c r="D213" s="1219"/>
      <c r="E213" s="1219"/>
      <c r="F213" s="1217"/>
      <c r="G213" s="1225"/>
      <c r="H213" s="1225"/>
      <c r="I213" s="1225"/>
      <c r="J213" s="1225"/>
      <c r="K213" s="1225"/>
      <c r="L213" s="1208"/>
      <c r="M213" s="1207"/>
      <c r="N213" s="1207"/>
      <c r="O213" s="1207"/>
      <c r="P213" s="1207"/>
      <c r="Q213" s="1207"/>
      <c r="R213" s="1209"/>
      <c r="S213" s="1236"/>
      <c r="T213" s="1236"/>
      <c r="U213" s="1236"/>
      <c r="V213" s="1236"/>
      <c r="W213" s="1236"/>
      <c r="X213" s="1236"/>
      <c r="Y213" s="1236"/>
      <c r="Z213" s="1236"/>
      <c r="AA213" s="1236"/>
      <c r="AB213" s="1236"/>
      <c r="AC213" s="1236"/>
      <c r="AD213" s="1236"/>
      <c r="AE213" s="1236"/>
      <c r="AF213" s="1236"/>
    </row>
    <row r="214" spans="1:32">
      <c r="A214" s="1217"/>
      <c r="B214" s="1223"/>
      <c r="C214" s="1223"/>
      <c r="D214" s="1223"/>
      <c r="E214" s="1229" t="s">
        <v>2802</v>
      </c>
      <c r="F214" s="1217"/>
      <c r="G214" s="1230">
        <f>+SUM(G212:G213)</f>
        <v>723.52</v>
      </c>
      <c r="H214" s="1230">
        <f t="shared" ref="H214:Q214" si="118">+SUM(H212:H213)</f>
        <v>212.01733360000009</v>
      </c>
      <c r="I214" s="1230">
        <f t="shared" si="118"/>
        <v>64</v>
      </c>
      <c r="J214" s="1230">
        <f t="shared" si="118"/>
        <v>22.400000000000002</v>
      </c>
      <c r="K214" s="1230">
        <f t="shared" si="118"/>
        <v>7.673333200000001</v>
      </c>
      <c r="L214" s="1241">
        <f t="shared" si="118"/>
        <v>15427.220000000005</v>
      </c>
      <c r="M214" s="1230">
        <f t="shared" si="118"/>
        <v>6876.0279999999984</v>
      </c>
      <c r="N214" s="1230">
        <f t="shared" si="118"/>
        <v>1371.8400000000001</v>
      </c>
      <c r="O214" s="1230">
        <f t="shared" si="118"/>
        <v>477.98400000000004</v>
      </c>
      <c r="P214" s="1230">
        <f t="shared" si="118"/>
        <v>820</v>
      </c>
      <c r="Q214" s="1230">
        <f t="shared" si="118"/>
        <v>177.62800000000004</v>
      </c>
      <c r="R214" s="1232">
        <f>+SUM(R212:R213)</f>
        <v>25150.700000000004</v>
      </c>
      <c r="S214" s="1242">
        <f>+SUM(S212:S213)</f>
        <v>1029.6106668</v>
      </c>
      <c r="T214" s="1242">
        <f t="shared" ref="T214:AF214" si="119">+SUM(T212:T213)</f>
        <v>94.073333200000008</v>
      </c>
      <c r="U214" s="1242">
        <f t="shared" si="119"/>
        <v>935.53733360000001</v>
      </c>
      <c r="V214" s="1242"/>
      <c r="W214" s="1242"/>
      <c r="X214" s="1242">
        <f t="shared" si="119"/>
        <v>11502.251210958908</v>
      </c>
      <c r="Y214" s="1242">
        <f t="shared" si="119"/>
        <v>42887</v>
      </c>
      <c r="Z214" s="1242"/>
      <c r="AA214" s="1242">
        <f t="shared" si="119"/>
        <v>243.84772567232883</v>
      </c>
      <c r="AB214" s="1242"/>
      <c r="AC214" s="1242">
        <f t="shared" si="119"/>
        <v>17520.891725672333</v>
      </c>
      <c r="AD214" s="1242"/>
      <c r="AE214" s="1242"/>
      <c r="AF214" s="1242">
        <f t="shared" si="119"/>
        <v>525.6267517701699</v>
      </c>
    </row>
    <row r="215" spans="1:32">
      <c r="A215" s="1217"/>
      <c r="B215" s="1223"/>
      <c r="C215" s="1223"/>
      <c r="D215" s="1223"/>
      <c r="E215" s="1229"/>
      <c r="F215" s="1217"/>
      <c r="G215" s="1225"/>
      <c r="H215" s="1225"/>
      <c r="I215" s="1225"/>
      <c r="J215" s="1225"/>
      <c r="K215" s="1225"/>
      <c r="L215" s="1208"/>
      <c r="M215" s="1225"/>
      <c r="N215" s="1225"/>
      <c r="O215" s="1225"/>
      <c r="P215" s="1225"/>
      <c r="Q215" s="1225"/>
      <c r="R215" s="1209"/>
      <c r="S215" s="1236"/>
      <c r="T215" s="1236"/>
      <c r="U215" s="1236"/>
      <c r="V215" s="1236"/>
      <c r="W215" s="1236"/>
      <c r="X215" s="1236"/>
      <c r="Y215" s="1236"/>
      <c r="Z215" s="1236"/>
      <c r="AA215" s="1236"/>
      <c r="AB215" s="1236"/>
      <c r="AC215" s="1236"/>
      <c r="AD215" s="1236"/>
      <c r="AE215" s="1236"/>
      <c r="AF215" s="1236"/>
    </row>
    <row r="216" spans="1:32">
      <c r="A216" s="1203" t="s">
        <v>1487</v>
      </c>
      <c r="B216" s="1204"/>
      <c r="C216" s="1204"/>
      <c r="D216" s="1204"/>
      <c r="E216" s="1239"/>
      <c r="F216" s="1206"/>
      <c r="G216" s="1225"/>
      <c r="H216" s="1225"/>
      <c r="I216" s="1225"/>
      <c r="J216" s="1225"/>
      <c r="K216" s="1225"/>
      <c r="L216" s="1208"/>
      <c r="M216" s="1225"/>
      <c r="N216" s="1225"/>
      <c r="O216" s="1225"/>
      <c r="P216" s="1225"/>
      <c r="Q216" s="1225"/>
      <c r="R216" s="1209"/>
      <c r="T216" s="1236"/>
      <c r="U216" s="1236"/>
      <c r="V216" s="1236"/>
      <c r="W216" s="1236"/>
      <c r="X216" s="1236"/>
      <c r="Y216" s="1236"/>
      <c r="Z216" s="1236"/>
      <c r="AA216" s="1236"/>
      <c r="AB216" s="1236"/>
      <c r="AC216" s="1236"/>
      <c r="AD216" s="1236"/>
      <c r="AE216" s="1236"/>
      <c r="AF216" s="1236"/>
    </row>
    <row r="217" spans="1:32">
      <c r="A217" s="1217">
        <v>2010</v>
      </c>
      <c r="B217" s="1219">
        <v>158174</v>
      </c>
      <c r="C217" s="1219">
        <v>1</v>
      </c>
      <c r="D217" s="1219">
        <v>58174</v>
      </c>
      <c r="E217" s="1219" t="s">
        <v>2803</v>
      </c>
      <c r="F217" s="1217" t="s">
        <v>1487</v>
      </c>
      <c r="G217" s="1207">
        <v>1676.4333349999999</v>
      </c>
      <c r="H217" s="1207">
        <v>134.14000299999998</v>
      </c>
      <c r="I217" s="1207">
        <v>46.58</v>
      </c>
      <c r="J217" s="1207">
        <v>40</v>
      </c>
      <c r="K217" s="1207">
        <v>8</v>
      </c>
      <c r="L217" s="1208">
        <v>22886.07</v>
      </c>
      <c r="M217" s="1207">
        <v>2642.7000000000003</v>
      </c>
      <c r="N217" s="1207">
        <v>628.83000000000004</v>
      </c>
      <c r="O217" s="1207">
        <v>536</v>
      </c>
      <c r="P217" s="1207">
        <v>700</v>
      </c>
      <c r="Q217" s="1207">
        <v>145.12</v>
      </c>
      <c r="R217" s="1209">
        <f t="shared" ref="R217:R218" si="120">SUM(L217:Q217)</f>
        <v>27538.720000000001</v>
      </c>
      <c r="S217" s="1159">
        <f t="shared" ref="S217:S218" si="121">SUM(G217:K217)</f>
        <v>1905.1533379999998</v>
      </c>
      <c r="T217" s="1159">
        <f t="shared" ref="T217:T218" si="122">I217+J217+K217</f>
        <v>94.58</v>
      </c>
      <c r="U217" s="1210">
        <f t="shared" ref="U217:U218" si="123">S217-T217</f>
        <v>1810.5733379999999</v>
      </c>
      <c r="V217" s="1211"/>
      <c r="W217" s="1212"/>
      <c r="X217" s="1213">
        <f t="shared" ref="X217" si="124">SUM(L217,N217:O217)*((VLOOKUP(Y217,$AJ$9:$AK$30,2,FALSE))/365)</f>
        <v>4019.4654794520552</v>
      </c>
      <c r="Y217" s="1214">
        <v>42705</v>
      </c>
      <c r="Z217" s="1220">
        <v>3.8461538461538464E-2</v>
      </c>
      <c r="AA217" s="1213">
        <f t="shared" ref="AA217:AA218" si="125">X217*Z217</f>
        <v>154.59482613277137</v>
      </c>
      <c r="AB217" s="1216"/>
      <c r="AC217" s="1159">
        <f t="shared" ref="AC217:AC218" si="126">SUM(L217,N217:O217)+AA217</f>
        <v>24205.494826132774</v>
      </c>
      <c r="AD217" s="1214"/>
      <c r="AE217" s="1220">
        <v>0</v>
      </c>
      <c r="AF217" s="1213">
        <f t="shared" ref="AF217:AF218" si="127">AC217*AE217</f>
        <v>0</v>
      </c>
    </row>
    <row r="218" spans="1:32">
      <c r="A218" s="1217">
        <v>2010</v>
      </c>
      <c r="B218" s="1219">
        <v>302092</v>
      </c>
      <c r="C218" s="1219">
        <v>3</v>
      </c>
      <c r="D218" s="1219">
        <v>2092</v>
      </c>
      <c r="E218" s="1219" t="s">
        <v>2804</v>
      </c>
      <c r="F218" s="1217" t="s">
        <v>1487</v>
      </c>
      <c r="G218" s="1207">
        <v>196.96666499999998</v>
      </c>
      <c r="H218" s="1207">
        <v>0</v>
      </c>
      <c r="I218" s="1207">
        <v>0</v>
      </c>
      <c r="J218" s="1207">
        <v>8</v>
      </c>
      <c r="K218" s="1207">
        <v>0</v>
      </c>
      <c r="L218" s="1208">
        <v>2560.5899999999997</v>
      </c>
      <c r="M218" s="1207">
        <v>0</v>
      </c>
      <c r="N218" s="1207">
        <v>0</v>
      </c>
      <c r="O218" s="1207">
        <v>104</v>
      </c>
      <c r="P218" s="1207">
        <v>0</v>
      </c>
      <c r="Q218" s="1207">
        <v>0</v>
      </c>
      <c r="R218" s="1209">
        <f t="shared" si="120"/>
        <v>2664.5899999999997</v>
      </c>
      <c r="S218" s="1159">
        <f t="shared" si="121"/>
        <v>204.96666499999998</v>
      </c>
      <c r="T218" s="1159">
        <f t="shared" si="122"/>
        <v>8</v>
      </c>
      <c r="U218" s="1210">
        <f t="shared" si="123"/>
        <v>196.96666499999998</v>
      </c>
      <c r="V218" s="1211"/>
      <c r="W218" s="1212"/>
      <c r="X218" s="1213"/>
      <c r="Y218" s="1214"/>
      <c r="Z218" s="1220">
        <v>0</v>
      </c>
      <c r="AA218" s="1213">
        <f t="shared" si="125"/>
        <v>0</v>
      </c>
      <c r="AB218" s="1216"/>
      <c r="AC218" s="1159">
        <f t="shared" si="126"/>
        <v>2664.5899999999997</v>
      </c>
      <c r="AD218" s="1214">
        <v>43252</v>
      </c>
      <c r="AE218" s="1220">
        <v>2.5000000000000001E-2</v>
      </c>
      <c r="AF218" s="1213">
        <f t="shared" si="127"/>
        <v>66.614750000000001</v>
      </c>
    </row>
    <row r="219" spans="1:32">
      <c r="A219" s="1217"/>
      <c r="B219" s="1219"/>
      <c r="C219" s="1219"/>
      <c r="D219" s="1219"/>
      <c r="E219" s="1219"/>
      <c r="F219" s="1217"/>
      <c r="G219" s="1225"/>
      <c r="H219" s="1225"/>
      <c r="I219" s="1225"/>
      <c r="J219" s="1225"/>
      <c r="K219" s="1225"/>
      <c r="L219" s="1208"/>
      <c r="M219" s="1225"/>
      <c r="N219" s="1225"/>
      <c r="O219" s="1225"/>
      <c r="P219" s="1225"/>
      <c r="Q219" s="1225"/>
      <c r="R219" s="1209"/>
      <c r="S219" s="1243"/>
      <c r="T219" s="1243"/>
      <c r="U219" s="1243"/>
      <c r="V219" s="1243"/>
      <c r="W219" s="1243"/>
      <c r="X219" s="1243"/>
      <c r="Y219" s="1243"/>
      <c r="Z219" s="1243"/>
      <c r="AA219" s="1243"/>
      <c r="AB219" s="1243"/>
      <c r="AC219" s="1243"/>
      <c r="AD219" s="1243"/>
      <c r="AE219" s="1243"/>
      <c r="AF219" s="1243"/>
    </row>
    <row r="220" spans="1:32">
      <c r="A220" s="1217"/>
      <c r="B220" s="1223"/>
      <c r="C220" s="1223"/>
      <c r="D220" s="1223"/>
      <c r="E220" s="1229" t="s">
        <v>2805</v>
      </c>
      <c r="F220" s="1217"/>
      <c r="G220" s="1230">
        <f t="shared" ref="G220:S220" si="128">+SUM(G217:G219)</f>
        <v>1873.3999999999999</v>
      </c>
      <c r="H220" s="1230">
        <f t="shared" si="128"/>
        <v>134.14000299999998</v>
      </c>
      <c r="I220" s="1230">
        <f t="shared" si="128"/>
        <v>46.58</v>
      </c>
      <c r="J220" s="1230">
        <f t="shared" si="128"/>
        <v>48</v>
      </c>
      <c r="K220" s="1230">
        <f t="shared" si="128"/>
        <v>8</v>
      </c>
      <c r="L220" s="1230">
        <f t="shared" si="128"/>
        <v>25446.66</v>
      </c>
      <c r="M220" s="1230">
        <f t="shared" si="128"/>
        <v>2642.7000000000003</v>
      </c>
      <c r="N220" s="1230">
        <f t="shared" si="128"/>
        <v>628.83000000000004</v>
      </c>
      <c r="O220" s="1230">
        <f t="shared" si="128"/>
        <v>640</v>
      </c>
      <c r="P220" s="1230">
        <f t="shared" si="128"/>
        <v>700</v>
      </c>
      <c r="Q220" s="1230">
        <f t="shared" si="128"/>
        <v>145.12</v>
      </c>
      <c r="R220" s="1232">
        <f t="shared" si="128"/>
        <v>30203.31</v>
      </c>
      <c r="S220" s="1242">
        <f t="shared" si="128"/>
        <v>2110.120003</v>
      </c>
      <c r="T220" s="1242">
        <f t="shared" ref="T220:AF220" si="129">+SUM(T217:T219)</f>
        <v>102.58</v>
      </c>
      <c r="U220" s="1242">
        <f t="shared" si="129"/>
        <v>2007.5400029999998</v>
      </c>
      <c r="V220" s="1242"/>
      <c r="W220" s="1242"/>
      <c r="X220" s="1242">
        <f t="shared" si="129"/>
        <v>4019.4654794520552</v>
      </c>
      <c r="Y220" s="1242"/>
      <c r="Z220" s="1242"/>
      <c r="AA220" s="1242">
        <f t="shared" si="129"/>
        <v>154.59482613277137</v>
      </c>
      <c r="AB220" s="1242"/>
      <c r="AC220" s="1242">
        <f t="shared" si="129"/>
        <v>26870.084826132774</v>
      </c>
      <c r="AD220" s="1242"/>
      <c r="AE220" s="1242"/>
      <c r="AF220" s="1242">
        <f t="shared" si="129"/>
        <v>66.614750000000001</v>
      </c>
    </row>
    <row r="221" spans="1:32">
      <c r="A221" s="1217"/>
      <c r="B221" s="1223"/>
      <c r="C221" s="1223"/>
      <c r="D221" s="1223"/>
      <c r="E221" s="1229"/>
      <c r="F221" s="1217"/>
      <c r="G221" s="1207"/>
      <c r="H221" s="1207"/>
      <c r="I221" s="1207"/>
      <c r="J221" s="1207"/>
      <c r="K221" s="1207"/>
      <c r="L221" s="1208"/>
      <c r="M221" s="1207"/>
      <c r="N221" s="1207"/>
      <c r="O221" s="1207"/>
      <c r="P221" s="1207"/>
      <c r="Q221" s="1207"/>
      <c r="R221" s="1209"/>
      <c r="S221" s="1243"/>
      <c r="T221" s="1243"/>
      <c r="U221" s="1243"/>
      <c r="V221" s="1243"/>
      <c r="W221" s="1243"/>
      <c r="X221" s="1243"/>
      <c r="Y221" s="1243"/>
      <c r="Z221" s="1243"/>
      <c r="AA221" s="1243"/>
      <c r="AB221" s="1243"/>
      <c r="AC221" s="1243"/>
      <c r="AD221" s="1243"/>
      <c r="AE221" s="1243"/>
      <c r="AF221" s="1243"/>
    </row>
    <row r="222" spans="1:32" s="1186" customFormat="1">
      <c r="A222" s="1217"/>
      <c r="B222" s="1223"/>
      <c r="C222" s="1223"/>
      <c r="D222" s="1223"/>
      <c r="E222" s="1244" t="s">
        <v>2806</v>
      </c>
      <c r="F222" s="1217"/>
      <c r="G222" s="1233">
        <f t="shared" ref="G222:R222" si="130">+G214+G209+G179+G165+G159+G151+G137+G122+G110+G101+G62+G44+G220</f>
        <v>234173.76102399998</v>
      </c>
      <c r="H222" s="1233">
        <f t="shared" si="130"/>
        <v>58536.213352000006</v>
      </c>
      <c r="I222" s="1233">
        <f t="shared" si="130"/>
        <v>12261.880000000001</v>
      </c>
      <c r="J222" s="1233">
        <f t="shared" si="130"/>
        <v>6332</v>
      </c>
      <c r="K222" s="1233">
        <f t="shared" si="130"/>
        <v>3719.9633770000005</v>
      </c>
      <c r="L222" s="1233">
        <f t="shared" si="130"/>
        <v>4662805.4354000017</v>
      </c>
      <c r="M222" s="1233">
        <f t="shared" si="130"/>
        <v>1775785.28</v>
      </c>
      <c r="N222" s="1233">
        <f t="shared" si="130"/>
        <v>254387.84989999994</v>
      </c>
      <c r="O222" s="1233">
        <f t="shared" si="130"/>
        <v>128796.04</v>
      </c>
      <c r="P222" s="1233">
        <f t="shared" si="130"/>
        <v>166772.31</v>
      </c>
      <c r="Q222" s="1233">
        <f t="shared" si="130"/>
        <v>83207.939999999973</v>
      </c>
      <c r="R222" s="1232">
        <f t="shared" si="130"/>
        <v>7071754.8552999999</v>
      </c>
      <c r="S222" s="1233">
        <f>+S44+S62+S101+S110+S122+S137+S151+S159+S165+S179+S209+S214+S220</f>
        <v>315023.81775300001</v>
      </c>
      <c r="T222" s="1233">
        <f>+T44+T62+T101+T110+T122+T137+T151+T159+T165+T179+T209+T214+T220</f>
        <v>22313.843377000005</v>
      </c>
      <c r="U222" s="1233">
        <f>+U44+U62+U101+U110+U122+U137+U151+U159+U165+U179+U209+U214+U220</f>
        <v>292709.974376</v>
      </c>
      <c r="V222" s="1233"/>
      <c r="W222" s="1233"/>
      <c r="X222" s="1233">
        <f>+X44+X62+X101+X110+X122+X137+X151+X159+X165+X179+X209+X214+X220</f>
        <v>3271598.6519942465</v>
      </c>
      <c r="Y222" s="1233"/>
      <c r="Z222" s="1233"/>
      <c r="AA222" s="1233">
        <f>+AA44+AA62+AA101+AA110+AA122+AA137+AA151+AA159+AA165+AA179+AA209+AA214+AA220</f>
        <v>158241.34271330151</v>
      </c>
      <c r="AB222" s="1233"/>
      <c r="AC222" s="1233">
        <f>+AC44+AC62+AC101+AC110+AC122+AC137+AC151+AC159+AC165+AC179+AC209+AC214+AC220</f>
        <v>5204230.6680133035</v>
      </c>
      <c r="AD222" s="1233"/>
      <c r="AE222" s="1233"/>
      <c r="AF222" s="1233">
        <f>+AF44+AF62+AF101+AF110+AF122+AF137+AF151+AF159+AF165+AF179+AF209+AF214+AF220</f>
        <v>151425.39716585362</v>
      </c>
    </row>
    <row r="223" spans="1:32" s="1186" customFormat="1" ht="12" thickBot="1">
      <c r="A223" s="1217"/>
      <c r="B223" s="1223"/>
      <c r="C223" s="1223"/>
      <c r="D223" s="1223"/>
      <c r="F223" s="1217"/>
      <c r="G223" s="1245"/>
      <c r="H223" s="1245"/>
      <c r="I223" s="1245"/>
      <c r="J223" s="1245"/>
      <c r="K223" s="1245"/>
      <c r="L223" s="1246"/>
      <c r="M223" s="1245"/>
      <c r="N223" s="1245"/>
      <c r="O223" s="1245"/>
      <c r="P223" s="1245"/>
      <c r="Q223" s="1245"/>
      <c r="R223" s="1209"/>
      <c r="S223" s="1245"/>
      <c r="T223" s="1245"/>
      <c r="U223" s="1247"/>
      <c r="V223" s="1248"/>
      <c r="W223" s="1249"/>
      <c r="X223" s="1221"/>
      <c r="Y223" s="1250"/>
      <c r="Z223" s="1251"/>
      <c r="AA223" s="1221"/>
      <c r="AB223" s="1252"/>
      <c r="AC223" s="1245"/>
      <c r="AD223" s="1250"/>
      <c r="AE223" s="1253"/>
      <c r="AF223" s="1221"/>
    </row>
    <row r="224" spans="1:32" s="1186" customFormat="1" ht="12.75" thickTop="1" thickBot="1">
      <c r="A224" s="1254"/>
      <c r="B224" s="1254" t="s">
        <v>2807</v>
      </c>
      <c r="C224" s="1254"/>
      <c r="D224" s="1254"/>
      <c r="E224" s="1201"/>
      <c r="F224" s="1202"/>
      <c r="G224" s="1245"/>
      <c r="H224" s="1245"/>
      <c r="I224" s="1245"/>
      <c r="J224" s="1245"/>
      <c r="K224" s="1245"/>
      <c r="L224" s="1246"/>
      <c r="M224" s="1245"/>
      <c r="N224" s="1245"/>
      <c r="O224" s="1245"/>
      <c r="P224" s="1245"/>
      <c r="Q224" s="1245"/>
      <c r="R224" s="1209"/>
      <c r="S224" s="1245"/>
      <c r="T224" s="1245"/>
      <c r="U224" s="1247"/>
      <c r="V224" s="1248"/>
      <c r="W224" s="1249"/>
      <c r="X224" s="1221"/>
      <c r="Y224" s="1250"/>
      <c r="Z224" s="1251"/>
      <c r="AA224" s="1221"/>
      <c r="AB224" s="1252"/>
      <c r="AC224" s="1245"/>
      <c r="AD224" s="1250"/>
      <c r="AE224" s="1253"/>
      <c r="AF224" s="1221"/>
    </row>
    <row r="225" spans="1:32" ht="12" thickTop="1">
      <c r="A225" s="1217">
        <v>2010</v>
      </c>
      <c r="B225" s="1219">
        <v>157660</v>
      </c>
      <c r="C225" s="1219">
        <v>1</v>
      </c>
      <c r="D225" s="1219">
        <v>57660</v>
      </c>
      <c r="E225" s="1219" t="s">
        <v>2808</v>
      </c>
      <c r="F225" s="1217" t="s">
        <v>2967</v>
      </c>
      <c r="G225" s="1207">
        <v>2016</v>
      </c>
      <c r="H225" s="1207">
        <v>212.77998000000002</v>
      </c>
      <c r="I225" s="1207">
        <v>24</v>
      </c>
      <c r="J225" s="1207">
        <v>56</v>
      </c>
      <c r="K225" s="1207">
        <v>8</v>
      </c>
      <c r="L225" s="1208">
        <v>40604.170000000013</v>
      </c>
      <c r="M225" s="1207">
        <v>6371.4299999999985</v>
      </c>
      <c r="N225" s="1207">
        <v>484.24</v>
      </c>
      <c r="O225" s="1207">
        <v>1128.56</v>
      </c>
      <c r="P225" s="1207">
        <v>683.21</v>
      </c>
      <c r="Q225" s="1207">
        <v>201.20000000000002</v>
      </c>
      <c r="R225" s="1209">
        <f t="shared" ref="R225:R244" si="131">SUM(L225:Q225)</f>
        <v>49472.810000000005</v>
      </c>
      <c r="S225" s="1159">
        <f t="shared" ref="S225:S245" si="132">SUM(G225:K225)</f>
        <v>2316.7799800000003</v>
      </c>
      <c r="T225" s="1159">
        <f t="shared" ref="T225:T245" si="133">I225+J225+K225</f>
        <v>88</v>
      </c>
      <c r="U225" s="1210">
        <f t="shared" ref="U225:U245" si="134">S225-T225</f>
        <v>2228.7799800000003</v>
      </c>
      <c r="V225" s="1211"/>
      <c r="W225" s="1212"/>
      <c r="X225" s="1221"/>
      <c r="Y225" s="1214"/>
      <c r="Z225" s="1220">
        <v>0</v>
      </c>
      <c r="AA225" s="1213">
        <f t="shared" ref="AA225:AA245" si="135">X225*Z225</f>
        <v>0</v>
      </c>
      <c r="AB225" s="1216"/>
      <c r="AC225" s="1159">
        <f t="shared" ref="AC225:AC245" si="136">SUM(L225,N225:O225)+AA225</f>
        <v>42216.970000000008</v>
      </c>
      <c r="AD225" s="1214">
        <v>43252</v>
      </c>
      <c r="AE225" s="1220">
        <v>0.14051900000000012</v>
      </c>
      <c r="AF225" s="1213">
        <f t="shared" ref="AF225:AF245" si="137">AC225*AE225</f>
        <v>5932.286407430006</v>
      </c>
    </row>
    <row r="226" spans="1:32">
      <c r="A226" s="1217">
        <v>2010</v>
      </c>
      <c r="B226" s="1219">
        <v>116873</v>
      </c>
      <c r="C226" s="1219">
        <v>1</v>
      </c>
      <c r="D226" s="1219">
        <v>16873</v>
      </c>
      <c r="E226" s="1219" t="s">
        <v>2809</v>
      </c>
      <c r="F226" s="1217" t="s">
        <v>2967</v>
      </c>
      <c r="G226" s="1207">
        <v>1943.916667</v>
      </c>
      <c r="H226" s="1207">
        <v>223.54665500000004</v>
      </c>
      <c r="I226" s="1207">
        <v>72</v>
      </c>
      <c r="J226" s="1207">
        <v>56</v>
      </c>
      <c r="K226" s="1207">
        <v>8.3333000000000004E-2</v>
      </c>
      <c r="L226" s="1208">
        <v>43426.349900000016</v>
      </c>
      <c r="M226" s="1207">
        <v>7561.130000000001</v>
      </c>
      <c r="N226" s="1207">
        <v>1619.12</v>
      </c>
      <c r="O226" s="1207">
        <v>1251.76</v>
      </c>
      <c r="P226" s="1207">
        <v>1433.59</v>
      </c>
      <c r="Q226" s="1207">
        <v>39.019999999999996</v>
      </c>
      <c r="R226" s="1209">
        <f t="shared" si="131"/>
        <v>55330.969900000018</v>
      </c>
      <c r="S226" s="1159">
        <f t="shared" si="132"/>
        <v>2295.5466550000001</v>
      </c>
      <c r="T226" s="1159">
        <f t="shared" si="133"/>
        <v>128.08333300000001</v>
      </c>
      <c r="U226" s="1210">
        <f t="shared" si="134"/>
        <v>2167.4633220000001</v>
      </c>
      <c r="V226" s="1211"/>
      <c r="W226" s="1212"/>
      <c r="X226" s="1213">
        <f t="shared" ref="X226:X244" si="138">SUM(L226,N226:O226)*((VLOOKUP(Y226,$AJ$9:$AK$30,2,FALSE))/365)</f>
        <v>30822.539358082206</v>
      </c>
      <c r="Y226" s="1214">
        <v>42887</v>
      </c>
      <c r="Z226" s="1220">
        <v>2.2512381809995496E-2</v>
      </c>
      <c r="AA226" s="1213">
        <f t="shared" si="135"/>
        <v>693.88877438276006</v>
      </c>
      <c r="AB226" s="1216"/>
      <c r="AC226" s="1159">
        <f t="shared" si="136"/>
        <v>46991.118674382778</v>
      </c>
      <c r="AD226" s="1214">
        <v>43252</v>
      </c>
      <c r="AE226" s="1220">
        <v>0.03</v>
      </c>
      <c r="AF226" s="1213">
        <f t="shared" si="137"/>
        <v>1409.7335602314834</v>
      </c>
    </row>
    <row r="227" spans="1:32">
      <c r="A227" s="1217">
        <v>2010</v>
      </c>
      <c r="B227" s="1219">
        <v>102447</v>
      </c>
      <c r="C227" s="1219">
        <v>1</v>
      </c>
      <c r="D227" s="1219">
        <v>2447</v>
      </c>
      <c r="E227" s="1219" t="s">
        <v>2810</v>
      </c>
      <c r="F227" s="1217" t="s">
        <v>2967</v>
      </c>
      <c r="G227" s="1207">
        <v>1948.08</v>
      </c>
      <c r="H227" s="1207">
        <v>166.17330900000002</v>
      </c>
      <c r="I227" s="1207">
        <v>104</v>
      </c>
      <c r="J227" s="1207">
        <v>56</v>
      </c>
      <c r="K227" s="1207">
        <v>4.05</v>
      </c>
      <c r="L227" s="1208">
        <v>39243.320000000007</v>
      </c>
      <c r="M227" s="1207">
        <v>4999.24</v>
      </c>
      <c r="N227" s="1207">
        <v>2089.04</v>
      </c>
      <c r="O227" s="1207">
        <v>1128.56</v>
      </c>
      <c r="P227" s="1207">
        <v>1425.59</v>
      </c>
      <c r="Q227" s="1207">
        <v>119.95</v>
      </c>
      <c r="R227" s="1209">
        <f t="shared" si="131"/>
        <v>49005.7</v>
      </c>
      <c r="S227" s="1159">
        <f t="shared" si="132"/>
        <v>2278.3033089999999</v>
      </c>
      <c r="T227" s="1159">
        <f t="shared" si="133"/>
        <v>164.05</v>
      </c>
      <c r="U227" s="1210">
        <f t="shared" si="134"/>
        <v>2114.2533089999997</v>
      </c>
      <c r="V227" s="1211"/>
      <c r="W227" s="1212"/>
      <c r="X227" s="1213">
        <f t="shared" si="138"/>
        <v>28268.502904109595</v>
      </c>
      <c r="Y227" s="1214">
        <v>42887</v>
      </c>
      <c r="Z227" s="1220">
        <v>2.4987506246876557E-2</v>
      </c>
      <c r="AA227" s="1213">
        <f t="shared" si="135"/>
        <v>706.35939290628664</v>
      </c>
      <c r="AB227" s="1216"/>
      <c r="AC227" s="1159">
        <f t="shared" si="136"/>
        <v>43167.27939290629</v>
      </c>
      <c r="AD227" s="1214">
        <v>43252</v>
      </c>
      <c r="AE227" s="1220">
        <v>0.03</v>
      </c>
      <c r="AF227" s="1213">
        <f t="shared" si="137"/>
        <v>1295.0183817871887</v>
      </c>
    </row>
    <row r="228" spans="1:32">
      <c r="A228" s="1217">
        <v>2010</v>
      </c>
      <c r="B228" s="1219">
        <v>103507</v>
      </c>
      <c r="C228" s="1219">
        <v>1</v>
      </c>
      <c r="D228" s="1219">
        <v>3507</v>
      </c>
      <c r="E228" s="1219" t="s">
        <v>2811</v>
      </c>
      <c r="F228" s="1217" t="s">
        <v>2967</v>
      </c>
      <c r="G228" s="1207">
        <v>1919.5</v>
      </c>
      <c r="H228" s="1207">
        <v>390.29000999999994</v>
      </c>
      <c r="I228" s="1207">
        <v>112</v>
      </c>
      <c r="J228" s="1207">
        <v>56</v>
      </c>
      <c r="K228" s="1207">
        <v>8.5033329999999996</v>
      </c>
      <c r="L228" s="1208">
        <v>43567.669800000003</v>
      </c>
      <c r="M228" s="1207">
        <v>13399.189999999999</v>
      </c>
      <c r="N228" s="1207">
        <v>2534.7199999999998</v>
      </c>
      <c r="O228" s="1207">
        <v>1271.3599999999999</v>
      </c>
      <c r="P228" s="1207">
        <v>1425.59</v>
      </c>
      <c r="Q228" s="1207">
        <v>229.20999999999998</v>
      </c>
      <c r="R228" s="1209">
        <f t="shared" si="131"/>
        <v>62427.739800000003</v>
      </c>
      <c r="S228" s="1159">
        <f t="shared" si="132"/>
        <v>2486.2933429999998</v>
      </c>
      <c r="T228" s="1159">
        <f t="shared" si="133"/>
        <v>176.503333</v>
      </c>
      <c r="U228" s="1210">
        <f t="shared" si="134"/>
        <v>2309.7900099999997</v>
      </c>
      <c r="V228" s="1211"/>
      <c r="W228" s="1212"/>
      <c r="X228" s="1213">
        <f t="shared" si="138"/>
        <v>31539.236168219184</v>
      </c>
      <c r="Y228" s="1214">
        <v>42887</v>
      </c>
      <c r="Z228" s="1220">
        <v>2.2163120567375887E-2</v>
      </c>
      <c r="AA228" s="1213">
        <f t="shared" si="135"/>
        <v>699.0078937991841</v>
      </c>
      <c r="AB228" s="1216"/>
      <c r="AC228" s="1159">
        <f t="shared" si="136"/>
        <v>48072.757693799191</v>
      </c>
      <c r="AD228" s="1214">
        <v>43252</v>
      </c>
      <c r="AE228" s="1220">
        <v>0.03</v>
      </c>
      <c r="AF228" s="1213">
        <f t="shared" si="137"/>
        <v>1442.1827308139757</v>
      </c>
    </row>
    <row r="229" spans="1:32">
      <c r="A229" s="1217">
        <v>2010</v>
      </c>
      <c r="B229" s="1219">
        <v>156531</v>
      </c>
      <c r="C229" s="1219">
        <v>1</v>
      </c>
      <c r="D229" s="1219">
        <v>56531</v>
      </c>
      <c r="E229" s="1219" t="s">
        <v>2812</v>
      </c>
      <c r="F229" s="1217" t="s">
        <v>2967</v>
      </c>
      <c r="G229" s="1207">
        <v>1988.8500009999998</v>
      </c>
      <c r="H229" s="1207">
        <v>150.45999499999999</v>
      </c>
      <c r="I229" s="1207">
        <v>40</v>
      </c>
      <c r="J229" s="1207">
        <v>56</v>
      </c>
      <c r="K229" s="1207">
        <v>5.1499989999999993</v>
      </c>
      <c r="L229" s="1208">
        <v>40056.9</v>
      </c>
      <c r="M229" s="1207">
        <v>4507.7800000000007</v>
      </c>
      <c r="N229" s="1207">
        <v>808.40000000000009</v>
      </c>
      <c r="O229" s="1207">
        <v>1128.56</v>
      </c>
      <c r="P229" s="1207">
        <v>1425.59</v>
      </c>
      <c r="Q229" s="1207">
        <v>540.24</v>
      </c>
      <c r="R229" s="1209">
        <f t="shared" si="131"/>
        <v>48467.469999999994</v>
      </c>
      <c r="S229" s="1159">
        <f t="shared" si="132"/>
        <v>2240.4599950000002</v>
      </c>
      <c r="T229" s="1159">
        <f t="shared" si="133"/>
        <v>101.14999899999999</v>
      </c>
      <c r="U229" s="1210">
        <f t="shared" si="134"/>
        <v>2139.309996</v>
      </c>
      <c r="V229" s="1211"/>
      <c r="W229" s="1212"/>
      <c r="X229" s="1213">
        <f t="shared" si="138"/>
        <v>27957.556109589044</v>
      </c>
      <c r="Y229" s="1214">
        <v>42887</v>
      </c>
      <c r="Z229" s="1220">
        <v>2.498750624687656E-2</v>
      </c>
      <c r="AA229" s="1213">
        <f t="shared" si="135"/>
        <v>698.58960793575818</v>
      </c>
      <c r="AB229" s="1216"/>
      <c r="AC229" s="1159">
        <f t="shared" si="136"/>
        <v>42692.449607935756</v>
      </c>
      <c r="AD229" s="1214">
        <v>43252</v>
      </c>
      <c r="AE229" s="1220">
        <v>0.03</v>
      </c>
      <c r="AF229" s="1213">
        <f t="shared" si="137"/>
        <v>1280.7734882380726</v>
      </c>
    </row>
    <row r="230" spans="1:32">
      <c r="A230" s="1217">
        <v>2010</v>
      </c>
      <c r="B230" s="1219">
        <v>103012</v>
      </c>
      <c r="C230" s="1219">
        <v>1</v>
      </c>
      <c r="D230" s="1219">
        <v>3012</v>
      </c>
      <c r="E230" s="1219" t="s">
        <v>2813</v>
      </c>
      <c r="F230" s="1217" t="s">
        <v>2967</v>
      </c>
      <c r="G230" s="1207">
        <v>1879.716666</v>
      </c>
      <c r="H230" s="1207">
        <v>143.00000400000002</v>
      </c>
      <c r="I230" s="1207">
        <v>112</v>
      </c>
      <c r="J230" s="1207">
        <v>56</v>
      </c>
      <c r="K230" s="1207">
        <v>8.283334</v>
      </c>
      <c r="L230" s="1208">
        <v>41040.649900000019</v>
      </c>
      <c r="M230" s="1207">
        <v>4737.630000000001</v>
      </c>
      <c r="N230" s="1207">
        <v>2463.52</v>
      </c>
      <c r="O230" s="1207">
        <v>1223.76</v>
      </c>
      <c r="P230" s="1207">
        <v>1425.59</v>
      </c>
      <c r="Q230" s="1207">
        <v>216.96</v>
      </c>
      <c r="R230" s="1209">
        <f t="shared" si="131"/>
        <v>51108.109900000018</v>
      </c>
      <c r="S230" s="1159">
        <f t="shared" si="132"/>
        <v>2199.000004</v>
      </c>
      <c r="T230" s="1159">
        <f t="shared" si="133"/>
        <v>176.283334</v>
      </c>
      <c r="U230" s="1210">
        <f t="shared" si="134"/>
        <v>2022.71667</v>
      </c>
      <c r="V230" s="1211"/>
      <c r="W230" s="1212"/>
      <c r="X230" s="1213">
        <f t="shared" si="138"/>
        <v>29777.772508767135</v>
      </c>
      <c r="Y230" s="1214">
        <v>42887</v>
      </c>
      <c r="Z230" s="1220">
        <v>2.3030861354214647E-2</v>
      </c>
      <c r="AA230" s="1213">
        <f t="shared" si="135"/>
        <v>685.80775008676039</v>
      </c>
      <c r="AB230" s="1216"/>
      <c r="AC230" s="1159">
        <f t="shared" si="136"/>
        <v>45413.737650086776</v>
      </c>
      <c r="AD230" s="1214">
        <v>43252</v>
      </c>
      <c r="AE230" s="1220">
        <v>0.03</v>
      </c>
      <c r="AF230" s="1213">
        <f t="shared" si="137"/>
        <v>1362.4121295026032</v>
      </c>
    </row>
    <row r="231" spans="1:32">
      <c r="A231" s="1217">
        <v>2010</v>
      </c>
      <c r="B231" s="1219">
        <v>102334</v>
      </c>
      <c r="C231" s="1219">
        <v>1</v>
      </c>
      <c r="D231" s="1219">
        <v>2334</v>
      </c>
      <c r="E231" s="1219" t="s">
        <v>2814</v>
      </c>
      <c r="F231" s="1217" t="s">
        <v>2967</v>
      </c>
      <c r="G231" s="1207">
        <v>1850.083333</v>
      </c>
      <c r="H231" s="1207">
        <v>158.43000099999998</v>
      </c>
      <c r="I231" s="1207">
        <v>144</v>
      </c>
      <c r="J231" s="1207">
        <v>56</v>
      </c>
      <c r="K231" s="1207">
        <v>23.716667000000001</v>
      </c>
      <c r="L231" s="1208">
        <v>41338.099900000016</v>
      </c>
      <c r="M231" s="1207">
        <v>5333.63</v>
      </c>
      <c r="N231" s="1207">
        <v>3210.24</v>
      </c>
      <c r="O231" s="1207">
        <v>1251.76</v>
      </c>
      <c r="P231" s="1207">
        <v>660</v>
      </c>
      <c r="Q231" s="1207">
        <v>572.23</v>
      </c>
      <c r="R231" s="1209">
        <f t="shared" si="131"/>
        <v>52365.959900000016</v>
      </c>
      <c r="S231" s="1159">
        <f t="shared" si="132"/>
        <v>2232.2300010000004</v>
      </c>
      <c r="T231" s="1159">
        <f t="shared" si="133"/>
        <v>223.716667</v>
      </c>
      <c r="U231" s="1210">
        <f t="shared" si="134"/>
        <v>2008.5133340000004</v>
      </c>
      <c r="V231" s="1211"/>
      <c r="W231" s="1212"/>
      <c r="X231" s="1213">
        <f t="shared" si="138"/>
        <v>30491.573358082205</v>
      </c>
      <c r="Y231" s="1214">
        <v>42887</v>
      </c>
      <c r="Z231" s="1220">
        <v>2.2512381809995496E-2</v>
      </c>
      <c r="AA231" s="1213">
        <f t="shared" si="135"/>
        <v>686.4379414246331</v>
      </c>
      <c r="AB231" s="1216"/>
      <c r="AC231" s="1159">
        <f t="shared" si="136"/>
        <v>46486.537841424652</v>
      </c>
      <c r="AD231" s="1214">
        <v>43252</v>
      </c>
      <c r="AE231" s="1220">
        <v>0.03</v>
      </c>
      <c r="AF231" s="1213">
        <f t="shared" si="137"/>
        <v>1394.5961352427396</v>
      </c>
    </row>
    <row r="232" spans="1:32">
      <c r="A232" s="1217">
        <v>2010</v>
      </c>
      <c r="B232" s="1219">
        <v>155152</v>
      </c>
      <c r="C232" s="1219">
        <v>1</v>
      </c>
      <c r="D232" s="1219">
        <v>55152</v>
      </c>
      <c r="E232" s="1219" t="s">
        <v>2814</v>
      </c>
      <c r="F232" s="1217" t="s">
        <v>2967</v>
      </c>
      <c r="G232" s="1207">
        <v>1938.783334</v>
      </c>
      <c r="H232" s="1207">
        <v>247.27000000000004</v>
      </c>
      <c r="I232" s="1207">
        <v>48</v>
      </c>
      <c r="J232" s="1207">
        <v>56</v>
      </c>
      <c r="K232" s="1207">
        <v>16.716666</v>
      </c>
      <c r="L232" s="1208">
        <v>39059.070100000012</v>
      </c>
      <c r="M232" s="1207">
        <v>7489.91</v>
      </c>
      <c r="N232" s="1207">
        <v>960.48000000000013</v>
      </c>
      <c r="O232" s="1207">
        <v>1128.56</v>
      </c>
      <c r="P232" s="1207">
        <v>1425.59</v>
      </c>
      <c r="Q232" s="1207">
        <v>779.67000000000007</v>
      </c>
      <c r="R232" s="1209">
        <f t="shared" si="131"/>
        <v>50843.280100000011</v>
      </c>
      <c r="S232" s="1159">
        <f t="shared" si="132"/>
        <v>2306.77</v>
      </c>
      <c r="T232" s="1159">
        <f t="shared" si="133"/>
        <v>120.716666</v>
      </c>
      <c r="U232" s="1210">
        <f t="shared" si="134"/>
        <v>2186.0533340000002</v>
      </c>
      <c r="V232" s="1211"/>
      <c r="W232" s="1212"/>
      <c r="X232" s="1213">
        <f t="shared" si="138"/>
        <v>27394.495217260283</v>
      </c>
      <c r="Y232" s="1214">
        <v>42887</v>
      </c>
      <c r="Z232" s="1220">
        <v>2.498750624687656E-2</v>
      </c>
      <c r="AA232" s="1213">
        <f t="shared" si="135"/>
        <v>684.52012037132135</v>
      </c>
      <c r="AB232" s="1216"/>
      <c r="AC232" s="1159">
        <f t="shared" si="136"/>
        <v>41832.630220371335</v>
      </c>
      <c r="AD232" s="1214">
        <v>43252</v>
      </c>
      <c r="AE232" s="1220">
        <v>0.03</v>
      </c>
      <c r="AF232" s="1213">
        <f t="shared" si="137"/>
        <v>1254.97890661114</v>
      </c>
    </row>
    <row r="233" spans="1:32">
      <c r="A233" s="1217">
        <v>2010</v>
      </c>
      <c r="B233" s="1219">
        <v>102300</v>
      </c>
      <c r="C233" s="1219">
        <v>1</v>
      </c>
      <c r="D233" s="1219">
        <v>2300</v>
      </c>
      <c r="E233" s="1219" t="s">
        <v>2815</v>
      </c>
      <c r="F233" s="1217" t="s">
        <v>2967</v>
      </c>
      <c r="G233" s="1207">
        <v>1850.683331</v>
      </c>
      <c r="H233" s="1207">
        <v>155.913343</v>
      </c>
      <c r="I233" s="1207">
        <v>168</v>
      </c>
      <c r="J233" s="1207">
        <v>56</v>
      </c>
      <c r="K233" s="1207">
        <v>13.320001999999999</v>
      </c>
      <c r="L233" s="1208">
        <v>40370.19</v>
      </c>
      <c r="M233" s="1207">
        <v>5160.59</v>
      </c>
      <c r="N233" s="1207">
        <v>3727.28</v>
      </c>
      <c r="O233" s="1207">
        <v>1223.76</v>
      </c>
      <c r="P233" s="1207">
        <v>1425.59</v>
      </c>
      <c r="Q233" s="1207">
        <v>326.61</v>
      </c>
      <c r="R233" s="1209">
        <f t="shared" si="131"/>
        <v>52234.02</v>
      </c>
      <c r="S233" s="1159">
        <f t="shared" si="132"/>
        <v>2243.9166759999998</v>
      </c>
      <c r="T233" s="1159">
        <f t="shared" si="133"/>
        <v>237.32000199999999</v>
      </c>
      <c r="U233" s="1210">
        <f t="shared" si="134"/>
        <v>2006.5966739999999</v>
      </c>
      <c r="V233" s="1211"/>
      <c r="W233" s="1212"/>
      <c r="X233" s="1213">
        <f t="shared" si="138"/>
        <v>30172.764082191785</v>
      </c>
      <c r="Y233" s="1214">
        <v>42887</v>
      </c>
      <c r="Z233" s="1220">
        <v>2.3030861354214647E-2</v>
      </c>
      <c r="AA233" s="1213">
        <f t="shared" si="135"/>
        <v>694.90474625038655</v>
      </c>
      <c r="AB233" s="1216"/>
      <c r="AC233" s="1159">
        <f t="shared" si="136"/>
        <v>46016.134746250391</v>
      </c>
      <c r="AD233" s="1214">
        <v>43252</v>
      </c>
      <c r="AE233" s="1220">
        <v>0.03</v>
      </c>
      <c r="AF233" s="1213">
        <f t="shared" si="137"/>
        <v>1380.4840423875116</v>
      </c>
    </row>
    <row r="234" spans="1:32">
      <c r="A234" s="1217">
        <v>2010</v>
      </c>
      <c r="B234" s="1219">
        <v>155995</v>
      </c>
      <c r="C234" s="1219">
        <v>1</v>
      </c>
      <c r="D234" s="1219">
        <v>55995</v>
      </c>
      <c r="E234" s="1219" t="s">
        <v>2816</v>
      </c>
      <c r="F234" s="1217" t="s">
        <v>2967</v>
      </c>
      <c r="G234" s="1207">
        <v>2006.5300000000002</v>
      </c>
      <c r="H234" s="1207">
        <v>116.33331099999998</v>
      </c>
      <c r="I234" s="1207">
        <v>24</v>
      </c>
      <c r="J234" s="1207">
        <v>56</v>
      </c>
      <c r="K234" s="1207">
        <v>1.55</v>
      </c>
      <c r="L234" s="1208">
        <v>40409.94</v>
      </c>
      <c r="M234" s="1207">
        <v>3483.5699999999997</v>
      </c>
      <c r="N234" s="1207">
        <v>492.24</v>
      </c>
      <c r="O234" s="1207">
        <v>1128.56</v>
      </c>
      <c r="P234" s="1207">
        <v>1425.59</v>
      </c>
      <c r="Q234" s="1207">
        <v>468.89</v>
      </c>
      <c r="R234" s="1209">
        <f t="shared" si="131"/>
        <v>47408.789999999994</v>
      </c>
      <c r="S234" s="1159">
        <f t="shared" si="132"/>
        <v>2204.4133110000002</v>
      </c>
      <c r="T234" s="1159">
        <f t="shared" si="133"/>
        <v>81.55</v>
      </c>
      <c r="U234" s="1210">
        <f t="shared" si="134"/>
        <v>2122.8633110000001</v>
      </c>
      <c r="V234" s="1211"/>
      <c r="W234" s="1212"/>
      <c r="X234" s="1213">
        <f t="shared" si="138"/>
        <v>27982.10909589041</v>
      </c>
      <c r="Y234" s="1214">
        <v>42887</v>
      </c>
      <c r="Z234" s="1220">
        <v>2.498750624687656E-2</v>
      </c>
      <c r="AA234" s="1213">
        <f t="shared" si="135"/>
        <v>699.20312583434304</v>
      </c>
      <c r="AB234" s="1216"/>
      <c r="AC234" s="1159">
        <f t="shared" si="136"/>
        <v>42729.943125834339</v>
      </c>
      <c r="AD234" s="1214">
        <v>43252</v>
      </c>
      <c r="AE234" s="1220">
        <v>0.03</v>
      </c>
      <c r="AF234" s="1213">
        <f t="shared" si="137"/>
        <v>1281.8982937750302</v>
      </c>
    </row>
    <row r="235" spans="1:32">
      <c r="A235" s="1217">
        <v>2010</v>
      </c>
      <c r="B235" s="1219">
        <v>158596</v>
      </c>
      <c r="C235" s="1219">
        <v>1</v>
      </c>
      <c r="D235" s="1219">
        <v>58596</v>
      </c>
      <c r="E235" s="1219" t="s">
        <v>2817</v>
      </c>
      <c r="F235" s="1217" t="s">
        <v>2967</v>
      </c>
      <c r="G235" s="1207">
        <v>1980.743332</v>
      </c>
      <c r="H235" s="1207">
        <v>75.536665000000013</v>
      </c>
      <c r="I235" s="1207">
        <v>24</v>
      </c>
      <c r="J235" s="1207">
        <v>48</v>
      </c>
      <c r="K235" s="1207">
        <v>8</v>
      </c>
      <c r="L235" s="1208">
        <v>28441.919900000001</v>
      </c>
      <c r="M235" s="1207">
        <v>1638.7900000000002</v>
      </c>
      <c r="N235" s="1207">
        <v>345.2</v>
      </c>
      <c r="O235" s="1207">
        <v>690.4</v>
      </c>
      <c r="P235" s="1207">
        <v>426.4</v>
      </c>
      <c r="Q235" s="1207">
        <v>151.11000000000001</v>
      </c>
      <c r="R235" s="1209">
        <f t="shared" si="131"/>
        <v>31693.819900000006</v>
      </c>
      <c r="S235" s="1159">
        <f t="shared" si="132"/>
        <v>2136.2799970000001</v>
      </c>
      <c r="T235" s="1159">
        <f t="shared" si="133"/>
        <v>80</v>
      </c>
      <c r="U235" s="1210">
        <f t="shared" si="134"/>
        <v>2056.2799970000001</v>
      </c>
      <c r="V235" s="1211"/>
      <c r="W235" s="1212"/>
      <c r="X235" s="1213">
        <f t="shared" si="138"/>
        <v>19624.759823835619</v>
      </c>
      <c r="Y235" s="1214">
        <v>42887</v>
      </c>
      <c r="Z235" s="1220">
        <v>2.8070175438596516E-2</v>
      </c>
      <c r="AA235" s="1213">
        <f t="shared" si="135"/>
        <v>550.87045119538629</v>
      </c>
      <c r="AB235" s="1216"/>
      <c r="AC235" s="1159">
        <f t="shared" si="136"/>
        <v>30028.39035119539</v>
      </c>
      <c r="AD235" s="1214">
        <v>43252</v>
      </c>
      <c r="AE235" s="1220">
        <v>0.03</v>
      </c>
      <c r="AF235" s="1213">
        <f t="shared" si="137"/>
        <v>900.85171053586168</v>
      </c>
    </row>
    <row r="236" spans="1:32">
      <c r="A236" s="1217">
        <v>2010</v>
      </c>
      <c r="B236" s="1219">
        <v>102302</v>
      </c>
      <c r="C236" s="1219">
        <v>1</v>
      </c>
      <c r="D236" s="1219">
        <v>2302</v>
      </c>
      <c r="E236" s="1219" t="s">
        <v>2818</v>
      </c>
      <c r="F236" s="1217" t="s">
        <v>2819</v>
      </c>
      <c r="G236" s="1207">
        <v>1848</v>
      </c>
      <c r="H236" s="1207">
        <v>0</v>
      </c>
      <c r="I236" s="1207">
        <v>192</v>
      </c>
      <c r="J236" s="1207">
        <v>40</v>
      </c>
      <c r="K236" s="1207">
        <v>0</v>
      </c>
      <c r="L236" s="1208">
        <v>79414.12969999999</v>
      </c>
      <c r="M236" s="1207">
        <v>0</v>
      </c>
      <c r="N236" s="1207">
        <v>8259.69</v>
      </c>
      <c r="O236" s="1207">
        <v>1731.6000000000001</v>
      </c>
      <c r="P236" s="1207">
        <v>0</v>
      </c>
      <c r="Q236" s="1207">
        <v>709.66999999999985</v>
      </c>
      <c r="R236" s="1209">
        <f t="shared" si="131"/>
        <v>90115.089699999997</v>
      </c>
      <c r="S236" s="1159">
        <f t="shared" si="132"/>
        <v>2080</v>
      </c>
      <c r="T236" s="1159">
        <f t="shared" si="133"/>
        <v>232</v>
      </c>
      <c r="U236" s="1210">
        <f t="shared" si="134"/>
        <v>1848</v>
      </c>
      <c r="V236" s="1211"/>
      <c r="W236" s="1212"/>
      <c r="X236" s="1213">
        <f t="shared" si="138"/>
        <v>44580.236672328771</v>
      </c>
      <c r="Y236" s="1214">
        <v>42826</v>
      </c>
      <c r="Z236" s="1220">
        <v>2.8235825615540999E-2</v>
      </c>
      <c r="AA236" s="1213">
        <f t="shared" si="135"/>
        <v>1258.759788579421</v>
      </c>
      <c r="AB236" s="1216"/>
      <c r="AC236" s="1159">
        <f t="shared" si="136"/>
        <v>90664.179488579422</v>
      </c>
      <c r="AD236" s="1214">
        <v>43191</v>
      </c>
      <c r="AE236" s="1220">
        <v>2.5000000000000001E-2</v>
      </c>
      <c r="AF236" s="1213">
        <f t="shared" si="137"/>
        <v>2266.6044872144857</v>
      </c>
    </row>
    <row r="237" spans="1:32">
      <c r="A237" s="1217">
        <v>2010</v>
      </c>
      <c r="B237" s="1219">
        <v>102262</v>
      </c>
      <c r="C237" s="1219">
        <v>1</v>
      </c>
      <c r="D237" s="1219">
        <v>2262</v>
      </c>
      <c r="E237" s="1219" t="s">
        <v>2820</v>
      </c>
      <c r="F237" s="1217" t="s">
        <v>2968</v>
      </c>
      <c r="G237" s="1207">
        <v>1872.3833330000002</v>
      </c>
      <c r="H237" s="1207">
        <v>89.926663999999988</v>
      </c>
      <c r="I237" s="1207">
        <v>228</v>
      </c>
      <c r="J237" s="1207">
        <v>48</v>
      </c>
      <c r="K237" s="1207">
        <v>0</v>
      </c>
      <c r="L237" s="1208">
        <v>35403.22</v>
      </c>
      <c r="M237" s="1207">
        <v>2569.2200000000003</v>
      </c>
      <c r="N237" s="1207">
        <v>4305.6000000000004</v>
      </c>
      <c r="O237" s="1207">
        <v>908.80000000000007</v>
      </c>
      <c r="P237" s="1207">
        <v>927.67</v>
      </c>
      <c r="Q237" s="1207">
        <v>44.81</v>
      </c>
      <c r="R237" s="1209">
        <f t="shared" si="131"/>
        <v>44159.32</v>
      </c>
      <c r="S237" s="1159">
        <f t="shared" si="132"/>
        <v>2238.3099970000003</v>
      </c>
      <c r="T237" s="1159">
        <f t="shared" si="133"/>
        <v>276</v>
      </c>
      <c r="U237" s="1210">
        <f t="shared" si="134"/>
        <v>1962.3099970000003</v>
      </c>
      <c r="V237" s="1211"/>
      <c r="W237" s="1212"/>
      <c r="X237" s="1213">
        <f t="shared" si="138"/>
        <v>27041.319616438359</v>
      </c>
      <c r="Y237" s="1214">
        <v>42887</v>
      </c>
      <c r="Z237" s="1220">
        <v>2.1276595744680774E-2</v>
      </c>
      <c r="AA237" s="1213">
        <f t="shared" si="135"/>
        <v>575.34722588166517</v>
      </c>
      <c r="AB237" s="1216"/>
      <c r="AC237" s="1159">
        <f t="shared" si="136"/>
        <v>41192.967225881664</v>
      </c>
      <c r="AD237" s="1214">
        <v>43252</v>
      </c>
      <c r="AE237" s="1220">
        <v>2.5000000000000001E-2</v>
      </c>
      <c r="AF237" s="1213">
        <f t="shared" si="137"/>
        <v>1029.8241806470417</v>
      </c>
    </row>
    <row r="238" spans="1:32">
      <c r="A238" s="1217">
        <v>2010</v>
      </c>
      <c r="B238" s="1219">
        <v>154974</v>
      </c>
      <c r="C238" s="1219">
        <v>1</v>
      </c>
      <c r="D238" s="1219">
        <v>54974</v>
      </c>
      <c r="E238" s="1219" t="s">
        <v>2821</v>
      </c>
      <c r="F238" s="1217" t="s">
        <v>2967</v>
      </c>
      <c r="G238" s="1207">
        <v>1967.7333329999999</v>
      </c>
      <c r="H238" s="1207">
        <v>241.21999999999997</v>
      </c>
      <c r="I238" s="1207">
        <v>0</v>
      </c>
      <c r="J238" s="1207">
        <v>56</v>
      </c>
      <c r="K238" s="1207">
        <v>8.266667</v>
      </c>
      <c r="L238" s="1208">
        <v>39626.220000000008</v>
      </c>
      <c r="M238" s="1207">
        <v>7349.5599999999986</v>
      </c>
      <c r="N238" s="1207">
        <v>0</v>
      </c>
      <c r="O238" s="1207">
        <v>1128.56</v>
      </c>
      <c r="P238" s="1207">
        <v>1433.59</v>
      </c>
      <c r="Q238" s="1207">
        <v>202.68</v>
      </c>
      <c r="R238" s="1209">
        <f t="shared" si="131"/>
        <v>49740.61</v>
      </c>
      <c r="S238" s="1159">
        <f t="shared" si="132"/>
        <v>2273.2199999999998</v>
      </c>
      <c r="T238" s="1159">
        <f t="shared" si="133"/>
        <v>64.266666999999998</v>
      </c>
      <c r="U238" s="1210">
        <f t="shared" si="134"/>
        <v>2208.9533329999999</v>
      </c>
      <c r="V238" s="1211"/>
      <c r="W238" s="1212"/>
      <c r="X238" s="1213">
        <f t="shared" si="138"/>
        <v>27132.634356164388</v>
      </c>
      <c r="Y238" s="1214">
        <v>42887</v>
      </c>
      <c r="Z238" s="1220">
        <v>2.498750624687656E-2</v>
      </c>
      <c r="AA238" s="1213">
        <f t="shared" si="135"/>
        <v>677.97687046887518</v>
      </c>
      <c r="AB238" s="1216"/>
      <c r="AC238" s="1159">
        <f t="shared" si="136"/>
        <v>41432.756870468882</v>
      </c>
      <c r="AD238" s="1214">
        <v>43252</v>
      </c>
      <c r="AE238" s="1220">
        <v>0.14048269137006333</v>
      </c>
      <c r="AF238" s="1213">
        <f t="shared" si="137"/>
        <v>5820.5851960449509</v>
      </c>
    </row>
    <row r="239" spans="1:32">
      <c r="A239" s="1217">
        <v>2010</v>
      </c>
      <c r="B239" s="1219">
        <v>158897</v>
      </c>
      <c r="C239" s="1219">
        <v>1</v>
      </c>
      <c r="D239" s="1219">
        <v>58897</v>
      </c>
      <c r="E239" s="1219" t="s">
        <v>2822</v>
      </c>
      <c r="F239" s="1217" t="s">
        <v>2967</v>
      </c>
      <c r="G239" s="1207">
        <v>1984</v>
      </c>
      <c r="H239" s="1207">
        <v>228.44</v>
      </c>
      <c r="I239" s="1207">
        <v>24</v>
      </c>
      <c r="J239" s="1207">
        <v>40</v>
      </c>
      <c r="K239" s="1207">
        <v>8</v>
      </c>
      <c r="L239" s="1208">
        <v>44324.640000000014</v>
      </c>
      <c r="M239" s="1207">
        <v>7652.77</v>
      </c>
      <c r="N239" s="1207">
        <v>545.04</v>
      </c>
      <c r="O239" s="1207">
        <v>896.40000000000009</v>
      </c>
      <c r="P239" s="1207">
        <v>0</v>
      </c>
      <c r="Q239" s="1207">
        <v>214.8</v>
      </c>
      <c r="R239" s="1209">
        <f t="shared" si="131"/>
        <v>53633.650000000023</v>
      </c>
      <c r="S239" s="1159">
        <f t="shared" si="132"/>
        <v>2284.44</v>
      </c>
      <c r="T239" s="1159">
        <f t="shared" si="133"/>
        <v>72</v>
      </c>
      <c r="U239" s="1210">
        <f t="shared" si="134"/>
        <v>2212.44</v>
      </c>
      <c r="V239" s="1211"/>
      <c r="W239" s="1212"/>
      <c r="X239" s="1213">
        <f t="shared" si="138"/>
        <v>30468.924493150698</v>
      </c>
      <c r="Y239" s="1214">
        <v>42887</v>
      </c>
      <c r="Z239" s="1220">
        <v>2.2512381809995496E-2</v>
      </c>
      <c r="AA239" s="1213">
        <f t="shared" si="135"/>
        <v>685.92806152973196</v>
      </c>
      <c r="AB239" s="1216"/>
      <c r="AC239" s="1159">
        <f t="shared" si="136"/>
        <v>46452.008061529748</v>
      </c>
      <c r="AD239" s="1214">
        <v>43252</v>
      </c>
      <c r="AE239" s="1220">
        <v>0.03</v>
      </c>
      <c r="AF239" s="1213">
        <f t="shared" si="137"/>
        <v>1393.5602418458925</v>
      </c>
    </row>
    <row r="240" spans="1:32">
      <c r="A240" s="1217">
        <v>2010</v>
      </c>
      <c r="B240" s="1219">
        <v>114138</v>
      </c>
      <c r="C240" s="1219">
        <v>1</v>
      </c>
      <c r="D240" s="1219">
        <v>14138</v>
      </c>
      <c r="E240" s="1219" t="s">
        <v>2823</v>
      </c>
      <c r="F240" s="1217" t="s">
        <v>2967</v>
      </c>
      <c r="G240" s="1207">
        <v>1888</v>
      </c>
      <c r="H240" s="1207">
        <v>0</v>
      </c>
      <c r="I240" s="1207">
        <v>144</v>
      </c>
      <c r="J240" s="1207">
        <v>40</v>
      </c>
      <c r="K240" s="1207">
        <v>8</v>
      </c>
      <c r="L240" s="1208">
        <v>57184.430400000019</v>
      </c>
      <c r="M240" s="1207">
        <v>0</v>
      </c>
      <c r="N240" s="1207">
        <v>4361.74</v>
      </c>
      <c r="O240" s="1207">
        <v>1211.5999999999999</v>
      </c>
      <c r="P240" s="1207">
        <v>0</v>
      </c>
      <c r="Q240" s="1207">
        <v>422.29</v>
      </c>
      <c r="R240" s="1209">
        <f t="shared" si="131"/>
        <v>63180.060400000017</v>
      </c>
      <c r="S240" s="1159">
        <f t="shared" si="132"/>
        <v>2080</v>
      </c>
      <c r="T240" s="1159">
        <f t="shared" si="133"/>
        <v>192</v>
      </c>
      <c r="U240" s="1210">
        <f t="shared" si="134"/>
        <v>1888</v>
      </c>
      <c r="V240" s="1211"/>
      <c r="W240" s="1212"/>
      <c r="X240" s="1213"/>
      <c r="Y240" s="1214"/>
      <c r="Z240" s="1220">
        <v>0</v>
      </c>
      <c r="AA240" s="1213">
        <f t="shared" si="135"/>
        <v>0</v>
      </c>
      <c r="AB240" s="1216"/>
      <c r="AC240" s="1159">
        <f t="shared" si="136"/>
        <v>62757.770400000016</v>
      </c>
      <c r="AD240" s="1214"/>
      <c r="AE240" s="1220">
        <v>0</v>
      </c>
      <c r="AF240" s="1213">
        <f t="shared" si="137"/>
        <v>0</v>
      </c>
    </row>
    <row r="241" spans="1:32">
      <c r="A241" s="1217">
        <v>2010</v>
      </c>
      <c r="B241" s="1219">
        <v>159051</v>
      </c>
      <c r="C241" s="1219">
        <v>1</v>
      </c>
      <c r="D241" s="1219">
        <v>59051</v>
      </c>
      <c r="E241" s="1219" t="s">
        <v>2824</v>
      </c>
      <c r="F241" s="1217" t="s">
        <v>2967</v>
      </c>
      <c r="G241" s="1207">
        <v>1838.0099999999998</v>
      </c>
      <c r="H241" s="1207">
        <v>112.35996399999996</v>
      </c>
      <c r="I241" s="1207">
        <v>8</v>
      </c>
      <c r="J241" s="1207">
        <v>24</v>
      </c>
      <c r="K241" s="1207">
        <v>7.95</v>
      </c>
      <c r="L241" s="1208">
        <v>35408.890000000014</v>
      </c>
      <c r="M241" s="1207">
        <v>3342.4599999999991</v>
      </c>
      <c r="N241" s="1207">
        <v>160.08000000000001</v>
      </c>
      <c r="O241" s="1207">
        <v>488.24</v>
      </c>
      <c r="P241" s="1207">
        <v>0</v>
      </c>
      <c r="Q241" s="1207">
        <v>196.23</v>
      </c>
      <c r="R241" s="1209">
        <f t="shared" si="131"/>
        <v>39595.900000000016</v>
      </c>
      <c r="S241" s="1159">
        <f t="shared" si="132"/>
        <v>1990.3199639999998</v>
      </c>
      <c r="T241" s="1159">
        <f t="shared" si="133"/>
        <v>39.950000000000003</v>
      </c>
      <c r="U241" s="1210">
        <f t="shared" si="134"/>
        <v>1950.3699639999998</v>
      </c>
      <c r="V241" s="1211"/>
      <c r="W241" s="1212"/>
      <c r="X241" s="1213">
        <f t="shared" si="138"/>
        <v>24005.211041095899</v>
      </c>
      <c r="Y241" s="1214">
        <v>42887</v>
      </c>
      <c r="Z241" s="1220">
        <v>0.46499999999999986</v>
      </c>
      <c r="AA241" s="1213">
        <f t="shared" si="135"/>
        <v>11162.423134109589</v>
      </c>
      <c r="AB241" s="1216"/>
      <c r="AC241" s="1159">
        <f t="shared" si="136"/>
        <v>47219.633134109601</v>
      </c>
      <c r="AD241" s="1214">
        <v>43252</v>
      </c>
      <c r="AE241" s="1220">
        <v>0.03</v>
      </c>
      <c r="AF241" s="1213">
        <f t="shared" si="137"/>
        <v>1416.588994023288</v>
      </c>
    </row>
    <row r="242" spans="1:32">
      <c r="A242" s="1217">
        <v>2010</v>
      </c>
      <c r="B242" s="1219">
        <v>103659</v>
      </c>
      <c r="C242" s="1219">
        <v>1</v>
      </c>
      <c r="D242" s="1219">
        <v>3659</v>
      </c>
      <c r="E242" s="1219" t="s">
        <v>2825</v>
      </c>
      <c r="F242" s="1217" t="s">
        <v>2967</v>
      </c>
      <c r="G242" s="1207">
        <v>1871.966666</v>
      </c>
      <c r="H242" s="1207">
        <v>397.43332300000003</v>
      </c>
      <c r="I242" s="1207">
        <v>152</v>
      </c>
      <c r="J242" s="1207">
        <v>56</v>
      </c>
      <c r="K242" s="1207">
        <v>3.3334000000000003E-2</v>
      </c>
      <c r="L242" s="1208">
        <v>39293.23000000001</v>
      </c>
      <c r="M242" s="1207">
        <v>12637.369999999999</v>
      </c>
      <c r="N242" s="1207">
        <v>3202.72</v>
      </c>
      <c r="O242" s="1207">
        <v>1176.1599999999999</v>
      </c>
      <c r="P242" s="1207">
        <v>1437.59</v>
      </c>
      <c r="Q242" s="1207">
        <v>37.830000000000005</v>
      </c>
      <c r="R242" s="1209">
        <f t="shared" si="131"/>
        <v>57784.900000000009</v>
      </c>
      <c r="S242" s="1159">
        <f t="shared" si="132"/>
        <v>2477.4333230000002</v>
      </c>
      <c r="T242" s="1159">
        <f t="shared" si="133"/>
        <v>208.033334</v>
      </c>
      <c r="U242" s="1210">
        <f t="shared" si="134"/>
        <v>2269.399989</v>
      </c>
      <c r="V242" s="1211"/>
      <c r="W242" s="1212"/>
      <c r="X242" s="1213">
        <f t="shared" si="138"/>
        <v>29074.856794520561</v>
      </c>
      <c r="Y242" s="1214">
        <v>42887</v>
      </c>
      <c r="Z242" s="1220">
        <v>2.3969319271332695E-2</v>
      </c>
      <c r="AA242" s="1213">
        <f t="shared" si="135"/>
        <v>696.90452527614002</v>
      </c>
      <c r="AB242" s="1216"/>
      <c r="AC242" s="1159">
        <f t="shared" si="136"/>
        <v>44369.014525276158</v>
      </c>
      <c r="AD242" s="1214">
        <v>43252</v>
      </c>
      <c r="AE242" s="1220">
        <v>0.03</v>
      </c>
      <c r="AF242" s="1213">
        <f t="shared" si="137"/>
        <v>1331.0704357582847</v>
      </c>
    </row>
    <row r="243" spans="1:32">
      <c r="A243" s="1217">
        <v>2010</v>
      </c>
      <c r="B243" s="1219">
        <v>102150</v>
      </c>
      <c r="C243" s="1219">
        <v>1</v>
      </c>
      <c r="D243" s="1219">
        <v>2150</v>
      </c>
      <c r="E243" s="1219" t="s">
        <v>2826</v>
      </c>
      <c r="F243" s="1217" t="s">
        <v>2967</v>
      </c>
      <c r="G243" s="1207">
        <v>1838.633333</v>
      </c>
      <c r="H243" s="1207">
        <v>497.50666699999994</v>
      </c>
      <c r="I243" s="1207">
        <v>200</v>
      </c>
      <c r="J243" s="1207">
        <v>56</v>
      </c>
      <c r="K243" s="1207">
        <v>1.066667</v>
      </c>
      <c r="L243" s="1208">
        <v>40700.330100000014</v>
      </c>
      <c r="M243" s="1207">
        <v>16681.090000000004</v>
      </c>
      <c r="N243" s="1207">
        <v>4442</v>
      </c>
      <c r="O243" s="1207">
        <v>1240.56</v>
      </c>
      <c r="P243" s="1207">
        <v>1425.59</v>
      </c>
      <c r="Q243" s="1207">
        <v>60.61</v>
      </c>
      <c r="R243" s="1209">
        <f t="shared" si="131"/>
        <v>64550.180100000012</v>
      </c>
      <c r="S243" s="1159">
        <f t="shared" si="132"/>
        <v>2593.2066669999999</v>
      </c>
      <c r="T243" s="1159">
        <f t="shared" si="133"/>
        <v>257.066667</v>
      </c>
      <c r="U243" s="1210">
        <f t="shared" si="134"/>
        <v>2336.14</v>
      </c>
      <c r="V243" s="1211"/>
      <c r="W243" s="1212"/>
      <c r="X243" s="1213">
        <f t="shared" si="138"/>
        <v>30879.567929589051</v>
      </c>
      <c r="Y243" s="1214">
        <v>42887</v>
      </c>
      <c r="Z243" s="1220">
        <v>2.2716946842344387E-2</v>
      </c>
      <c r="AA243" s="1213">
        <f t="shared" si="135"/>
        <v>701.48950317103697</v>
      </c>
      <c r="AB243" s="1216"/>
      <c r="AC243" s="1159">
        <f t="shared" si="136"/>
        <v>47084.379603171052</v>
      </c>
      <c r="AD243" s="1214">
        <v>43252</v>
      </c>
      <c r="AE243" s="1220">
        <v>0.03</v>
      </c>
      <c r="AF243" s="1213">
        <f t="shared" si="137"/>
        <v>1412.5313880951314</v>
      </c>
    </row>
    <row r="244" spans="1:32">
      <c r="A244" s="1217">
        <v>2010</v>
      </c>
      <c r="B244" s="1219">
        <v>157620</v>
      </c>
      <c r="C244" s="1219">
        <v>1</v>
      </c>
      <c r="D244" s="1219">
        <v>57620</v>
      </c>
      <c r="E244" s="1219" t="s">
        <v>2827</v>
      </c>
      <c r="F244" s="1217" t="s">
        <v>2967</v>
      </c>
      <c r="G244" s="1207">
        <v>1985.4333329999999</v>
      </c>
      <c r="H244" s="1207">
        <v>119.66331799999998</v>
      </c>
      <c r="I244" s="1207">
        <v>32</v>
      </c>
      <c r="J244" s="1207">
        <v>56</v>
      </c>
      <c r="K244" s="1207">
        <v>8.6833340000000003</v>
      </c>
      <c r="L244" s="1208">
        <v>39988.479900000006</v>
      </c>
      <c r="M244" s="1207">
        <v>3559.8499999999995</v>
      </c>
      <c r="N244" s="1207">
        <v>648.32000000000005</v>
      </c>
      <c r="O244" s="1207">
        <v>1128.56</v>
      </c>
      <c r="P244" s="1207">
        <v>683.21</v>
      </c>
      <c r="Q244" s="1207">
        <v>214.98000000000002</v>
      </c>
      <c r="R244" s="1209">
        <f t="shared" si="131"/>
        <v>46223.399900000004</v>
      </c>
      <c r="S244" s="1159">
        <f t="shared" si="132"/>
        <v>2201.7799849999997</v>
      </c>
      <c r="T244" s="1159">
        <f t="shared" si="133"/>
        <v>96.683334000000002</v>
      </c>
      <c r="U244" s="1210">
        <f t="shared" si="134"/>
        <v>2105.0966509999998</v>
      </c>
      <c r="V244" s="1211"/>
      <c r="W244" s="1212"/>
      <c r="X244" s="1213">
        <f t="shared" si="138"/>
        <v>27805.431385479456</v>
      </c>
      <c r="Y244" s="1214">
        <v>42887</v>
      </c>
      <c r="Z244" s="1220">
        <v>2.498750624687656E-2</v>
      </c>
      <c r="AA244" s="1213">
        <f t="shared" si="135"/>
        <v>694.7883904417655</v>
      </c>
      <c r="AB244" s="1216"/>
      <c r="AC244" s="1159">
        <f t="shared" si="136"/>
        <v>42460.148290441772</v>
      </c>
      <c r="AD244" s="1214">
        <v>43252</v>
      </c>
      <c r="AE244" s="1220">
        <v>0.03</v>
      </c>
      <c r="AF244" s="1213">
        <f t="shared" si="137"/>
        <v>1273.8044487132531</v>
      </c>
    </row>
    <row r="245" spans="1:32">
      <c r="A245" s="1255">
        <v>2010</v>
      </c>
      <c r="B245" s="1256">
        <v>17972</v>
      </c>
      <c r="C245" s="1256"/>
      <c r="D245" s="1256">
        <v>17972</v>
      </c>
      <c r="E245" s="1256" t="s">
        <v>2828</v>
      </c>
      <c r="F245" s="1255" t="s">
        <v>2967</v>
      </c>
      <c r="G245" s="1207">
        <v>216</v>
      </c>
      <c r="H245" s="1207">
        <v>33.160000000000004</v>
      </c>
      <c r="I245" s="1207">
        <v>24</v>
      </c>
      <c r="J245" s="1207">
        <v>0</v>
      </c>
      <c r="K245" s="1207">
        <v>0</v>
      </c>
      <c r="L245" s="1208">
        <v>4797.3599999999997</v>
      </c>
      <c r="M245" s="1207">
        <v>1061.2800000000002</v>
      </c>
      <c r="N245" s="1207">
        <v>533.04</v>
      </c>
      <c r="O245" s="1207">
        <v>0</v>
      </c>
      <c r="P245" s="1207">
        <v>0</v>
      </c>
      <c r="Q245" s="1207">
        <v>0</v>
      </c>
      <c r="R245" s="1209">
        <f t="shared" ref="R245" si="139">SUM(L245:Q245)</f>
        <v>6391.6799999999994</v>
      </c>
      <c r="S245" s="1159">
        <f t="shared" si="132"/>
        <v>273.15999999999997</v>
      </c>
      <c r="T245" s="1159">
        <f t="shared" si="133"/>
        <v>24</v>
      </c>
      <c r="U245" s="1210">
        <f t="shared" si="134"/>
        <v>249.15999999999997</v>
      </c>
      <c r="V245" s="1211"/>
      <c r="W245" s="1212"/>
      <c r="X245" s="1213"/>
      <c r="Y245" s="1214"/>
      <c r="Z245" s="1220">
        <v>0</v>
      </c>
      <c r="AA245" s="1213">
        <f t="shared" si="135"/>
        <v>0</v>
      </c>
      <c r="AB245" s="1216"/>
      <c r="AC245" s="1159">
        <f t="shared" si="136"/>
        <v>5330.4</v>
      </c>
      <c r="AD245" s="1214">
        <v>0</v>
      </c>
      <c r="AE245" s="1220">
        <v>0</v>
      </c>
      <c r="AF245" s="1213">
        <f t="shared" si="137"/>
        <v>0</v>
      </c>
    </row>
    <row r="246" spans="1:32">
      <c r="A246" s="1217"/>
      <c r="B246" s="1219"/>
      <c r="C246" s="1219"/>
      <c r="D246" s="1219"/>
      <c r="E246" s="1219"/>
      <c r="F246" s="1217"/>
      <c r="G246" s="1207"/>
      <c r="H246" s="1207"/>
      <c r="I246" s="1207"/>
      <c r="J246" s="1207"/>
      <c r="K246" s="1207"/>
      <c r="L246" s="1208"/>
      <c r="M246" s="1207"/>
      <c r="N246" s="1207"/>
      <c r="O246" s="1207"/>
      <c r="P246" s="1207"/>
      <c r="Q246" s="1207"/>
      <c r="R246" s="1209"/>
      <c r="U246" s="1210"/>
      <c r="V246" s="1211"/>
      <c r="W246" s="1212"/>
      <c r="X246" s="1213"/>
      <c r="Y246" s="1214"/>
      <c r="Z246" s="1220"/>
      <c r="AA246" s="1213"/>
      <c r="AB246" s="1216"/>
      <c r="AC246" s="1159"/>
      <c r="AD246" s="1214"/>
      <c r="AE246" s="1220"/>
      <c r="AF246" s="1213"/>
    </row>
    <row r="247" spans="1:32">
      <c r="A247" s="1217"/>
      <c r="B247" s="1223"/>
      <c r="C247" s="1223"/>
      <c r="D247" s="1223"/>
      <c r="E247" s="1186"/>
      <c r="F247" s="1217"/>
      <c r="G247" s="1207"/>
      <c r="H247" s="1207"/>
      <c r="I247" s="1207"/>
      <c r="J247" s="1207"/>
      <c r="K247" s="1207"/>
      <c r="L247" s="1208"/>
      <c r="M247" s="1207"/>
      <c r="N247" s="1207"/>
      <c r="O247" s="1207"/>
      <c r="P247" s="1207"/>
      <c r="Q247" s="1207"/>
      <c r="R247" s="1209"/>
      <c r="U247" s="1210"/>
      <c r="V247" s="1211"/>
      <c r="W247" s="1212"/>
      <c r="X247" s="1213"/>
      <c r="Y247" s="1227"/>
      <c r="Z247" s="1226"/>
      <c r="AA247" s="1213"/>
      <c r="AB247" s="1216"/>
      <c r="AC247" s="1159"/>
      <c r="AD247" s="1227"/>
      <c r="AE247" s="1228"/>
      <c r="AF247" s="1213"/>
    </row>
    <row r="248" spans="1:32">
      <c r="A248" s="1217"/>
      <c r="B248" s="1223"/>
      <c r="C248" s="1223"/>
      <c r="D248" s="1223"/>
      <c r="E248" s="1244" t="s">
        <v>2829</v>
      </c>
      <c r="F248" s="1217"/>
      <c r="G248" s="1230">
        <f t="shared" ref="G248:U248" si="140">+SUM(G225:G247)</f>
        <v>38633.046661999993</v>
      </c>
      <c r="H248" s="1230">
        <f t="shared" si="140"/>
        <v>3759.4432089999996</v>
      </c>
      <c r="I248" s="1230">
        <f t="shared" si="140"/>
        <v>1876</v>
      </c>
      <c r="J248" s="1230">
        <f t="shared" si="140"/>
        <v>1024</v>
      </c>
      <c r="K248" s="1231">
        <f t="shared" si="140"/>
        <v>139.37333599999999</v>
      </c>
      <c r="L248" s="1230">
        <f t="shared" si="140"/>
        <v>853699.20960000018</v>
      </c>
      <c r="M248" s="1230">
        <f t="shared" si="140"/>
        <v>119536.48999999999</v>
      </c>
      <c r="N248" s="1230">
        <f t="shared" si="140"/>
        <v>45192.71</v>
      </c>
      <c r="O248" s="1230">
        <f t="shared" si="140"/>
        <v>22466.080000000002</v>
      </c>
      <c r="P248" s="1230">
        <f t="shared" si="140"/>
        <v>19089.98</v>
      </c>
      <c r="Q248" s="1230">
        <f t="shared" si="140"/>
        <v>5748.99</v>
      </c>
      <c r="R248" s="1232">
        <f t="shared" si="140"/>
        <v>1065733.4596000002</v>
      </c>
      <c r="S248" s="1233">
        <f t="shared" si="140"/>
        <v>45431.863207000002</v>
      </c>
      <c r="T248" s="1233">
        <f t="shared" si="140"/>
        <v>3039.3733359999997</v>
      </c>
      <c r="U248" s="1233">
        <f t="shared" si="140"/>
        <v>42392.489870999998</v>
      </c>
      <c r="V248" s="1233"/>
      <c r="W248" s="1233"/>
      <c r="X248" s="1233">
        <f>+SUM(X225:X247)</f>
        <v>525019.49091479473</v>
      </c>
      <c r="Y248" s="1233"/>
      <c r="Z248" s="1233"/>
      <c r="AA248" s="1233">
        <f>+SUM(AA225:AA247)</f>
        <v>23253.207303645042</v>
      </c>
      <c r="AB248" s="1233"/>
      <c r="AC248" s="1233">
        <f>+SUM(AC225:AC247)</f>
        <v>944611.20690364507</v>
      </c>
      <c r="AD248" s="1233"/>
      <c r="AE248" s="1233"/>
      <c r="AF248" s="1233">
        <f>+SUM(AF225:AF247)</f>
        <v>34879.785158897939</v>
      </c>
    </row>
    <row r="249" spans="1:32" s="1186" customFormat="1" ht="12" thickBot="1">
      <c r="A249" s="1217"/>
      <c r="B249" s="1223"/>
      <c r="C249" s="1223"/>
      <c r="D249" s="1223"/>
      <c r="F249" s="1217"/>
      <c r="G249" s="1245"/>
      <c r="H249" s="1245"/>
      <c r="I249" s="1245"/>
      <c r="J249" s="1245"/>
      <c r="K249" s="1245"/>
      <c r="L249" s="1246"/>
      <c r="M249" s="1245"/>
      <c r="N249" s="1245"/>
      <c r="O249" s="1245"/>
      <c r="P249" s="1245"/>
      <c r="Q249" s="1245"/>
      <c r="R249" s="1209"/>
      <c r="S249" s="1245"/>
      <c r="T249" s="1245"/>
      <c r="U249" s="1247"/>
      <c r="V249" s="1248"/>
      <c r="W249" s="1249"/>
      <c r="X249" s="1221"/>
      <c r="Y249" s="1250"/>
      <c r="Z249" s="1251"/>
      <c r="AA249" s="1221"/>
      <c r="AB249" s="1252"/>
      <c r="AC249" s="1245"/>
      <c r="AD249" s="1250"/>
      <c r="AE249" s="1253"/>
      <c r="AF249" s="1221"/>
    </row>
    <row r="250" spans="1:32" s="1186" customFormat="1" ht="12.75" thickTop="1" thickBot="1">
      <c r="A250" s="1254"/>
      <c r="B250" s="1254" t="s">
        <v>2830</v>
      </c>
      <c r="C250" s="1254"/>
      <c r="D250" s="1254"/>
      <c r="E250" s="1201"/>
      <c r="F250" s="1202"/>
      <c r="G250" s="1245"/>
      <c r="H250" s="1245"/>
      <c r="I250" s="1245"/>
      <c r="J250" s="1245"/>
      <c r="K250" s="1245"/>
      <c r="L250" s="1246"/>
      <c r="M250" s="1245"/>
      <c r="N250" s="1245"/>
      <c r="O250" s="1245"/>
      <c r="P250" s="1245"/>
      <c r="Q250" s="1245"/>
      <c r="R250" s="1209"/>
      <c r="S250" s="1245"/>
      <c r="T250" s="1245"/>
      <c r="U250" s="1247"/>
      <c r="V250" s="1248"/>
      <c r="W250" s="1249"/>
      <c r="X250" s="1221"/>
      <c r="Y250" s="1250"/>
      <c r="Z250" s="1251"/>
      <c r="AA250" s="1221"/>
      <c r="AB250" s="1252"/>
      <c r="AC250" s="1245"/>
      <c r="AD250" s="1250"/>
      <c r="AE250" s="1253"/>
      <c r="AF250" s="1221"/>
    </row>
    <row r="251" spans="1:32" ht="12" thickTop="1">
      <c r="A251" s="1217">
        <v>2010</v>
      </c>
      <c r="B251" s="1219">
        <v>150299</v>
      </c>
      <c r="C251" s="1219">
        <v>1</v>
      </c>
      <c r="D251" s="1219">
        <v>50299</v>
      </c>
      <c r="E251" s="1219" t="s">
        <v>2831</v>
      </c>
      <c r="F251" s="1217" t="s">
        <v>2969</v>
      </c>
      <c r="G251" s="1207">
        <v>1871.1699990000002</v>
      </c>
      <c r="H251" s="1207">
        <v>82.473337000000001</v>
      </c>
      <c r="I251" s="1207">
        <v>154.49</v>
      </c>
      <c r="J251" s="1207">
        <v>48</v>
      </c>
      <c r="K251" s="1207">
        <v>8</v>
      </c>
      <c r="L251" s="1208">
        <v>32813.699999999997</v>
      </c>
      <c r="M251" s="1207">
        <v>2084.1800000000003</v>
      </c>
      <c r="N251" s="1207">
        <v>2651.79</v>
      </c>
      <c r="O251" s="1207">
        <v>862.40000000000009</v>
      </c>
      <c r="P251" s="1207">
        <v>216</v>
      </c>
      <c r="Q251" s="1207">
        <v>175.93</v>
      </c>
      <c r="R251" s="1209">
        <f t="shared" ref="R251" si="141">SUM(L251:Q251)</f>
        <v>38804</v>
      </c>
      <c r="S251" s="1159">
        <f t="shared" ref="S251" si="142">SUM(G251:K251)</f>
        <v>2164.1333359999999</v>
      </c>
      <c r="T251" s="1159">
        <f t="shared" ref="T251" si="143">I251+J251+K251</f>
        <v>210.49</v>
      </c>
      <c r="U251" s="1210">
        <f t="shared" ref="U251" si="144">S251-T251</f>
        <v>1953.6433359999999</v>
      </c>
      <c r="V251" s="1211"/>
      <c r="W251" s="1212"/>
      <c r="X251" s="1213">
        <f t="shared" ref="X251" si="145">SUM(L251,N251:O251)*((VLOOKUP(Y251,$AJ$9:$AK$30,2,FALSE))/365)</f>
        <v>27370.32808219178</v>
      </c>
      <c r="Y251" s="1214">
        <v>42919</v>
      </c>
      <c r="Z251" s="1220">
        <v>0.22341212121212131</v>
      </c>
      <c r="AA251" s="1213">
        <f t="shared" ref="AA251" si="146">X251*Z251</f>
        <v>6114.8630551141578</v>
      </c>
      <c r="AB251" s="1216"/>
      <c r="AC251" s="1159">
        <f t="shared" ref="AC251" si="147">SUM(L251,N251:O251)+AA251</f>
        <v>42442.753055114154</v>
      </c>
      <c r="AD251" s="1214">
        <v>43282</v>
      </c>
      <c r="AE251" s="1220">
        <v>2.5000000000000001E-2</v>
      </c>
      <c r="AF251" s="1213">
        <f t="shared" ref="AF251" si="148">AC251*AE251</f>
        <v>1061.0688263778538</v>
      </c>
    </row>
    <row r="252" spans="1:32">
      <c r="A252" s="1217"/>
      <c r="B252" s="1219"/>
      <c r="C252" s="1219"/>
      <c r="D252" s="1219"/>
      <c r="E252" s="1219"/>
      <c r="F252" s="1217"/>
      <c r="G252" s="1207"/>
      <c r="H252" s="1207"/>
      <c r="I252" s="1207"/>
      <c r="J252" s="1207"/>
      <c r="K252" s="1207"/>
      <c r="L252" s="1208"/>
      <c r="M252" s="1207"/>
      <c r="N252" s="1207"/>
      <c r="O252" s="1207"/>
      <c r="P252" s="1207"/>
      <c r="Q252" s="1207"/>
      <c r="R252" s="1209"/>
      <c r="U252" s="1210"/>
      <c r="V252" s="1211"/>
      <c r="W252" s="1212"/>
      <c r="X252" s="1213"/>
      <c r="Y252" s="1214"/>
      <c r="Z252" s="1215"/>
      <c r="AA252" s="1213"/>
      <c r="AB252" s="1216"/>
      <c r="AC252" s="1159"/>
      <c r="AD252" s="1214"/>
      <c r="AE252" s="1215"/>
      <c r="AF252" s="1213"/>
    </row>
    <row r="253" spans="1:32">
      <c r="A253" s="1217"/>
      <c r="B253" s="1223"/>
      <c r="C253" s="1223"/>
      <c r="D253" s="1223"/>
      <c r="E253" s="1244" t="s">
        <v>2832</v>
      </c>
      <c r="F253" s="1217"/>
      <c r="G253" s="1230">
        <f t="shared" ref="G253:U253" si="149">+SUM(G251:G252)</f>
        <v>1871.1699990000002</v>
      </c>
      <c r="H253" s="1230">
        <f t="shared" si="149"/>
        <v>82.473337000000001</v>
      </c>
      <c r="I253" s="1230">
        <f t="shared" si="149"/>
        <v>154.49</v>
      </c>
      <c r="J253" s="1230">
        <f t="shared" si="149"/>
        <v>48</v>
      </c>
      <c r="K253" s="1230">
        <f t="shared" si="149"/>
        <v>8</v>
      </c>
      <c r="L253" s="1230">
        <f t="shared" si="149"/>
        <v>32813.699999999997</v>
      </c>
      <c r="M253" s="1230">
        <f t="shared" si="149"/>
        <v>2084.1800000000003</v>
      </c>
      <c r="N253" s="1230">
        <f t="shared" si="149"/>
        <v>2651.79</v>
      </c>
      <c r="O253" s="1230">
        <f t="shared" si="149"/>
        <v>862.40000000000009</v>
      </c>
      <c r="P253" s="1230">
        <f t="shared" si="149"/>
        <v>216</v>
      </c>
      <c r="Q253" s="1230">
        <f t="shared" si="149"/>
        <v>175.93</v>
      </c>
      <c r="R253" s="1233">
        <f t="shared" si="149"/>
        <v>38804</v>
      </c>
      <c r="S253" s="1242">
        <f t="shared" si="149"/>
        <v>2164.1333359999999</v>
      </c>
      <c r="T253" s="1242">
        <f t="shared" si="149"/>
        <v>210.49</v>
      </c>
      <c r="U253" s="1242">
        <f t="shared" si="149"/>
        <v>1953.6433359999999</v>
      </c>
      <c r="V253" s="1242"/>
      <c r="W253" s="1242"/>
      <c r="X253" s="1242">
        <f>+SUM(X251:X252)</f>
        <v>27370.32808219178</v>
      </c>
      <c r="Y253" s="1242">
        <f>+SUM(Y251:Y252)</f>
        <v>42919</v>
      </c>
      <c r="Z253" s="1242"/>
      <c r="AA253" s="1242">
        <f>+SUM(AA251:AA252)</f>
        <v>6114.8630551141578</v>
      </c>
      <c r="AB253" s="1242"/>
      <c r="AC253" s="1242">
        <f>+SUM(AC251:AC252)</f>
        <v>42442.753055114154</v>
      </c>
      <c r="AD253" s="1242"/>
      <c r="AE253" s="1242"/>
      <c r="AF253" s="1242">
        <f>+SUM(AF251:AF252)</f>
        <v>1061.0688263778538</v>
      </c>
    </row>
    <row r="254" spans="1:32" s="1259" customFormat="1" ht="12" thickBot="1">
      <c r="A254" s="1217"/>
      <c r="B254" s="1219"/>
      <c r="C254" s="1219"/>
      <c r="D254" s="1219"/>
      <c r="E254" s="1219"/>
      <c r="F254" s="1217"/>
      <c r="G254" s="1207"/>
      <c r="H254" s="1207"/>
      <c r="I254" s="1207"/>
      <c r="J254" s="1207"/>
      <c r="K254" s="1207"/>
      <c r="L254" s="1208"/>
      <c r="M254" s="1207"/>
      <c r="N254" s="1207"/>
      <c r="O254" s="1207"/>
      <c r="P254" s="1207"/>
      <c r="Q254" s="1207"/>
      <c r="R254" s="1209"/>
      <c r="S254" s="1159"/>
      <c r="T254" s="1159"/>
      <c r="U254" s="1210"/>
      <c r="V254" s="1211"/>
      <c r="W254" s="1212"/>
      <c r="X254" s="1213"/>
      <c r="Y254" s="1214"/>
      <c r="Z254" s="1215"/>
      <c r="AA254" s="1257"/>
      <c r="AB254" s="1258"/>
      <c r="AC254" s="1159"/>
      <c r="AD254" s="1214"/>
      <c r="AE254" s="1215"/>
      <c r="AF254" s="1213"/>
    </row>
    <row r="255" spans="1:32" s="1186" customFormat="1" ht="12.75" thickTop="1" thickBot="1">
      <c r="A255" s="1254"/>
      <c r="B255" s="1254" t="s">
        <v>2833</v>
      </c>
      <c r="C255" s="1254"/>
      <c r="D255" s="1254"/>
      <c r="E255" s="1201"/>
      <c r="F255" s="1202"/>
      <c r="G255" s="1245"/>
      <c r="H255" s="1245"/>
      <c r="I255" s="1245"/>
      <c r="J255" s="1245"/>
      <c r="K255" s="1245"/>
      <c r="L255" s="1246"/>
      <c r="M255" s="1245"/>
      <c r="N255" s="1245"/>
      <c r="O255" s="1245"/>
      <c r="P255" s="1245"/>
      <c r="Q255" s="1245"/>
      <c r="R255" s="1209"/>
      <c r="S255" s="1245"/>
      <c r="T255" s="1245"/>
      <c r="U255" s="1247"/>
      <c r="V255" s="1248"/>
      <c r="W255" s="1249"/>
      <c r="X255" s="1221"/>
      <c r="Y255" s="1250"/>
      <c r="Z255" s="1251"/>
      <c r="AA255" s="1221"/>
      <c r="AB255" s="1252"/>
      <c r="AC255" s="1245"/>
      <c r="AD255" s="1250"/>
      <c r="AE255" s="1253"/>
      <c r="AF255" s="1221"/>
    </row>
    <row r="256" spans="1:32" ht="12" thickTop="1">
      <c r="A256" s="1217">
        <v>2010</v>
      </c>
      <c r="B256" s="1219">
        <v>159326</v>
      </c>
      <c r="C256" s="1219">
        <v>1</v>
      </c>
      <c r="D256" s="1219">
        <v>59326</v>
      </c>
      <c r="E256" s="1219" t="s">
        <v>2834</v>
      </c>
      <c r="F256" s="1217" t="s">
        <v>2970</v>
      </c>
      <c r="G256" s="1207">
        <v>1369.4666689999999</v>
      </c>
      <c r="H256" s="1207">
        <v>19.116661000000001</v>
      </c>
      <c r="I256" s="1207">
        <v>30</v>
      </c>
      <c r="J256" s="1207">
        <v>24</v>
      </c>
      <c r="K256" s="1207">
        <v>8</v>
      </c>
      <c r="L256" s="1208">
        <v>20966.169999999998</v>
      </c>
      <c r="M256" s="1207">
        <v>435.39000000000004</v>
      </c>
      <c r="N256" s="1207">
        <v>477.9</v>
      </c>
      <c r="O256" s="1207">
        <v>379.76</v>
      </c>
      <c r="P256" s="1207">
        <v>0</v>
      </c>
      <c r="Q256" s="1207">
        <v>124.88</v>
      </c>
      <c r="R256" s="1209">
        <f t="shared" ref="R256:R269" si="150">SUM(L256:Q256)</f>
        <v>22384.1</v>
      </c>
      <c r="S256" s="1159">
        <f t="shared" ref="S256:S269" si="151">SUM(G256:K256)</f>
        <v>1450.5833299999999</v>
      </c>
      <c r="T256" s="1159">
        <f t="shared" ref="T256:T269" si="152">I256+J256+K256</f>
        <v>62</v>
      </c>
      <c r="U256" s="1210">
        <f t="shared" ref="U256:U269" si="153">S256-T256</f>
        <v>1388.5833299999999</v>
      </c>
      <c r="V256" s="1211"/>
      <c r="W256" s="1212"/>
      <c r="X256" s="1213">
        <f t="shared" ref="X256:X264" si="154">SUM(L256,N256:O256)*((VLOOKUP(Y256,$AJ$9:$AK$30,2,FALSE))/365)</f>
        <v>15186.994027397259</v>
      </c>
      <c r="Y256" s="1214">
        <v>42898</v>
      </c>
      <c r="Z256" s="1220">
        <v>0.13785714285714282</v>
      </c>
      <c r="AA256" s="1213">
        <f t="shared" ref="AA256:AA269" si="155">X256*Z256</f>
        <v>2093.6356052054784</v>
      </c>
      <c r="AB256" s="1216"/>
      <c r="AC256" s="1159">
        <f t="shared" ref="AC256:AC269" si="156">SUM(L256,N256:O256)+AA256</f>
        <v>23917.465605205478</v>
      </c>
      <c r="AD256" s="1214">
        <v>43252</v>
      </c>
      <c r="AE256" s="1220">
        <v>2.5000000000000001E-2</v>
      </c>
      <c r="AF256" s="1213">
        <f t="shared" ref="AF256:AF269" si="157">AC256*AE256</f>
        <v>597.93664013013699</v>
      </c>
    </row>
    <row r="257" spans="1:32">
      <c r="A257" s="1217">
        <v>2010</v>
      </c>
      <c r="B257" s="1219">
        <v>102442</v>
      </c>
      <c r="C257" s="1219">
        <v>1</v>
      </c>
      <c r="D257" s="1219">
        <v>2442</v>
      </c>
      <c r="E257" s="1219" t="s">
        <v>2835</v>
      </c>
      <c r="F257" s="1217" t="s">
        <v>2970</v>
      </c>
      <c r="G257" s="1207">
        <v>1742.336665</v>
      </c>
      <c r="H257" s="1207">
        <v>60.586666999999991</v>
      </c>
      <c r="I257" s="1207">
        <v>188</v>
      </c>
      <c r="J257" s="1207">
        <v>48</v>
      </c>
      <c r="K257" s="1207">
        <v>16</v>
      </c>
      <c r="L257" s="1208">
        <v>35772.319900000002</v>
      </c>
      <c r="M257" s="1207">
        <v>1861.5899999999997</v>
      </c>
      <c r="N257" s="1207">
        <v>3861.9599999999996</v>
      </c>
      <c r="O257" s="1207">
        <v>986.56000000000006</v>
      </c>
      <c r="P257" s="1207">
        <v>0</v>
      </c>
      <c r="Q257" s="1207">
        <v>379.47</v>
      </c>
      <c r="R257" s="1209">
        <f t="shared" si="150"/>
        <v>42861.899899999997</v>
      </c>
      <c r="S257" s="1159">
        <f t="shared" si="151"/>
        <v>2054.9233320000003</v>
      </c>
      <c r="T257" s="1159">
        <f t="shared" si="152"/>
        <v>252</v>
      </c>
      <c r="U257" s="1210">
        <f t="shared" si="153"/>
        <v>1802.9233320000003</v>
      </c>
      <c r="V257" s="1211"/>
      <c r="W257" s="1212"/>
      <c r="X257" s="1213">
        <f t="shared" si="154"/>
        <v>27043.463275890412</v>
      </c>
      <c r="Y257" s="1214">
        <v>42887</v>
      </c>
      <c r="Z257" s="1220">
        <v>1.5158924205379084E-2</v>
      </c>
      <c r="AA257" s="1213">
        <f t="shared" si="155"/>
        <v>409.94981005017553</v>
      </c>
      <c r="AB257" s="1216"/>
      <c r="AC257" s="1159">
        <f t="shared" si="156"/>
        <v>41030.789710050172</v>
      </c>
      <c r="AD257" s="1214">
        <v>43252</v>
      </c>
      <c r="AE257" s="1220">
        <v>2.5000000000000001E-2</v>
      </c>
      <c r="AF257" s="1213">
        <f t="shared" si="157"/>
        <v>1025.7697427512544</v>
      </c>
    </row>
    <row r="258" spans="1:32">
      <c r="A258" s="1217">
        <v>2010</v>
      </c>
      <c r="B258" s="1219">
        <v>158199</v>
      </c>
      <c r="C258" s="1219">
        <v>1</v>
      </c>
      <c r="D258" s="1219">
        <v>58199</v>
      </c>
      <c r="E258" s="1219" t="s">
        <v>2836</v>
      </c>
      <c r="F258" s="1217" t="s">
        <v>2970</v>
      </c>
      <c r="G258" s="1207">
        <v>1765.2033370000004</v>
      </c>
      <c r="H258" s="1207">
        <v>96.959997999999985</v>
      </c>
      <c r="I258" s="1207">
        <v>64</v>
      </c>
      <c r="J258" s="1207">
        <v>40</v>
      </c>
      <c r="K258" s="1207">
        <v>8</v>
      </c>
      <c r="L258" s="1208">
        <v>26915.190000000006</v>
      </c>
      <c r="M258" s="1207">
        <v>2231.3099999999995</v>
      </c>
      <c r="N258" s="1207">
        <v>986</v>
      </c>
      <c r="O258" s="1207">
        <v>613.83999999999992</v>
      </c>
      <c r="P258" s="1207">
        <v>220.83</v>
      </c>
      <c r="Q258" s="1207">
        <v>155.07</v>
      </c>
      <c r="R258" s="1209">
        <f t="shared" si="150"/>
        <v>31122.240000000009</v>
      </c>
      <c r="S258" s="1159">
        <f t="shared" si="151"/>
        <v>1974.1633350000004</v>
      </c>
      <c r="T258" s="1159">
        <f t="shared" si="152"/>
        <v>112</v>
      </c>
      <c r="U258" s="1210">
        <f t="shared" si="153"/>
        <v>1862.1633350000004</v>
      </c>
      <c r="V258" s="1211"/>
      <c r="W258" s="1212"/>
      <c r="X258" s="1213">
        <f t="shared" si="154"/>
        <v>18983.978876712335</v>
      </c>
      <c r="Y258" s="1214">
        <v>42887</v>
      </c>
      <c r="Z258" s="1220">
        <v>0.13785714285714262</v>
      </c>
      <c r="AA258" s="1213">
        <f t="shared" si="155"/>
        <v>2617.0770880039104</v>
      </c>
      <c r="AB258" s="1216"/>
      <c r="AC258" s="1159">
        <f t="shared" si="156"/>
        <v>31132.107088003915</v>
      </c>
      <c r="AD258" s="1214"/>
      <c r="AE258" s="1220">
        <v>0</v>
      </c>
      <c r="AF258" s="1213">
        <f t="shared" si="157"/>
        <v>0</v>
      </c>
    </row>
    <row r="259" spans="1:32">
      <c r="A259" s="1217">
        <v>2010</v>
      </c>
      <c r="B259" s="1219">
        <v>300548</v>
      </c>
      <c r="C259" s="1219">
        <v>3</v>
      </c>
      <c r="D259" s="1219">
        <v>548</v>
      </c>
      <c r="E259" s="1219" t="s">
        <v>2837</v>
      </c>
      <c r="F259" s="1217" t="s">
        <v>2970</v>
      </c>
      <c r="G259" s="1207">
        <v>1031.900001</v>
      </c>
      <c r="H259" s="1207">
        <v>23.083335999999999</v>
      </c>
      <c r="I259" s="1207">
        <v>0</v>
      </c>
      <c r="J259" s="1207">
        <v>16</v>
      </c>
      <c r="K259" s="1207">
        <v>0</v>
      </c>
      <c r="L259" s="1208">
        <v>14446.609999999999</v>
      </c>
      <c r="M259" s="1207">
        <v>484.93</v>
      </c>
      <c r="N259" s="1207">
        <v>0</v>
      </c>
      <c r="O259" s="1207">
        <v>224</v>
      </c>
      <c r="P259" s="1207">
        <v>0</v>
      </c>
      <c r="Q259" s="1207">
        <v>0</v>
      </c>
      <c r="R259" s="1209">
        <f t="shared" si="150"/>
        <v>15155.539999999999</v>
      </c>
      <c r="S259" s="1159">
        <f t="shared" si="151"/>
        <v>1070.9833369999999</v>
      </c>
      <c r="T259" s="1159">
        <f t="shared" si="152"/>
        <v>16</v>
      </c>
      <c r="U259" s="1210">
        <f t="shared" si="153"/>
        <v>1054.9833369999999</v>
      </c>
      <c r="V259" s="1211"/>
      <c r="W259" s="1212"/>
      <c r="X259" s="1213"/>
      <c r="Y259" s="1214"/>
      <c r="Z259" s="1220">
        <v>0</v>
      </c>
      <c r="AA259" s="1213">
        <f t="shared" si="155"/>
        <v>0</v>
      </c>
      <c r="AB259" s="1216"/>
      <c r="AC259" s="1159">
        <f t="shared" si="156"/>
        <v>14670.609999999999</v>
      </c>
      <c r="AD259" s="1214">
        <v>43252</v>
      </c>
      <c r="AE259" s="1220">
        <v>2.5000000000000001E-2</v>
      </c>
      <c r="AF259" s="1213">
        <f t="shared" si="157"/>
        <v>366.76524999999998</v>
      </c>
    </row>
    <row r="260" spans="1:32">
      <c r="A260" s="1217">
        <v>2010</v>
      </c>
      <c r="B260" s="1219">
        <v>102142</v>
      </c>
      <c r="C260" s="1219">
        <v>1</v>
      </c>
      <c r="D260" s="1219">
        <v>2142</v>
      </c>
      <c r="E260" s="1219" t="s">
        <v>2838</v>
      </c>
      <c r="F260" s="1217" t="s">
        <v>2970</v>
      </c>
      <c r="G260" s="1207">
        <v>1806.403331</v>
      </c>
      <c r="H260" s="1207">
        <v>109.33666400000001</v>
      </c>
      <c r="I260" s="1207">
        <v>229</v>
      </c>
      <c r="J260" s="1207">
        <v>48</v>
      </c>
      <c r="K260" s="1207">
        <v>8</v>
      </c>
      <c r="L260" s="1208">
        <v>25913.270000000008</v>
      </c>
      <c r="M260" s="1207">
        <v>2389.5</v>
      </c>
      <c r="N260" s="1207">
        <v>3315.7200000000003</v>
      </c>
      <c r="O260" s="1207">
        <v>690.24</v>
      </c>
      <c r="P260" s="1207">
        <v>1425.59</v>
      </c>
      <c r="Q260" s="1207">
        <v>151.35999999999999</v>
      </c>
      <c r="R260" s="1209">
        <f t="shared" si="150"/>
        <v>33885.680000000008</v>
      </c>
      <c r="S260" s="1159">
        <f t="shared" si="151"/>
        <v>2200.7399949999999</v>
      </c>
      <c r="T260" s="1159">
        <f t="shared" si="152"/>
        <v>285</v>
      </c>
      <c r="U260" s="1210">
        <f t="shared" si="153"/>
        <v>1915.7399949999999</v>
      </c>
      <c r="V260" s="1211"/>
      <c r="W260" s="1212"/>
      <c r="X260" s="1213">
        <f t="shared" si="154"/>
        <v>19918.829835616445</v>
      </c>
      <c r="Y260" s="1214">
        <v>42887</v>
      </c>
      <c r="Z260" s="1220">
        <v>2.1008403361344588E-2</v>
      </c>
      <c r="AA260" s="1213">
        <f t="shared" si="155"/>
        <v>418.46281167261537</v>
      </c>
      <c r="AB260" s="1216"/>
      <c r="AC260" s="1159">
        <f t="shared" si="156"/>
        <v>30337.692811672627</v>
      </c>
      <c r="AD260" s="1214">
        <v>43252</v>
      </c>
      <c r="AE260" s="1220">
        <v>2.5000000000000001E-2</v>
      </c>
      <c r="AF260" s="1213">
        <f t="shared" si="157"/>
        <v>758.44232029181569</v>
      </c>
    </row>
    <row r="261" spans="1:32">
      <c r="A261" s="1217">
        <v>2010</v>
      </c>
      <c r="B261" s="1219">
        <v>116053</v>
      </c>
      <c r="C261" s="1219">
        <v>1</v>
      </c>
      <c r="D261" s="1219">
        <v>16053</v>
      </c>
      <c r="E261" s="1219" t="s">
        <v>2839</v>
      </c>
      <c r="F261" s="1217" t="s">
        <v>2970</v>
      </c>
      <c r="G261" s="1207">
        <v>1893.583335</v>
      </c>
      <c r="H261" s="1207">
        <v>147.03000700000001</v>
      </c>
      <c r="I261" s="1207">
        <v>160</v>
      </c>
      <c r="J261" s="1207">
        <v>48</v>
      </c>
      <c r="K261" s="1207">
        <v>0</v>
      </c>
      <c r="L261" s="1208">
        <v>29705.319900000006</v>
      </c>
      <c r="M261" s="1207">
        <v>3517.87</v>
      </c>
      <c r="N261" s="1207">
        <v>2511.84</v>
      </c>
      <c r="O261" s="1207">
        <v>754.07999999999993</v>
      </c>
      <c r="P261" s="1207">
        <v>1425.59</v>
      </c>
      <c r="Q261" s="1207">
        <v>37.119999999999997</v>
      </c>
      <c r="R261" s="1209">
        <f t="shared" si="150"/>
        <v>37951.81990000001</v>
      </c>
      <c r="S261" s="1159">
        <f t="shared" si="151"/>
        <v>2248.6133420000001</v>
      </c>
      <c r="T261" s="1159">
        <f t="shared" si="152"/>
        <v>208</v>
      </c>
      <c r="U261" s="1210">
        <f t="shared" si="153"/>
        <v>2040.6133420000001</v>
      </c>
      <c r="V261" s="1211"/>
      <c r="W261" s="1212"/>
      <c r="X261" s="1213">
        <f t="shared" si="154"/>
        <v>21950.715878630144</v>
      </c>
      <c r="Y261" s="1214">
        <v>42887</v>
      </c>
      <c r="Z261" s="1220">
        <v>2.1153846153846158E-2</v>
      </c>
      <c r="AA261" s="1213">
        <f t="shared" si="155"/>
        <v>464.34206666333006</v>
      </c>
      <c r="AB261" s="1216"/>
      <c r="AC261" s="1159">
        <f t="shared" si="156"/>
        <v>33435.58196666334</v>
      </c>
      <c r="AD261" s="1214">
        <v>43252</v>
      </c>
      <c r="AE261" s="1220">
        <v>2.5000000000000001E-2</v>
      </c>
      <c r="AF261" s="1213">
        <f t="shared" si="157"/>
        <v>835.88954916658349</v>
      </c>
    </row>
    <row r="262" spans="1:32">
      <c r="A262" s="1217">
        <v>2010</v>
      </c>
      <c r="B262" s="1219">
        <v>300376</v>
      </c>
      <c r="C262" s="1219">
        <v>3</v>
      </c>
      <c r="D262" s="1219">
        <v>376</v>
      </c>
      <c r="E262" s="1219" t="s">
        <v>2840</v>
      </c>
      <c r="F262" s="1217" t="s">
        <v>2970</v>
      </c>
      <c r="G262" s="1207">
        <v>910.33333399999992</v>
      </c>
      <c r="H262" s="1207">
        <v>80.333332000000013</v>
      </c>
      <c r="I262" s="1207">
        <v>0</v>
      </c>
      <c r="J262" s="1207">
        <v>16.5</v>
      </c>
      <c r="K262" s="1207">
        <v>0</v>
      </c>
      <c r="L262" s="1208">
        <v>12744.69</v>
      </c>
      <c r="M262" s="1207">
        <v>1687.1599999999999</v>
      </c>
      <c r="N262" s="1207">
        <v>0</v>
      </c>
      <c r="O262" s="1207">
        <v>231</v>
      </c>
      <c r="P262" s="1207">
        <v>0</v>
      </c>
      <c r="Q262" s="1207">
        <v>0</v>
      </c>
      <c r="R262" s="1209">
        <f t="shared" si="150"/>
        <v>14662.85</v>
      </c>
      <c r="S262" s="1159">
        <f t="shared" si="151"/>
        <v>1007.166666</v>
      </c>
      <c r="T262" s="1159">
        <f t="shared" si="152"/>
        <v>16.5</v>
      </c>
      <c r="U262" s="1210">
        <f t="shared" si="153"/>
        <v>990.66666599999996</v>
      </c>
      <c r="V262" s="1211"/>
      <c r="W262" s="1212"/>
      <c r="X262" s="1213"/>
      <c r="Y262" s="1214"/>
      <c r="Z262" s="1220">
        <v>0</v>
      </c>
      <c r="AA262" s="1213">
        <f t="shared" si="155"/>
        <v>0</v>
      </c>
      <c r="AB262" s="1216"/>
      <c r="AC262" s="1159">
        <f t="shared" si="156"/>
        <v>12975.69</v>
      </c>
      <c r="AD262" s="1214">
        <v>43252</v>
      </c>
      <c r="AE262" s="1220">
        <v>2.5000000000000001E-2</v>
      </c>
      <c r="AF262" s="1213">
        <f t="shared" si="157"/>
        <v>324.39225000000005</v>
      </c>
    </row>
    <row r="263" spans="1:32">
      <c r="A263" s="1217">
        <v>2010</v>
      </c>
      <c r="B263" s="1219">
        <v>116835</v>
      </c>
      <c r="C263" s="1219">
        <v>1</v>
      </c>
      <c r="D263" s="1219">
        <v>16835</v>
      </c>
      <c r="E263" s="1219" t="s">
        <v>2841</v>
      </c>
      <c r="F263" s="1217" t="s">
        <v>2970</v>
      </c>
      <c r="G263" s="1207">
        <v>1891.0066680000004</v>
      </c>
      <c r="H263" s="1207">
        <v>191.96332800000002</v>
      </c>
      <c r="I263" s="1207">
        <v>160</v>
      </c>
      <c r="J263" s="1207">
        <v>48</v>
      </c>
      <c r="K263" s="1207">
        <v>0</v>
      </c>
      <c r="L263" s="1208">
        <v>29662.020000000011</v>
      </c>
      <c r="M263" s="1207">
        <v>4577.8</v>
      </c>
      <c r="N263" s="1207">
        <v>2509.1999999999998</v>
      </c>
      <c r="O263" s="1207">
        <v>754.07999999999993</v>
      </c>
      <c r="P263" s="1207">
        <v>1425.59</v>
      </c>
      <c r="Q263" s="1207">
        <v>37.119999999999997</v>
      </c>
      <c r="R263" s="1209">
        <f t="shared" si="150"/>
        <v>38965.810000000012</v>
      </c>
      <c r="S263" s="1159">
        <f t="shared" si="151"/>
        <v>2290.9699960000003</v>
      </c>
      <c r="T263" s="1159">
        <f t="shared" si="152"/>
        <v>208</v>
      </c>
      <c r="U263" s="1210">
        <f t="shared" si="153"/>
        <v>2082.9699960000003</v>
      </c>
      <c r="V263" s="1211"/>
      <c r="W263" s="1212"/>
      <c r="X263" s="1213">
        <f t="shared" si="154"/>
        <v>21920.13123287672</v>
      </c>
      <c r="Y263" s="1214">
        <v>42887</v>
      </c>
      <c r="Z263" s="1220">
        <v>2.1153846153846158E-2</v>
      </c>
      <c r="AA263" s="1213">
        <f t="shared" si="155"/>
        <v>463.69508377239225</v>
      </c>
      <c r="AB263" s="1216"/>
      <c r="AC263" s="1159">
        <f t="shared" si="156"/>
        <v>33388.995083772403</v>
      </c>
      <c r="AD263" s="1214">
        <v>43252</v>
      </c>
      <c r="AE263" s="1220">
        <v>2.5000000000000001E-2</v>
      </c>
      <c r="AF263" s="1213">
        <f t="shared" si="157"/>
        <v>834.72487709431016</v>
      </c>
    </row>
    <row r="264" spans="1:32">
      <c r="A264" s="1217">
        <v>2010</v>
      </c>
      <c r="B264" s="1219">
        <v>116808</v>
      </c>
      <c r="C264" s="1219">
        <v>1</v>
      </c>
      <c r="D264" s="1219">
        <v>16808</v>
      </c>
      <c r="E264" s="1219" t="s">
        <v>2842</v>
      </c>
      <c r="F264" s="1217" t="s">
        <v>2970</v>
      </c>
      <c r="G264" s="1207">
        <v>1899.100003</v>
      </c>
      <c r="H264" s="1207">
        <v>122.66333500000003</v>
      </c>
      <c r="I264" s="1207">
        <v>176</v>
      </c>
      <c r="J264" s="1207">
        <v>48</v>
      </c>
      <c r="K264" s="1207">
        <v>8</v>
      </c>
      <c r="L264" s="1208">
        <v>31007.34</v>
      </c>
      <c r="M264" s="1207">
        <v>3038.17</v>
      </c>
      <c r="N264" s="1207">
        <v>2877.2799999999997</v>
      </c>
      <c r="O264" s="1207">
        <v>784.95999999999992</v>
      </c>
      <c r="P264" s="1207">
        <v>1425.59</v>
      </c>
      <c r="Q264" s="1207">
        <v>170.38</v>
      </c>
      <c r="R264" s="1209">
        <f t="shared" si="150"/>
        <v>39303.719999999994</v>
      </c>
      <c r="S264" s="1159">
        <f t="shared" si="151"/>
        <v>2253.7633379999997</v>
      </c>
      <c r="T264" s="1159">
        <f t="shared" si="152"/>
        <v>232</v>
      </c>
      <c r="U264" s="1210">
        <f t="shared" si="153"/>
        <v>2021.7633379999997</v>
      </c>
      <c r="V264" s="1211"/>
      <c r="W264" s="1212"/>
      <c r="X264" s="1213">
        <f t="shared" si="154"/>
        <v>23081.391616438359</v>
      </c>
      <c r="Y264" s="1214">
        <v>42887</v>
      </c>
      <c r="Z264" s="1220">
        <v>2.0935960591132997E-2</v>
      </c>
      <c r="AA264" s="1213">
        <f t="shared" si="155"/>
        <v>483.23110527026103</v>
      </c>
      <c r="AB264" s="1216"/>
      <c r="AC264" s="1159">
        <f t="shared" si="156"/>
        <v>35152.811105270266</v>
      </c>
      <c r="AD264" s="1214">
        <v>43252</v>
      </c>
      <c r="AE264" s="1220">
        <v>2.5000000000000001E-2</v>
      </c>
      <c r="AF264" s="1213">
        <f t="shared" si="157"/>
        <v>878.82027763175665</v>
      </c>
    </row>
    <row r="265" spans="1:32">
      <c r="A265" s="1217">
        <v>2010</v>
      </c>
      <c r="B265" s="1219">
        <v>117855</v>
      </c>
      <c r="C265" s="1219">
        <v>1</v>
      </c>
      <c r="D265" s="1219">
        <v>17855</v>
      </c>
      <c r="E265" s="1219" t="s">
        <v>2843</v>
      </c>
      <c r="F265" s="1217" t="s">
        <v>2970</v>
      </c>
      <c r="G265" s="1207">
        <v>514.26666599999999</v>
      </c>
      <c r="H265" s="1207">
        <v>11.91</v>
      </c>
      <c r="I265" s="1207">
        <v>31.819999999999993</v>
      </c>
      <c r="J265" s="1207">
        <v>24</v>
      </c>
      <c r="K265" s="1207">
        <v>0</v>
      </c>
      <c r="L265" s="1208">
        <v>8022.56</v>
      </c>
      <c r="M265" s="1207">
        <v>278.69</v>
      </c>
      <c r="N265" s="1207">
        <v>496.38999999999987</v>
      </c>
      <c r="O265" s="1207">
        <v>374.4</v>
      </c>
      <c r="P265" s="1207">
        <v>0</v>
      </c>
      <c r="Q265" s="1207">
        <v>37.11</v>
      </c>
      <c r="R265" s="1209">
        <f t="shared" si="150"/>
        <v>9209.15</v>
      </c>
      <c r="S265" s="1159">
        <f t="shared" si="151"/>
        <v>581.996666</v>
      </c>
      <c r="T265" s="1159">
        <f t="shared" si="152"/>
        <v>55.819999999999993</v>
      </c>
      <c r="U265" s="1210">
        <f t="shared" si="153"/>
        <v>526.17666600000007</v>
      </c>
      <c r="V265" s="1211"/>
      <c r="W265" s="1212"/>
      <c r="X265" s="1213"/>
      <c r="Y265" s="1214"/>
      <c r="Z265" s="1220">
        <v>0</v>
      </c>
      <c r="AA265" s="1213">
        <f t="shared" si="155"/>
        <v>0</v>
      </c>
      <c r="AB265" s="1216"/>
      <c r="AC265" s="1159">
        <f t="shared" si="156"/>
        <v>8893.35</v>
      </c>
      <c r="AD265" s="1214"/>
      <c r="AE265" s="1220">
        <v>0</v>
      </c>
      <c r="AF265" s="1213">
        <f t="shared" si="157"/>
        <v>0</v>
      </c>
    </row>
    <row r="266" spans="1:32">
      <c r="A266" s="1217">
        <v>2010</v>
      </c>
      <c r="B266" s="1219">
        <v>157956</v>
      </c>
      <c r="C266" s="1219">
        <v>1</v>
      </c>
      <c r="D266" s="1219">
        <v>57956</v>
      </c>
      <c r="E266" s="1219" t="s">
        <v>2844</v>
      </c>
      <c r="F266" s="1217" t="s">
        <v>930</v>
      </c>
      <c r="G266" s="1207">
        <v>427.95</v>
      </c>
      <c r="H266" s="1207">
        <v>7.8199999999999994</v>
      </c>
      <c r="I266" s="1207">
        <v>16</v>
      </c>
      <c r="J266" s="1207">
        <v>8</v>
      </c>
      <c r="K266" s="1207">
        <v>0</v>
      </c>
      <c r="L266" s="1208">
        <v>5991.3</v>
      </c>
      <c r="M266" s="1207">
        <v>164.22</v>
      </c>
      <c r="N266" s="1207">
        <v>224</v>
      </c>
      <c r="O266" s="1207">
        <v>112</v>
      </c>
      <c r="P266" s="1207">
        <v>449.17</v>
      </c>
      <c r="Q266" s="1207">
        <v>0</v>
      </c>
      <c r="R266" s="1209">
        <f t="shared" si="150"/>
        <v>6940.6900000000005</v>
      </c>
      <c r="S266" s="1159">
        <f t="shared" si="151"/>
        <v>459.77</v>
      </c>
      <c r="T266" s="1159">
        <f t="shared" si="152"/>
        <v>24</v>
      </c>
      <c r="U266" s="1210">
        <f t="shared" si="153"/>
        <v>435.77</v>
      </c>
      <c r="V266" s="1211"/>
      <c r="W266" s="1212"/>
      <c r="X266" s="1213"/>
      <c r="Y266" s="1214"/>
      <c r="Z266" s="1220">
        <v>0</v>
      </c>
      <c r="AA266" s="1213">
        <f t="shared" si="155"/>
        <v>0</v>
      </c>
      <c r="AB266" s="1216"/>
      <c r="AC266" s="1159">
        <f t="shared" si="156"/>
        <v>6327.3</v>
      </c>
      <c r="AD266" s="1214"/>
      <c r="AE266" s="1220">
        <v>0</v>
      </c>
      <c r="AF266" s="1213">
        <f t="shared" si="157"/>
        <v>0</v>
      </c>
    </row>
    <row r="267" spans="1:32">
      <c r="A267" s="1217">
        <v>2010</v>
      </c>
      <c r="B267" s="1219">
        <v>102367</v>
      </c>
      <c r="C267" s="1219">
        <v>1</v>
      </c>
      <c r="D267" s="1219">
        <v>2367</v>
      </c>
      <c r="E267" s="1219" t="s">
        <v>2845</v>
      </c>
      <c r="F267" s="1217" t="s">
        <v>930</v>
      </c>
      <c r="G267" s="1207">
        <v>315.12</v>
      </c>
      <c r="H267" s="1207">
        <v>2.8000000000000003</v>
      </c>
      <c r="I267" s="1207">
        <v>223</v>
      </c>
      <c r="J267" s="1207">
        <v>8</v>
      </c>
      <c r="K267" s="1207">
        <v>0</v>
      </c>
      <c r="L267" s="1208">
        <v>6255.13</v>
      </c>
      <c r="M267" s="1207">
        <v>83.37</v>
      </c>
      <c r="N267" s="1207">
        <v>4426.55</v>
      </c>
      <c r="O267" s="1207">
        <v>158.80000000000001</v>
      </c>
      <c r="P267" s="1207">
        <v>1425.59</v>
      </c>
      <c r="Q267" s="1207">
        <v>0</v>
      </c>
      <c r="R267" s="1209">
        <f t="shared" si="150"/>
        <v>12349.439999999999</v>
      </c>
      <c r="S267" s="1159">
        <f t="shared" si="151"/>
        <v>548.92000000000007</v>
      </c>
      <c r="T267" s="1159">
        <f t="shared" si="152"/>
        <v>231</v>
      </c>
      <c r="U267" s="1210">
        <f t="shared" si="153"/>
        <v>317.92000000000007</v>
      </c>
      <c r="V267" s="1211"/>
      <c r="W267" s="1212"/>
      <c r="X267" s="1213"/>
      <c r="Y267" s="1214"/>
      <c r="Z267" s="1220">
        <v>0</v>
      </c>
      <c r="AA267" s="1213">
        <f t="shared" si="155"/>
        <v>0</v>
      </c>
      <c r="AB267" s="1216"/>
      <c r="AC267" s="1159">
        <f t="shared" si="156"/>
        <v>10840.48</v>
      </c>
      <c r="AD267" s="1214"/>
      <c r="AE267" s="1220">
        <v>0</v>
      </c>
      <c r="AF267" s="1213">
        <f t="shared" si="157"/>
        <v>0</v>
      </c>
    </row>
    <row r="268" spans="1:32">
      <c r="A268" s="1217">
        <v>2010</v>
      </c>
      <c r="B268" s="1219">
        <v>300031</v>
      </c>
      <c r="C268" s="1219">
        <v>3</v>
      </c>
      <c r="D268" s="1219">
        <v>31</v>
      </c>
      <c r="E268" s="1219" t="s">
        <v>2846</v>
      </c>
      <c r="F268" s="1217" t="s">
        <v>930</v>
      </c>
      <c r="G268" s="1207">
        <v>1417.7666690000001</v>
      </c>
      <c r="H268" s="1207">
        <v>27.650002999999991</v>
      </c>
      <c r="I268" s="1207">
        <v>0</v>
      </c>
      <c r="J268" s="1207">
        <v>24</v>
      </c>
      <c r="K268" s="1207">
        <v>0</v>
      </c>
      <c r="L268" s="1208">
        <v>19848.75</v>
      </c>
      <c r="M268" s="1207">
        <v>580.86</v>
      </c>
      <c r="N268" s="1207">
        <v>0</v>
      </c>
      <c r="O268" s="1207">
        <v>336</v>
      </c>
      <c r="P268" s="1207">
        <v>0</v>
      </c>
      <c r="Q268" s="1207">
        <v>0</v>
      </c>
      <c r="R268" s="1209">
        <f t="shared" si="150"/>
        <v>20765.61</v>
      </c>
      <c r="S268" s="1159">
        <f t="shared" si="151"/>
        <v>1469.4166720000001</v>
      </c>
      <c r="T268" s="1159">
        <f t="shared" si="152"/>
        <v>24</v>
      </c>
      <c r="U268" s="1210">
        <f t="shared" si="153"/>
        <v>1445.4166720000001</v>
      </c>
      <c r="V268" s="1211"/>
      <c r="W268" s="1212"/>
      <c r="X268" s="1213"/>
      <c r="Y268" s="1214"/>
      <c r="Z268" s="1220">
        <v>0</v>
      </c>
      <c r="AA268" s="1213">
        <f t="shared" si="155"/>
        <v>0</v>
      </c>
      <c r="AB268" s="1216"/>
      <c r="AC268" s="1159">
        <f t="shared" si="156"/>
        <v>20184.75</v>
      </c>
      <c r="AD268" s="1214">
        <v>43252</v>
      </c>
      <c r="AE268" s="1220">
        <v>2.5000000000000001E-2</v>
      </c>
      <c r="AF268" s="1213">
        <f t="shared" si="157"/>
        <v>504.61875000000003</v>
      </c>
    </row>
    <row r="269" spans="1:32">
      <c r="A269" s="1217">
        <v>2010</v>
      </c>
      <c r="B269" s="1219">
        <v>300472</v>
      </c>
      <c r="C269" s="1219">
        <v>3</v>
      </c>
      <c r="D269" s="1219">
        <v>472</v>
      </c>
      <c r="E269" s="1219" t="s">
        <v>2847</v>
      </c>
      <c r="F269" s="1217" t="s">
        <v>2971</v>
      </c>
      <c r="G269" s="1207">
        <v>1081.183331</v>
      </c>
      <c r="H269" s="1207">
        <v>44.466663000000004</v>
      </c>
      <c r="I269" s="1207">
        <v>8</v>
      </c>
      <c r="J269" s="1207">
        <v>24.5</v>
      </c>
      <c r="K269" s="1207">
        <v>8</v>
      </c>
      <c r="L269" s="1208">
        <v>15136.600000000002</v>
      </c>
      <c r="M269" s="1207">
        <v>933.99999999999989</v>
      </c>
      <c r="N269" s="1207">
        <v>112</v>
      </c>
      <c r="O269" s="1207">
        <v>343</v>
      </c>
      <c r="P269" s="1207">
        <v>0</v>
      </c>
      <c r="Q269" s="1207">
        <v>112</v>
      </c>
      <c r="R269" s="1209">
        <f t="shared" si="150"/>
        <v>16637.600000000002</v>
      </c>
      <c r="S269" s="1159">
        <f t="shared" si="151"/>
        <v>1166.1499939999999</v>
      </c>
      <c r="T269" s="1159">
        <f t="shared" si="152"/>
        <v>40.5</v>
      </c>
      <c r="U269" s="1210">
        <f t="shared" si="153"/>
        <v>1125.6499939999999</v>
      </c>
      <c r="V269" s="1211"/>
      <c r="W269" s="1212"/>
      <c r="X269" s="1213"/>
      <c r="Y269" s="1214"/>
      <c r="Z269" s="1220">
        <v>0</v>
      </c>
      <c r="AA269" s="1213">
        <f t="shared" si="155"/>
        <v>0</v>
      </c>
      <c r="AB269" s="1216"/>
      <c r="AC269" s="1159">
        <f t="shared" si="156"/>
        <v>15591.600000000002</v>
      </c>
      <c r="AD269" s="1214"/>
      <c r="AE269" s="1220">
        <v>0</v>
      </c>
      <c r="AF269" s="1213">
        <f t="shared" si="157"/>
        <v>0</v>
      </c>
    </row>
    <row r="270" spans="1:32">
      <c r="A270" s="1217"/>
      <c r="B270" s="1219"/>
      <c r="C270" s="1219"/>
      <c r="D270" s="1219"/>
      <c r="E270" s="1219"/>
      <c r="F270" s="1217"/>
      <c r="G270" s="1207"/>
      <c r="H270" s="1207"/>
      <c r="I270" s="1207"/>
      <c r="J270" s="1207"/>
      <c r="K270" s="1207"/>
      <c r="L270" s="1208"/>
      <c r="M270" s="1207"/>
      <c r="N270" s="1207"/>
      <c r="O270" s="1207"/>
      <c r="P270" s="1207"/>
      <c r="Q270" s="1207"/>
      <c r="R270" s="1209"/>
      <c r="U270" s="1210"/>
      <c r="V270" s="1211"/>
      <c r="W270" s="1212"/>
      <c r="X270" s="1213"/>
      <c r="Y270" s="1214"/>
      <c r="Z270" s="1215"/>
      <c r="AA270" s="1213"/>
      <c r="AB270" s="1216"/>
      <c r="AC270" s="1159"/>
      <c r="AD270" s="1214"/>
      <c r="AE270" s="1215"/>
      <c r="AF270" s="1213"/>
    </row>
    <row r="271" spans="1:32">
      <c r="A271" s="1217"/>
      <c r="B271" s="1223"/>
      <c r="C271" s="1223"/>
      <c r="D271" s="1223"/>
      <c r="E271" s="1244" t="s">
        <v>2848</v>
      </c>
      <c r="F271" s="1217"/>
      <c r="G271" s="1230">
        <f>+SUM(G256:G270)</f>
        <v>18065.620009000002</v>
      </c>
      <c r="H271" s="1230">
        <f t="shared" ref="H271:R271" si="158">+SUM(H256:H270)</f>
        <v>945.71999400000016</v>
      </c>
      <c r="I271" s="1230">
        <f t="shared" si="158"/>
        <v>1285.82</v>
      </c>
      <c r="J271" s="1230">
        <f t="shared" si="158"/>
        <v>425</v>
      </c>
      <c r="K271" s="1230">
        <f t="shared" si="158"/>
        <v>56</v>
      </c>
      <c r="L271" s="1230">
        <f t="shared" si="158"/>
        <v>282387.26980000001</v>
      </c>
      <c r="M271" s="1230">
        <f t="shared" si="158"/>
        <v>22264.86</v>
      </c>
      <c r="N271" s="1230">
        <f t="shared" si="158"/>
        <v>21798.839999999997</v>
      </c>
      <c r="O271" s="1230">
        <f t="shared" si="158"/>
        <v>6742.7199999999993</v>
      </c>
      <c r="P271" s="1230">
        <f t="shared" si="158"/>
        <v>7797.95</v>
      </c>
      <c r="Q271" s="1230">
        <f t="shared" si="158"/>
        <v>1204.51</v>
      </c>
      <c r="R271" s="1233">
        <f t="shared" si="158"/>
        <v>342196.14980000001</v>
      </c>
      <c r="S271" s="1242">
        <f>+SUM(S256:S270)</f>
        <v>20778.160002999997</v>
      </c>
      <c r="T271" s="1242">
        <f t="shared" ref="T271:AF271" si="159">+SUM(T256:T270)</f>
        <v>1766.82</v>
      </c>
      <c r="U271" s="1242">
        <f t="shared" si="159"/>
        <v>19011.340002999998</v>
      </c>
      <c r="V271" s="1242"/>
      <c r="W271" s="1242"/>
      <c r="X271" s="1242">
        <f t="shared" si="159"/>
        <v>148085.50474356167</v>
      </c>
      <c r="Y271" s="1242">
        <f t="shared" si="159"/>
        <v>300220</v>
      </c>
      <c r="Z271" s="1242"/>
      <c r="AA271" s="1242">
        <f t="shared" si="159"/>
        <v>6950.3935706381626</v>
      </c>
      <c r="AB271" s="1242"/>
      <c r="AC271" s="1242">
        <f t="shared" si="159"/>
        <v>317879.22337063815</v>
      </c>
      <c r="AD271" s="1242"/>
      <c r="AE271" s="1242"/>
      <c r="AF271" s="1242">
        <f t="shared" si="159"/>
        <v>6127.3596570658565</v>
      </c>
    </row>
    <row r="272" spans="1:32">
      <c r="A272" s="1217"/>
      <c r="B272" s="1219"/>
      <c r="C272" s="1219"/>
      <c r="D272" s="1219"/>
      <c r="E272" s="1219"/>
      <c r="F272" s="1217"/>
      <c r="G272" s="1207"/>
      <c r="H272" s="1207"/>
      <c r="I272" s="1207"/>
      <c r="J272" s="1207"/>
      <c r="K272" s="1207"/>
      <c r="L272" s="1208"/>
      <c r="M272" s="1207"/>
      <c r="N272" s="1207"/>
      <c r="O272" s="1207"/>
      <c r="P272" s="1207"/>
      <c r="Q272" s="1207"/>
      <c r="R272" s="1209"/>
      <c r="U272" s="1210"/>
      <c r="V272" s="1211"/>
      <c r="W272" s="1212"/>
      <c r="X272" s="1213"/>
      <c r="Y272" s="1214"/>
      <c r="Z272" s="1215"/>
      <c r="AA272" s="1213"/>
      <c r="AB272" s="1216"/>
      <c r="AC272" s="1159"/>
      <c r="AD272" s="1214"/>
      <c r="AE272" s="1215"/>
      <c r="AF272" s="1213"/>
    </row>
    <row r="273" spans="1:32">
      <c r="A273" s="1217"/>
      <c r="B273" s="1219"/>
      <c r="C273" s="1219"/>
      <c r="D273" s="1219"/>
      <c r="E273" s="1219"/>
      <c r="F273" s="1217"/>
      <c r="G273" s="1207"/>
      <c r="H273" s="1207"/>
      <c r="I273" s="1207"/>
      <c r="J273" s="1207"/>
      <c r="K273" s="1207"/>
      <c r="L273" s="1208"/>
      <c r="M273" s="1207"/>
      <c r="N273" s="1207"/>
      <c r="O273" s="1207"/>
      <c r="P273" s="1207"/>
      <c r="Q273" s="1207"/>
      <c r="R273" s="1209"/>
      <c r="U273" s="1210"/>
      <c r="V273" s="1211"/>
      <c r="W273" s="1212"/>
      <c r="X273" s="1213"/>
      <c r="Y273" s="1214"/>
      <c r="Z273" s="1215"/>
      <c r="AA273" s="1213"/>
      <c r="AB273" s="1216"/>
      <c r="AC273" s="1159"/>
      <c r="AD273" s="1214"/>
      <c r="AE273" s="1215"/>
      <c r="AF273" s="1213"/>
    </row>
    <row r="274" spans="1:32">
      <c r="A274" s="1217"/>
      <c r="B274" s="1223"/>
      <c r="C274" s="1223"/>
      <c r="D274" s="1223"/>
      <c r="E274" s="1244"/>
      <c r="F274" s="1217"/>
      <c r="G274" s="1225"/>
      <c r="H274" s="1225"/>
      <c r="I274" s="1225"/>
      <c r="J274" s="1225"/>
      <c r="K274" s="1225"/>
      <c r="L274" s="1225"/>
      <c r="M274" s="1225"/>
      <c r="N274" s="1225"/>
      <c r="O274" s="1225"/>
      <c r="P274" s="1225"/>
      <c r="Q274" s="1225"/>
      <c r="R274" s="1209"/>
      <c r="S274" s="1236"/>
      <c r="T274" s="1236"/>
      <c r="U274" s="1236"/>
      <c r="V274" s="1236"/>
      <c r="W274" s="1236"/>
      <c r="X274" s="1236"/>
      <c r="Y274" s="1236"/>
      <c r="Z274" s="1236"/>
      <c r="AA274" s="1236"/>
      <c r="AB274" s="1236"/>
      <c r="AC274" s="1236"/>
      <c r="AD274" s="1236"/>
      <c r="AE274" s="1236"/>
      <c r="AF274" s="1236"/>
    </row>
    <row r="275" spans="1:32" s="1186" customFormat="1" ht="12" thickBot="1">
      <c r="A275" s="1217"/>
      <c r="B275" s="1223"/>
      <c r="C275" s="1223"/>
      <c r="D275" s="1223"/>
      <c r="F275" s="1217"/>
      <c r="G275" s="1245"/>
      <c r="H275" s="1245"/>
      <c r="I275" s="1245"/>
      <c r="J275" s="1245"/>
      <c r="K275" s="1245"/>
      <c r="L275" s="1246"/>
      <c r="M275" s="1245"/>
      <c r="N275" s="1245"/>
      <c r="O275" s="1245"/>
      <c r="P275" s="1245"/>
      <c r="Q275" s="1245"/>
      <c r="R275" s="1209"/>
      <c r="S275" s="1245"/>
      <c r="T275" s="1245"/>
      <c r="U275" s="1247"/>
      <c r="V275" s="1248"/>
      <c r="W275" s="1249"/>
      <c r="X275" s="1221"/>
      <c r="Y275" s="1250"/>
      <c r="Z275" s="1251"/>
      <c r="AA275" s="1221"/>
      <c r="AB275" s="1252"/>
      <c r="AC275" s="1245"/>
      <c r="AD275" s="1250"/>
      <c r="AE275" s="1253"/>
      <c r="AF275" s="1221"/>
    </row>
    <row r="276" spans="1:32" s="1186" customFormat="1" ht="12.75" thickTop="1" thickBot="1">
      <c r="A276" s="1254"/>
      <c r="B276" s="1254" t="s">
        <v>2849</v>
      </c>
      <c r="C276" s="1254"/>
      <c r="D276" s="1254"/>
      <c r="E276" s="1201"/>
      <c r="F276" s="1202"/>
      <c r="G276" s="1245"/>
      <c r="H276" s="1245"/>
      <c r="I276" s="1245"/>
      <c r="J276" s="1245"/>
      <c r="K276" s="1245"/>
      <c r="L276" s="1246"/>
      <c r="M276" s="1245"/>
      <c r="N276" s="1245"/>
      <c r="O276" s="1245"/>
      <c r="P276" s="1245"/>
      <c r="Q276" s="1245"/>
      <c r="R276" s="1209"/>
      <c r="S276" s="1245"/>
      <c r="T276" s="1245"/>
      <c r="U276" s="1247"/>
      <c r="V276" s="1248"/>
      <c r="W276" s="1249"/>
      <c r="X276" s="1221"/>
      <c r="Y276" s="1250"/>
      <c r="Z276" s="1251"/>
      <c r="AA276" s="1221"/>
      <c r="AB276" s="1252"/>
      <c r="AC276" s="1245"/>
      <c r="AD276" s="1250"/>
      <c r="AE276" s="1253"/>
      <c r="AF276" s="1221"/>
    </row>
    <row r="277" spans="1:32" ht="12" thickTop="1">
      <c r="A277" s="1217">
        <v>2010</v>
      </c>
      <c r="B277" s="1219">
        <v>102411</v>
      </c>
      <c r="C277" s="1219">
        <v>1</v>
      </c>
      <c r="D277" s="1219">
        <v>2411</v>
      </c>
      <c r="E277" s="1219" t="s">
        <v>2850</v>
      </c>
      <c r="F277" s="1217" t="s">
        <v>2972</v>
      </c>
      <c r="G277" s="1207">
        <v>1888</v>
      </c>
      <c r="H277" s="1207">
        <v>0</v>
      </c>
      <c r="I277" s="1207">
        <v>144</v>
      </c>
      <c r="J277" s="1207">
        <v>40</v>
      </c>
      <c r="K277" s="1207">
        <v>8</v>
      </c>
      <c r="L277" s="1208">
        <v>167564.97990000001</v>
      </c>
      <c r="M277" s="1207">
        <v>0</v>
      </c>
      <c r="N277" s="1207">
        <v>12715.839899999999</v>
      </c>
      <c r="O277" s="1207">
        <v>3598.3199999999997</v>
      </c>
      <c r="P277" s="1207">
        <v>0</v>
      </c>
      <c r="Q277" s="1207">
        <v>7959.7500000000009</v>
      </c>
      <c r="R277" s="1209">
        <f t="shared" ref="R277:R335" si="160">SUM(L277:Q277)</f>
        <v>191838.8898</v>
      </c>
      <c r="S277" s="1159">
        <f t="shared" ref="S277:S336" si="161">SUM(G277:K277)</f>
        <v>2080</v>
      </c>
      <c r="T277" s="1159">
        <f t="shared" ref="T277:T336" si="162">I277+J277+K277</f>
        <v>192</v>
      </c>
      <c r="U277" s="1210">
        <f t="shared" ref="U277:U336" si="163">S277-T277</f>
        <v>1888</v>
      </c>
      <c r="V277" s="1211"/>
      <c r="W277" s="1212"/>
      <c r="X277" s="1213">
        <f t="shared" ref="X277:X335" si="164">SUM(L277,N277:O277)*((VLOOKUP(Y277,$AJ$9:$AK$30,2,FALSE))/365)</f>
        <v>61964.751220273974</v>
      </c>
      <c r="Y277" s="1214">
        <v>42767</v>
      </c>
      <c r="Z277" s="1220">
        <v>5.9029999999999916E-2</v>
      </c>
      <c r="AA277" s="1213">
        <f t="shared" ref="AA277:AA336" si="165">X277*Z277</f>
        <v>3657.7792645327677</v>
      </c>
      <c r="AB277" s="1216"/>
      <c r="AC277" s="1159">
        <f t="shared" ref="AC277:AC336" si="166">SUM(L277,N277:O277)+AA277</f>
        <v>187536.91906453276</v>
      </c>
      <c r="AD277" s="1214">
        <v>43101</v>
      </c>
      <c r="AE277" s="1220">
        <v>2.5000000000000001E-2</v>
      </c>
      <c r="AF277" s="1213">
        <f t="shared" ref="AF277:AF336" si="167">AC277*AE277</f>
        <v>4688.4229766133194</v>
      </c>
    </row>
    <row r="278" spans="1:32">
      <c r="A278" s="1217">
        <v>2010</v>
      </c>
      <c r="B278" s="1219">
        <v>102462</v>
      </c>
      <c r="C278" s="1219">
        <v>1</v>
      </c>
      <c r="D278" s="1219">
        <v>2462</v>
      </c>
      <c r="E278" s="1219" t="s">
        <v>2851</v>
      </c>
      <c r="F278" s="1217" t="s">
        <v>2973</v>
      </c>
      <c r="G278" s="1207">
        <v>1812</v>
      </c>
      <c r="H278" s="1207">
        <v>0</v>
      </c>
      <c r="I278" s="1207">
        <v>220</v>
      </c>
      <c r="J278" s="1207">
        <v>40</v>
      </c>
      <c r="K278" s="1207">
        <v>8</v>
      </c>
      <c r="L278" s="1208">
        <v>121273.62999999999</v>
      </c>
      <c r="M278" s="1207">
        <v>0</v>
      </c>
      <c r="N278" s="1207">
        <v>14770.56</v>
      </c>
      <c r="O278" s="1207">
        <v>2674.8</v>
      </c>
      <c r="P278" s="1207">
        <v>0</v>
      </c>
      <c r="Q278" s="1207">
        <v>599.08000000000004</v>
      </c>
      <c r="R278" s="1209">
        <f>SUM(L278:Q278)</f>
        <v>139318.06999999998</v>
      </c>
      <c r="S278" s="1159">
        <f>SUM(G278:K278)</f>
        <v>2080</v>
      </c>
      <c r="T278" s="1159">
        <f>I278+J278+K278</f>
        <v>268</v>
      </c>
      <c r="U278" s="1210">
        <f>S278-T278</f>
        <v>1812</v>
      </c>
      <c r="V278" s="1211"/>
      <c r="W278" s="1212"/>
      <c r="X278" s="1213">
        <f>SUM(L278,N278:O278)*((VLOOKUP(Y278,$AJ$9:$AK$30,2,FALSE))/365)</f>
        <v>34964.786520547947</v>
      </c>
      <c r="Y278" s="1214">
        <v>42736</v>
      </c>
      <c r="Z278" s="1220">
        <v>2.5000000000000001E-2</v>
      </c>
      <c r="AA278" s="1213">
        <f>X278*Z278</f>
        <v>874.11966301369876</v>
      </c>
      <c r="AB278" s="1216"/>
      <c r="AC278" s="1159">
        <f>SUM(L278,N278:O278)+AA278</f>
        <v>139593.10966301369</v>
      </c>
      <c r="AD278" s="1214">
        <v>43101</v>
      </c>
      <c r="AE278" s="1220">
        <v>2.5000000000000001E-2</v>
      </c>
      <c r="AF278" s="1213">
        <f>AC278*AE278</f>
        <v>3489.8277415753423</v>
      </c>
    </row>
    <row r="279" spans="1:32">
      <c r="A279" s="1217">
        <v>2010</v>
      </c>
      <c r="B279" s="1219">
        <v>115958</v>
      </c>
      <c r="C279" s="1219">
        <v>1</v>
      </c>
      <c r="D279" s="1219">
        <v>15958</v>
      </c>
      <c r="E279" s="1219" t="s">
        <v>2852</v>
      </c>
      <c r="F279" s="1217" t="s">
        <v>2974</v>
      </c>
      <c r="G279" s="1207">
        <v>1480</v>
      </c>
      <c r="H279" s="1207">
        <v>0</v>
      </c>
      <c r="I279" s="1207">
        <v>0</v>
      </c>
      <c r="J279" s="1207">
        <v>40</v>
      </c>
      <c r="K279" s="1207">
        <v>0</v>
      </c>
      <c r="L279" s="1208">
        <v>56632.240000000013</v>
      </c>
      <c r="M279" s="1207">
        <v>0</v>
      </c>
      <c r="N279" s="1207">
        <v>0</v>
      </c>
      <c r="O279" s="1207">
        <v>1526.64</v>
      </c>
      <c r="P279" s="1207">
        <v>0</v>
      </c>
      <c r="Q279" s="1207">
        <v>1429.37</v>
      </c>
      <c r="R279" s="1209">
        <f>SUM(L279:Q279)</f>
        <v>59588.250000000015</v>
      </c>
      <c r="S279" s="1159">
        <f>SUM(G279:K279)</f>
        <v>1520</v>
      </c>
      <c r="T279" s="1159">
        <f>I279+J279+K279</f>
        <v>40</v>
      </c>
      <c r="U279" s="1210">
        <f>S279-T279</f>
        <v>1480</v>
      </c>
      <c r="V279" s="1211"/>
      <c r="W279" s="1212"/>
      <c r="X279" s="1213"/>
      <c r="Y279" s="1214"/>
      <c r="Z279" s="1220">
        <v>0</v>
      </c>
      <c r="AA279" s="1213">
        <f>X279*Z279</f>
        <v>0</v>
      </c>
      <c r="AB279" s="1216"/>
      <c r="AC279" s="1159">
        <f>SUM(L279,N279:O279)+AA279</f>
        <v>58158.880000000012</v>
      </c>
      <c r="AD279" s="1214">
        <v>43252</v>
      </c>
      <c r="AE279" s="1220">
        <v>2.5000000000000001E-2</v>
      </c>
      <c r="AF279" s="1213">
        <f>AC279*AE279</f>
        <v>1453.9720000000004</v>
      </c>
    </row>
    <row r="280" spans="1:32">
      <c r="A280" s="1217">
        <v>2010</v>
      </c>
      <c r="B280" s="1219">
        <v>112142</v>
      </c>
      <c r="C280" s="1219">
        <v>1</v>
      </c>
      <c r="D280" s="1219">
        <v>12142</v>
      </c>
      <c r="E280" s="1219" t="s">
        <v>2853</v>
      </c>
      <c r="F280" s="1217" t="s">
        <v>2975</v>
      </c>
      <c r="G280" s="1207">
        <v>1824</v>
      </c>
      <c r="H280" s="1207">
        <v>0</v>
      </c>
      <c r="I280" s="1207">
        <v>208</v>
      </c>
      <c r="J280" s="1207">
        <v>40</v>
      </c>
      <c r="K280" s="1207">
        <v>8</v>
      </c>
      <c r="L280" s="1208">
        <v>52764.36020000001</v>
      </c>
      <c r="M280" s="1207">
        <v>0</v>
      </c>
      <c r="N280" s="1207">
        <v>5986.33</v>
      </c>
      <c r="O280" s="1207">
        <v>1158</v>
      </c>
      <c r="P280" s="1207">
        <v>0</v>
      </c>
      <c r="Q280" s="1207">
        <v>479.7</v>
      </c>
      <c r="R280" s="1209">
        <f>SUM(L280:Q280)</f>
        <v>60388.390200000009</v>
      </c>
      <c r="S280" s="1159">
        <f>SUM(G280:K280)</f>
        <v>2080</v>
      </c>
      <c r="T280" s="1159">
        <f>I280+J280+K280</f>
        <v>256</v>
      </c>
      <c r="U280" s="1210">
        <f>S280-T280</f>
        <v>1824</v>
      </c>
      <c r="V280" s="1211"/>
      <c r="W280" s="1212"/>
      <c r="X280" s="1213"/>
      <c r="Y280" s="1214"/>
      <c r="Z280" s="1220">
        <v>0</v>
      </c>
      <c r="AA280" s="1213">
        <f>X280*Z280</f>
        <v>0</v>
      </c>
      <c r="AB280" s="1216"/>
      <c r="AC280" s="1159">
        <f>SUM(L280,N280:O280)+AA280</f>
        <v>59908.690200000012</v>
      </c>
      <c r="AD280" s="1214">
        <v>43374</v>
      </c>
      <c r="AE280" s="1220">
        <v>4.7140000000000092E-2</v>
      </c>
      <c r="AF280" s="1213">
        <f>AC280*AE280</f>
        <v>2824.095656028006</v>
      </c>
    </row>
    <row r="281" spans="1:32">
      <c r="A281" s="1217">
        <v>2010</v>
      </c>
      <c r="B281" s="1219">
        <v>102406</v>
      </c>
      <c r="C281" s="1219">
        <v>1</v>
      </c>
      <c r="D281" s="1219">
        <v>2406</v>
      </c>
      <c r="E281" s="1219" t="s">
        <v>2854</v>
      </c>
      <c r="F281" s="1217" t="s">
        <v>2976</v>
      </c>
      <c r="G281" s="1207">
        <v>2040</v>
      </c>
      <c r="H281" s="1207">
        <v>0</v>
      </c>
      <c r="I281" s="1207">
        <v>72</v>
      </c>
      <c r="J281" s="1207">
        <v>40</v>
      </c>
      <c r="K281" s="1207">
        <v>0</v>
      </c>
      <c r="L281" s="1208">
        <v>88782.510700000013</v>
      </c>
      <c r="M281" s="1207">
        <v>0</v>
      </c>
      <c r="N281" s="1207">
        <v>25210.57</v>
      </c>
      <c r="O281" s="1207">
        <v>1811.76</v>
      </c>
      <c r="P281" s="1207">
        <v>150599.47</v>
      </c>
      <c r="Q281" s="1207">
        <v>336.95999999999992</v>
      </c>
      <c r="R281" s="1209">
        <f>SUM(L281:Q281)</f>
        <v>266741.27070000005</v>
      </c>
      <c r="S281" s="1159">
        <f>SUM(G281:K281)</f>
        <v>2152</v>
      </c>
      <c r="T281" s="1159">
        <f>I281+J281+K281</f>
        <v>112</v>
      </c>
      <c r="U281" s="1210">
        <f>S281-T281</f>
        <v>2040</v>
      </c>
      <c r="V281" s="1211"/>
      <c r="W281" s="1212"/>
      <c r="X281" s="1213">
        <f>SUM(L281,N281:O281)*((VLOOKUP(Y281,$AJ$9:$AK$30,2,FALSE))/365)</f>
        <v>57743.783581917814</v>
      </c>
      <c r="Y281" s="1214">
        <v>42826</v>
      </c>
      <c r="Z281" s="1220">
        <v>2.1999999999999999E-2</v>
      </c>
      <c r="AA281" s="1213">
        <f>X281*Z281</f>
        <v>1270.3632388021917</v>
      </c>
      <c r="AB281" s="1216"/>
      <c r="AC281" s="1159">
        <f>SUM(L281,N281:O281)+AA281</f>
        <v>117075.20393880221</v>
      </c>
      <c r="AD281" s="1214"/>
      <c r="AE281" s="1220">
        <v>0</v>
      </c>
      <c r="AF281" s="1213">
        <f>AC281*AE281</f>
        <v>0</v>
      </c>
    </row>
    <row r="282" spans="1:32">
      <c r="A282" s="1217">
        <v>2010</v>
      </c>
      <c r="B282" s="1219">
        <v>103574</v>
      </c>
      <c r="C282" s="1219">
        <v>1</v>
      </c>
      <c r="D282" s="1219">
        <v>3574</v>
      </c>
      <c r="E282" s="1219" t="s">
        <v>2855</v>
      </c>
      <c r="F282" s="1217" t="s">
        <v>2977</v>
      </c>
      <c r="G282" s="1207">
        <v>1824.103331</v>
      </c>
      <c r="H282" s="1207">
        <v>140.023335</v>
      </c>
      <c r="I282" s="1207">
        <v>222.95</v>
      </c>
      <c r="J282" s="1207">
        <v>48</v>
      </c>
      <c r="K282" s="1207">
        <v>8</v>
      </c>
      <c r="L282" s="1208">
        <v>30024.559999999994</v>
      </c>
      <c r="M282" s="1207">
        <v>3479.7800000000007</v>
      </c>
      <c r="N282" s="1207">
        <v>3664.0099999999998</v>
      </c>
      <c r="O282" s="1207">
        <v>790.56</v>
      </c>
      <c r="P282" s="1207">
        <v>600</v>
      </c>
      <c r="Q282" s="1207">
        <v>171.73</v>
      </c>
      <c r="R282" s="1209">
        <f t="shared" si="160"/>
        <v>38730.639999999999</v>
      </c>
      <c r="S282" s="1159">
        <f t="shared" si="161"/>
        <v>2243.0766659999999</v>
      </c>
      <c r="T282" s="1159">
        <f t="shared" si="162"/>
        <v>278.95</v>
      </c>
      <c r="U282" s="1210">
        <f t="shared" si="163"/>
        <v>1964.1266659999999</v>
      </c>
      <c r="V282" s="1211"/>
      <c r="W282" s="1212"/>
      <c r="X282" s="1213">
        <f t="shared" si="164"/>
        <v>17381.260054794519</v>
      </c>
      <c r="Y282" s="1214">
        <v>42828</v>
      </c>
      <c r="Z282" s="1220">
        <v>2.0858895705521463E-2</v>
      </c>
      <c r="AA282" s="1213">
        <f t="shared" si="165"/>
        <v>362.55389071350515</v>
      </c>
      <c r="AB282" s="1216"/>
      <c r="AC282" s="1159">
        <f t="shared" si="166"/>
        <v>34841.683890713495</v>
      </c>
      <c r="AD282" s="1214">
        <v>43191</v>
      </c>
      <c r="AE282" s="1220">
        <v>2.5000000000000001E-2</v>
      </c>
      <c r="AF282" s="1213">
        <f t="shared" si="167"/>
        <v>871.04209726783745</v>
      </c>
    </row>
    <row r="283" spans="1:32" s="1259" customFormat="1">
      <c r="A283" s="1217">
        <v>2010</v>
      </c>
      <c r="B283" s="1219">
        <v>113367</v>
      </c>
      <c r="C283" s="1219">
        <v>1</v>
      </c>
      <c r="D283" s="1219">
        <v>13367</v>
      </c>
      <c r="E283" s="1219" t="s">
        <v>2856</v>
      </c>
      <c r="F283" s="1217" t="s">
        <v>2977</v>
      </c>
      <c r="G283" s="1207">
        <v>1880.5233370000003</v>
      </c>
      <c r="H283" s="1207">
        <v>143.10000299999999</v>
      </c>
      <c r="I283" s="1207">
        <v>174.35</v>
      </c>
      <c r="J283" s="1207">
        <v>48</v>
      </c>
      <c r="K283" s="1207">
        <v>8</v>
      </c>
      <c r="L283" s="1208">
        <v>32177.059999999994</v>
      </c>
      <c r="M283" s="1207">
        <v>3696.54</v>
      </c>
      <c r="N283" s="1207">
        <v>2985.99</v>
      </c>
      <c r="O283" s="1207">
        <v>822</v>
      </c>
      <c r="P283" s="1207">
        <v>600</v>
      </c>
      <c r="Q283" s="1207">
        <v>211.43</v>
      </c>
      <c r="R283" s="1209">
        <f t="shared" si="160"/>
        <v>40493.01999999999</v>
      </c>
      <c r="S283" s="1159">
        <f t="shared" si="161"/>
        <v>2253.9733400000005</v>
      </c>
      <c r="T283" s="1159">
        <f t="shared" si="162"/>
        <v>230.35</v>
      </c>
      <c r="U283" s="1210">
        <f t="shared" si="163"/>
        <v>2023.6233400000006</v>
      </c>
      <c r="V283" s="1211"/>
      <c r="W283" s="1212"/>
      <c r="X283" s="1213">
        <f t="shared" si="164"/>
        <v>18140.408767123288</v>
      </c>
      <c r="Y283" s="1214">
        <v>42828</v>
      </c>
      <c r="Z283" s="1220">
        <v>2.0648967551622502E-2</v>
      </c>
      <c r="AA283" s="1213">
        <f t="shared" si="165"/>
        <v>374.58071200549711</v>
      </c>
      <c r="AB283" s="1216"/>
      <c r="AC283" s="1159">
        <f t="shared" si="166"/>
        <v>36359.630712005492</v>
      </c>
      <c r="AD283" s="1214">
        <v>43191</v>
      </c>
      <c r="AE283" s="1220">
        <v>2.5000000000000001E-2</v>
      </c>
      <c r="AF283" s="1213">
        <f t="shared" si="167"/>
        <v>908.99076780013729</v>
      </c>
    </row>
    <row r="284" spans="1:32" s="1259" customFormat="1">
      <c r="A284" s="1217">
        <v>2010</v>
      </c>
      <c r="B284" s="1219">
        <v>102487</v>
      </c>
      <c r="C284" s="1219">
        <v>1</v>
      </c>
      <c r="D284" s="1219">
        <v>2487</v>
      </c>
      <c r="E284" s="1219" t="s">
        <v>2857</v>
      </c>
      <c r="F284" s="1217" t="s">
        <v>2977</v>
      </c>
      <c r="G284" s="1207">
        <v>1922.0666670000001</v>
      </c>
      <c r="H284" s="1207">
        <v>228.88000299999996</v>
      </c>
      <c r="I284" s="1207">
        <v>140.5</v>
      </c>
      <c r="J284" s="1207">
        <v>48</v>
      </c>
      <c r="K284" s="1207">
        <v>8</v>
      </c>
      <c r="L284" s="1208">
        <v>43326.570000000014</v>
      </c>
      <c r="M284" s="1207">
        <v>7781.61</v>
      </c>
      <c r="N284" s="1207">
        <v>3175.16</v>
      </c>
      <c r="O284" s="1207">
        <v>1083.1200000000001</v>
      </c>
      <c r="P284" s="1207">
        <v>600</v>
      </c>
      <c r="Q284" s="1207">
        <v>326.27000000000004</v>
      </c>
      <c r="R284" s="1209">
        <f t="shared" si="160"/>
        <v>56292.73000000001</v>
      </c>
      <c r="S284" s="1159">
        <f t="shared" si="161"/>
        <v>2347.4466699999998</v>
      </c>
      <c r="T284" s="1159">
        <f t="shared" si="162"/>
        <v>196.5</v>
      </c>
      <c r="U284" s="1210">
        <f t="shared" si="163"/>
        <v>2150.9466699999998</v>
      </c>
      <c r="V284" s="1211"/>
      <c r="W284" s="1212"/>
      <c r="X284" s="1213">
        <f t="shared" si="164"/>
        <v>23727.240273972609</v>
      </c>
      <c r="Y284" s="1214">
        <v>42826</v>
      </c>
      <c r="Z284" s="1220">
        <v>2.1953405017921077E-2</v>
      </c>
      <c r="AA284" s="1213">
        <f t="shared" si="165"/>
        <v>520.89371569204934</v>
      </c>
      <c r="AB284" s="1216"/>
      <c r="AC284" s="1159">
        <f t="shared" si="166"/>
        <v>48105.743715692064</v>
      </c>
      <c r="AD284" s="1214">
        <v>43191</v>
      </c>
      <c r="AE284" s="1220">
        <v>2.5000000000000001E-2</v>
      </c>
      <c r="AF284" s="1213">
        <f t="shared" si="167"/>
        <v>1202.6435928923017</v>
      </c>
    </row>
    <row r="285" spans="1:32">
      <c r="A285" s="1217">
        <v>2010</v>
      </c>
      <c r="B285" s="1219">
        <v>101588</v>
      </c>
      <c r="C285" s="1219">
        <v>1</v>
      </c>
      <c r="D285" s="1219">
        <v>1588</v>
      </c>
      <c r="E285" s="1219" t="s">
        <v>2858</v>
      </c>
      <c r="F285" s="1217" t="s">
        <v>2977</v>
      </c>
      <c r="G285" s="1207">
        <v>1772.9200029999997</v>
      </c>
      <c r="H285" s="1207">
        <v>64.23333599999998</v>
      </c>
      <c r="I285" s="1207">
        <v>272.29000000000002</v>
      </c>
      <c r="J285" s="1207">
        <v>48</v>
      </c>
      <c r="K285" s="1207">
        <v>8</v>
      </c>
      <c r="L285" s="1208">
        <v>31392.650000000005</v>
      </c>
      <c r="M285" s="1207">
        <v>1716.7800000000002</v>
      </c>
      <c r="N285" s="1207">
        <v>4831.8</v>
      </c>
      <c r="O285" s="1207">
        <v>850.80000000000007</v>
      </c>
      <c r="P285" s="1207">
        <v>600</v>
      </c>
      <c r="Q285" s="1207">
        <v>177.52</v>
      </c>
      <c r="R285" s="1209">
        <f t="shared" si="160"/>
        <v>39569.55000000001</v>
      </c>
      <c r="S285" s="1159">
        <f t="shared" si="161"/>
        <v>2165.4433389999999</v>
      </c>
      <c r="T285" s="1159">
        <f t="shared" si="162"/>
        <v>328.29</v>
      </c>
      <c r="U285" s="1210">
        <f t="shared" si="163"/>
        <v>1837.153339</v>
      </c>
      <c r="V285" s="1211"/>
      <c r="W285" s="1212"/>
      <c r="X285" s="1213">
        <f t="shared" si="164"/>
        <v>18486.836986301372</v>
      </c>
      <c r="Y285" s="1214">
        <v>42826</v>
      </c>
      <c r="Z285" s="1220">
        <v>1.9943019943019821E-2</v>
      </c>
      <c r="AA285" s="1213">
        <f t="shared" si="165"/>
        <v>368.68335870116471</v>
      </c>
      <c r="AB285" s="1216"/>
      <c r="AC285" s="1159">
        <f t="shared" si="166"/>
        <v>37443.933358701172</v>
      </c>
      <c r="AD285" s="1214">
        <v>43191</v>
      </c>
      <c r="AE285" s="1220">
        <v>2.5000000000000001E-2</v>
      </c>
      <c r="AF285" s="1213">
        <f t="shared" si="167"/>
        <v>936.09833396752936</v>
      </c>
    </row>
    <row r="286" spans="1:32">
      <c r="A286" s="1217">
        <v>2010</v>
      </c>
      <c r="B286" s="1219">
        <v>102201</v>
      </c>
      <c r="C286" s="1219">
        <v>1</v>
      </c>
      <c r="D286" s="1219">
        <v>2201</v>
      </c>
      <c r="E286" s="1219" t="s">
        <v>2859</v>
      </c>
      <c r="F286" s="1217" t="s">
        <v>2978</v>
      </c>
      <c r="G286" s="1207">
        <v>1758.3333319999999</v>
      </c>
      <c r="H286" s="1207">
        <v>85.680001000000019</v>
      </c>
      <c r="I286" s="1207">
        <v>260.28999999999996</v>
      </c>
      <c r="J286" s="1207">
        <v>48</v>
      </c>
      <c r="K286" s="1207">
        <v>8</v>
      </c>
      <c r="L286" s="1208">
        <v>28591.279999999999</v>
      </c>
      <c r="M286" s="1207">
        <v>2087.9499999999998</v>
      </c>
      <c r="N286" s="1207">
        <v>4240.4299999999994</v>
      </c>
      <c r="O286" s="1207">
        <v>782.4</v>
      </c>
      <c r="P286" s="1207">
        <v>223</v>
      </c>
      <c r="Q286" s="1207">
        <v>168.17000000000002</v>
      </c>
      <c r="R286" s="1209">
        <f t="shared" si="160"/>
        <v>36093.229999999996</v>
      </c>
      <c r="S286" s="1159">
        <f t="shared" si="161"/>
        <v>2160.3033329999998</v>
      </c>
      <c r="T286" s="1159">
        <f t="shared" si="162"/>
        <v>316.28999999999996</v>
      </c>
      <c r="U286" s="1210">
        <f t="shared" si="163"/>
        <v>1844.0133329999999</v>
      </c>
      <c r="V286" s="1211"/>
      <c r="W286" s="1212"/>
      <c r="X286" s="1213">
        <f t="shared" si="164"/>
        <v>2854.89701369863</v>
      </c>
      <c r="Y286" s="1214">
        <v>42675</v>
      </c>
      <c r="Z286" s="1220">
        <v>1.9E-2</v>
      </c>
      <c r="AA286" s="1213">
        <f t="shared" si="165"/>
        <v>54.243043260273971</v>
      </c>
      <c r="AB286" s="1216"/>
      <c r="AC286" s="1159">
        <f t="shared" si="166"/>
        <v>33668.353043260271</v>
      </c>
      <c r="AD286" s="1214">
        <v>43040</v>
      </c>
      <c r="AE286" s="1220">
        <v>2.1000000000000001E-2</v>
      </c>
      <c r="AF286" s="1213">
        <f t="shared" si="167"/>
        <v>707.03541390846578</v>
      </c>
    </row>
    <row r="287" spans="1:32">
      <c r="A287" s="1217">
        <v>2010</v>
      </c>
      <c r="B287" s="1219">
        <v>156870</v>
      </c>
      <c r="C287" s="1219">
        <v>1</v>
      </c>
      <c r="D287" s="1219">
        <v>56870</v>
      </c>
      <c r="E287" s="1219" t="s">
        <v>2860</v>
      </c>
      <c r="F287" s="1217" t="s">
        <v>2978</v>
      </c>
      <c r="G287" s="1207">
        <v>1933.506664</v>
      </c>
      <c r="H287" s="1207">
        <v>103.44667800000002</v>
      </c>
      <c r="I287" s="1207">
        <v>85.4</v>
      </c>
      <c r="J287" s="1207">
        <v>48</v>
      </c>
      <c r="K287" s="1207">
        <v>16</v>
      </c>
      <c r="L287" s="1208">
        <v>29692.729999999996</v>
      </c>
      <c r="M287" s="1207">
        <v>2430.1800000000003</v>
      </c>
      <c r="N287" s="1207">
        <v>1305.69</v>
      </c>
      <c r="O287" s="1207">
        <v>739.2</v>
      </c>
      <c r="P287" s="1207">
        <v>1041.2</v>
      </c>
      <c r="Q287" s="1207">
        <v>280.31</v>
      </c>
      <c r="R287" s="1209">
        <f t="shared" si="160"/>
        <v>35489.30999999999</v>
      </c>
      <c r="S287" s="1159">
        <f t="shared" si="161"/>
        <v>2186.3533419999999</v>
      </c>
      <c r="T287" s="1159">
        <f t="shared" si="162"/>
        <v>149.4</v>
      </c>
      <c r="U287" s="1210">
        <f t="shared" si="163"/>
        <v>2036.9533419999998</v>
      </c>
      <c r="V287" s="1211"/>
      <c r="W287" s="1212"/>
      <c r="X287" s="1213">
        <f t="shared" si="164"/>
        <v>2695.5238904109583</v>
      </c>
      <c r="Y287" s="1214">
        <v>42675</v>
      </c>
      <c r="Z287" s="1220">
        <v>2.7E-2</v>
      </c>
      <c r="AA287" s="1213">
        <f t="shared" si="165"/>
        <v>72.779145041095873</v>
      </c>
      <c r="AB287" s="1216"/>
      <c r="AC287" s="1159">
        <f t="shared" si="166"/>
        <v>31810.39914504109</v>
      </c>
      <c r="AD287" s="1214">
        <v>43040</v>
      </c>
      <c r="AE287" s="1220">
        <v>2.9000000000000001E-2</v>
      </c>
      <c r="AF287" s="1213">
        <f t="shared" si="167"/>
        <v>922.50157520619166</v>
      </c>
    </row>
    <row r="288" spans="1:32">
      <c r="A288" s="1217">
        <v>2010</v>
      </c>
      <c r="B288" s="1219">
        <v>117702</v>
      </c>
      <c r="C288" s="1219">
        <v>1</v>
      </c>
      <c r="D288" s="1219">
        <v>17702</v>
      </c>
      <c r="E288" s="1219" t="s">
        <v>2861</v>
      </c>
      <c r="F288" s="1217" t="s">
        <v>2978</v>
      </c>
      <c r="G288" s="1207">
        <v>1835.6799999999998</v>
      </c>
      <c r="H288" s="1207">
        <v>54.48</v>
      </c>
      <c r="I288" s="1207">
        <v>183.753333</v>
      </c>
      <c r="J288" s="1207">
        <v>48</v>
      </c>
      <c r="K288" s="1207">
        <v>30</v>
      </c>
      <c r="L288" s="1208">
        <v>39653.299999999996</v>
      </c>
      <c r="M288" s="1207">
        <v>1828.5400000000002</v>
      </c>
      <c r="N288" s="1207">
        <v>4262.75</v>
      </c>
      <c r="O288" s="1207">
        <v>1037.52</v>
      </c>
      <c r="P288" s="1207">
        <v>4906.7300000000005</v>
      </c>
      <c r="Q288" s="1207">
        <v>1368.05</v>
      </c>
      <c r="R288" s="1209">
        <f t="shared" si="160"/>
        <v>53056.89</v>
      </c>
      <c r="S288" s="1159">
        <f t="shared" si="161"/>
        <v>2151.913333</v>
      </c>
      <c r="T288" s="1159">
        <f t="shared" si="162"/>
        <v>261.753333</v>
      </c>
      <c r="U288" s="1210">
        <f t="shared" si="163"/>
        <v>1890.1599999999999</v>
      </c>
      <c r="V288" s="1211"/>
      <c r="W288" s="1212"/>
      <c r="X288" s="1213">
        <f t="shared" si="164"/>
        <v>22415.204767123283</v>
      </c>
      <c r="Y288" s="1214">
        <v>42826</v>
      </c>
      <c r="Z288" s="1220">
        <v>2.1983161833489355E-2</v>
      </c>
      <c r="AA288" s="1213">
        <f t="shared" si="165"/>
        <v>492.7570739264732</v>
      </c>
      <c r="AB288" s="1216"/>
      <c r="AC288" s="1159">
        <f t="shared" si="166"/>
        <v>45446.327073926463</v>
      </c>
      <c r="AD288" s="1214">
        <v>43252</v>
      </c>
      <c r="AE288" s="1220">
        <v>2.5000000000000001E-2</v>
      </c>
      <c r="AF288" s="1213">
        <f t="shared" si="167"/>
        <v>1136.1581768481617</v>
      </c>
    </row>
    <row r="289" spans="1:32">
      <c r="A289" s="1217">
        <v>2010</v>
      </c>
      <c r="B289" s="1219">
        <v>102702</v>
      </c>
      <c r="C289" s="1219">
        <v>1</v>
      </c>
      <c r="D289" s="1219">
        <v>2702</v>
      </c>
      <c r="E289" s="1219" t="s">
        <v>2862</v>
      </c>
      <c r="F289" s="1217" t="s">
        <v>2979</v>
      </c>
      <c r="G289" s="1207">
        <v>1888</v>
      </c>
      <c r="H289" s="1207">
        <v>0</v>
      </c>
      <c r="I289" s="1207">
        <v>136</v>
      </c>
      <c r="J289" s="1207">
        <v>40</v>
      </c>
      <c r="K289" s="1207">
        <v>16</v>
      </c>
      <c r="L289" s="1208">
        <v>94130.180700000026</v>
      </c>
      <c r="M289" s="1207">
        <v>0</v>
      </c>
      <c r="N289" s="1207">
        <v>7188.93</v>
      </c>
      <c r="O289" s="1207">
        <v>2017.5200000000002</v>
      </c>
      <c r="P289" s="1207">
        <v>0</v>
      </c>
      <c r="Q289" s="1207">
        <v>496.11</v>
      </c>
      <c r="R289" s="1209">
        <f t="shared" si="160"/>
        <v>103832.74070000002</v>
      </c>
      <c r="S289" s="1159">
        <f t="shared" si="161"/>
        <v>2080</v>
      </c>
      <c r="T289" s="1159">
        <f t="shared" si="162"/>
        <v>192</v>
      </c>
      <c r="U289" s="1210">
        <f t="shared" si="163"/>
        <v>1888</v>
      </c>
      <c r="V289" s="1211"/>
      <c r="W289" s="1212"/>
      <c r="X289" s="1213">
        <f t="shared" si="164"/>
        <v>60020.180023013709</v>
      </c>
      <c r="Y289" s="1214">
        <v>42856</v>
      </c>
      <c r="Z289" s="1220">
        <v>3.9E-2</v>
      </c>
      <c r="AA289" s="1213">
        <f t="shared" si="165"/>
        <v>2340.7870208975346</v>
      </c>
      <c r="AB289" s="1216"/>
      <c r="AC289" s="1159">
        <f t="shared" si="166"/>
        <v>105677.41772089756</v>
      </c>
      <c r="AD289" s="1214">
        <v>43221</v>
      </c>
      <c r="AE289" s="1220">
        <v>2.5000000000000001E-2</v>
      </c>
      <c r="AF289" s="1213">
        <f t="shared" si="167"/>
        <v>2641.9354430224394</v>
      </c>
    </row>
    <row r="290" spans="1:32">
      <c r="A290" s="1217">
        <v>2010</v>
      </c>
      <c r="B290" s="1219">
        <v>54572</v>
      </c>
      <c r="C290" s="1219">
        <v>5</v>
      </c>
      <c r="D290" s="1219">
        <v>54572</v>
      </c>
      <c r="E290" s="1219" t="s">
        <v>2863</v>
      </c>
      <c r="F290" s="1217" t="s">
        <v>2979</v>
      </c>
      <c r="G290" s="1207">
        <v>544</v>
      </c>
      <c r="H290" s="1207">
        <v>0</v>
      </c>
      <c r="I290" s="1207">
        <v>8</v>
      </c>
      <c r="J290" s="1207">
        <v>0</v>
      </c>
      <c r="K290" s="1207">
        <v>8</v>
      </c>
      <c r="L290" s="1208">
        <v>18095.139900000002</v>
      </c>
      <c r="M290" s="1207">
        <v>0</v>
      </c>
      <c r="N290" s="1207">
        <v>266.11</v>
      </c>
      <c r="O290" s="1207">
        <v>0</v>
      </c>
      <c r="P290" s="1207">
        <v>0</v>
      </c>
      <c r="Q290" s="1207">
        <v>266.10000000000002</v>
      </c>
      <c r="R290" s="1209">
        <f t="shared" si="160"/>
        <v>18627.349900000001</v>
      </c>
      <c r="S290" s="1159">
        <f t="shared" si="161"/>
        <v>560</v>
      </c>
      <c r="T290" s="1159">
        <f t="shared" si="162"/>
        <v>16</v>
      </c>
      <c r="U290" s="1210">
        <f t="shared" si="163"/>
        <v>544</v>
      </c>
      <c r="V290" s="1211"/>
      <c r="W290" s="1212"/>
      <c r="X290" s="1213"/>
      <c r="Y290" s="1214"/>
      <c r="Z290" s="1220">
        <v>0</v>
      </c>
      <c r="AA290" s="1213">
        <f t="shared" si="165"/>
        <v>0</v>
      </c>
      <c r="AB290" s="1216"/>
      <c r="AC290" s="1159">
        <f t="shared" si="166"/>
        <v>18361.249900000003</v>
      </c>
      <c r="AD290" s="1214"/>
      <c r="AE290" s="1220">
        <v>0</v>
      </c>
      <c r="AF290" s="1213">
        <f t="shared" si="167"/>
        <v>0</v>
      </c>
    </row>
    <row r="291" spans="1:32">
      <c r="A291" s="1217">
        <v>2010</v>
      </c>
      <c r="B291" s="1219">
        <v>103115</v>
      </c>
      <c r="C291" s="1219">
        <v>1</v>
      </c>
      <c r="D291" s="1219">
        <v>3115</v>
      </c>
      <c r="E291" s="1219" t="s">
        <v>2864</v>
      </c>
      <c r="F291" s="1217" t="s">
        <v>2979</v>
      </c>
      <c r="G291" s="1207">
        <v>1848</v>
      </c>
      <c r="H291" s="1207">
        <v>0</v>
      </c>
      <c r="I291" s="1207">
        <v>192</v>
      </c>
      <c r="J291" s="1207">
        <v>40</v>
      </c>
      <c r="K291" s="1207">
        <v>0</v>
      </c>
      <c r="L291" s="1208">
        <v>82870.099999999977</v>
      </c>
      <c r="M291" s="1207">
        <v>0</v>
      </c>
      <c r="N291" s="1207">
        <v>8610.9000000000015</v>
      </c>
      <c r="O291" s="1207">
        <v>1794</v>
      </c>
      <c r="P291" s="1207">
        <v>0</v>
      </c>
      <c r="Q291" s="1207">
        <v>541.4</v>
      </c>
      <c r="R291" s="1209">
        <f t="shared" si="160"/>
        <v>93816.399999999965</v>
      </c>
      <c r="S291" s="1159">
        <f t="shared" si="161"/>
        <v>2080</v>
      </c>
      <c r="T291" s="1159">
        <f t="shared" si="162"/>
        <v>232</v>
      </c>
      <c r="U291" s="1210">
        <f t="shared" si="163"/>
        <v>1848</v>
      </c>
      <c r="V291" s="1211"/>
      <c r="W291" s="1212"/>
      <c r="X291" s="1213"/>
      <c r="Y291" s="1214"/>
      <c r="Z291" s="1220">
        <v>0</v>
      </c>
      <c r="AA291" s="1213">
        <f t="shared" si="165"/>
        <v>0</v>
      </c>
      <c r="AB291" s="1216"/>
      <c r="AC291" s="1159">
        <f t="shared" si="166"/>
        <v>93274.999999999971</v>
      </c>
      <c r="AD291" s="1214"/>
      <c r="AE291" s="1220">
        <v>0</v>
      </c>
      <c r="AF291" s="1213">
        <f t="shared" si="167"/>
        <v>0</v>
      </c>
    </row>
    <row r="292" spans="1:32">
      <c r="A292" s="1217">
        <v>2010</v>
      </c>
      <c r="B292" s="1219">
        <v>155733</v>
      </c>
      <c r="C292" s="1219">
        <v>1</v>
      </c>
      <c r="D292" s="1219">
        <v>55733</v>
      </c>
      <c r="E292" s="1219" t="s">
        <v>2865</v>
      </c>
      <c r="F292" s="1217" t="s">
        <v>2979</v>
      </c>
      <c r="G292" s="1207">
        <v>1448</v>
      </c>
      <c r="H292" s="1207">
        <v>0</v>
      </c>
      <c r="I292" s="1207">
        <v>32</v>
      </c>
      <c r="J292" s="1207">
        <v>40</v>
      </c>
      <c r="K292" s="1207">
        <v>0</v>
      </c>
      <c r="L292" s="1208">
        <v>51509.770000000019</v>
      </c>
      <c r="M292" s="1207">
        <v>0</v>
      </c>
      <c r="N292" s="1207">
        <v>1143.3599999999999</v>
      </c>
      <c r="O292" s="1207">
        <v>1415.2799999999997</v>
      </c>
      <c r="P292" s="1207">
        <v>0</v>
      </c>
      <c r="Q292" s="1207">
        <v>332.1</v>
      </c>
      <c r="R292" s="1209">
        <f t="shared" si="160"/>
        <v>54400.510000000017</v>
      </c>
      <c r="S292" s="1159">
        <f t="shared" si="161"/>
        <v>1520</v>
      </c>
      <c r="T292" s="1159">
        <f t="shared" si="162"/>
        <v>72</v>
      </c>
      <c r="U292" s="1210">
        <f t="shared" si="163"/>
        <v>1448</v>
      </c>
      <c r="V292" s="1211"/>
      <c r="W292" s="1212"/>
      <c r="X292" s="1213">
        <f t="shared" si="164"/>
        <v>18220.313506849321</v>
      </c>
      <c r="Y292" s="1214">
        <v>42767</v>
      </c>
      <c r="Z292" s="1220">
        <v>2.5000000000000001E-2</v>
      </c>
      <c r="AA292" s="1213">
        <f t="shared" si="165"/>
        <v>455.50783767123306</v>
      </c>
      <c r="AB292" s="1216"/>
      <c r="AC292" s="1159">
        <f t="shared" si="166"/>
        <v>54523.917837671252</v>
      </c>
      <c r="AD292" s="1214">
        <v>43132</v>
      </c>
      <c r="AE292" s="1220">
        <v>2.5000000000000001E-2</v>
      </c>
      <c r="AF292" s="1213">
        <f t="shared" si="167"/>
        <v>1363.0979459417813</v>
      </c>
    </row>
    <row r="293" spans="1:32">
      <c r="A293" s="1217">
        <v>2010</v>
      </c>
      <c r="B293" s="1219">
        <v>103786</v>
      </c>
      <c r="C293" s="1219">
        <v>1</v>
      </c>
      <c r="D293" s="1219">
        <v>3786</v>
      </c>
      <c r="E293" s="1219" t="s">
        <v>2866</v>
      </c>
      <c r="F293" s="1217" t="s">
        <v>2979</v>
      </c>
      <c r="G293" s="1207">
        <v>264</v>
      </c>
      <c r="H293" s="1207">
        <v>0</v>
      </c>
      <c r="I293" s="1207">
        <v>160.19999999999999</v>
      </c>
      <c r="J293" s="1207">
        <v>8</v>
      </c>
      <c r="K293" s="1207">
        <v>0</v>
      </c>
      <c r="L293" s="1208">
        <v>7805.75</v>
      </c>
      <c r="M293" s="1207">
        <v>0</v>
      </c>
      <c r="N293" s="1207">
        <v>4737.1200000000008</v>
      </c>
      <c r="O293" s="1207">
        <v>236.56</v>
      </c>
      <c r="P293" s="1207">
        <v>0</v>
      </c>
      <c r="Q293" s="1207">
        <v>5.37</v>
      </c>
      <c r="R293" s="1209">
        <f t="shared" si="160"/>
        <v>12784.800000000001</v>
      </c>
      <c r="S293" s="1159">
        <f t="shared" si="161"/>
        <v>432.2</v>
      </c>
      <c r="T293" s="1159">
        <f t="shared" si="162"/>
        <v>168.2</v>
      </c>
      <c r="U293" s="1210">
        <f t="shared" si="163"/>
        <v>264</v>
      </c>
      <c r="V293" s="1211"/>
      <c r="W293" s="1212"/>
      <c r="X293" s="1213"/>
      <c r="Y293" s="1214"/>
      <c r="Z293" s="1220">
        <v>0</v>
      </c>
      <c r="AA293" s="1213">
        <f t="shared" si="165"/>
        <v>0</v>
      </c>
      <c r="AB293" s="1216"/>
      <c r="AC293" s="1159">
        <f t="shared" si="166"/>
        <v>12779.43</v>
      </c>
      <c r="AD293" s="1214"/>
      <c r="AE293" s="1220">
        <v>0</v>
      </c>
      <c r="AF293" s="1213">
        <f t="shared" si="167"/>
        <v>0</v>
      </c>
    </row>
    <row r="294" spans="1:32">
      <c r="A294" s="1217">
        <v>2010</v>
      </c>
      <c r="B294" s="1219">
        <v>158399</v>
      </c>
      <c r="C294" s="1219">
        <v>1</v>
      </c>
      <c r="D294" s="1219">
        <v>58399</v>
      </c>
      <c r="E294" s="1219" t="s">
        <v>2867</v>
      </c>
      <c r="F294" s="1217" t="s">
        <v>2980</v>
      </c>
      <c r="G294" s="1207">
        <v>1435.9333349999999</v>
      </c>
      <c r="H294" s="1207">
        <v>54.950006999999992</v>
      </c>
      <c r="I294" s="1207">
        <v>16.59</v>
      </c>
      <c r="J294" s="1207">
        <v>40</v>
      </c>
      <c r="K294" s="1207">
        <v>20.5</v>
      </c>
      <c r="L294" s="1208">
        <v>23354.780000000002</v>
      </c>
      <c r="M294" s="1207">
        <v>1348.5900000000001</v>
      </c>
      <c r="N294" s="1207">
        <v>604.56999999999994</v>
      </c>
      <c r="O294" s="1207">
        <v>640.79999999999995</v>
      </c>
      <c r="P294" s="1207">
        <v>442</v>
      </c>
      <c r="Q294" s="1207">
        <v>0.55999999999999994</v>
      </c>
      <c r="R294" s="1209">
        <f t="shared" si="160"/>
        <v>26391.300000000003</v>
      </c>
      <c r="S294" s="1159">
        <f t="shared" si="161"/>
        <v>1567.9733419999998</v>
      </c>
      <c r="T294" s="1159">
        <f t="shared" si="162"/>
        <v>77.09</v>
      </c>
      <c r="U294" s="1210">
        <f t="shared" si="163"/>
        <v>1490.8833419999999</v>
      </c>
      <c r="V294" s="1211"/>
      <c r="W294" s="1212"/>
      <c r="X294" s="1221"/>
      <c r="Y294" s="1214"/>
      <c r="Z294" s="1220">
        <v>0</v>
      </c>
      <c r="AA294" s="1213">
        <f t="shared" si="165"/>
        <v>0</v>
      </c>
      <c r="AB294" s="1216"/>
      <c r="AC294" s="1159">
        <f t="shared" si="166"/>
        <v>24600.15</v>
      </c>
      <c r="AD294" s="1214"/>
      <c r="AE294" s="1220">
        <v>0</v>
      </c>
      <c r="AF294" s="1213">
        <f t="shared" si="167"/>
        <v>0</v>
      </c>
    </row>
    <row r="295" spans="1:32">
      <c r="A295" s="1217">
        <v>2010</v>
      </c>
      <c r="B295" s="1219">
        <v>301041</v>
      </c>
      <c r="C295" s="1219">
        <v>3</v>
      </c>
      <c r="D295" s="1219">
        <v>1041</v>
      </c>
      <c r="E295" s="1219" t="s">
        <v>2868</v>
      </c>
      <c r="F295" s="1217" t="s">
        <v>2980</v>
      </c>
      <c r="G295" s="1207">
        <v>35.983333000000002</v>
      </c>
      <c r="H295" s="1207">
        <v>0</v>
      </c>
      <c r="I295" s="1207">
        <v>0</v>
      </c>
      <c r="J295" s="1207">
        <v>0</v>
      </c>
      <c r="K295" s="1207">
        <v>0</v>
      </c>
      <c r="L295" s="1208">
        <v>521.77</v>
      </c>
      <c r="M295" s="1207">
        <v>0</v>
      </c>
      <c r="N295" s="1207">
        <v>0</v>
      </c>
      <c r="O295" s="1207">
        <v>0</v>
      </c>
      <c r="P295" s="1207">
        <v>0</v>
      </c>
      <c r="Q295" s="1207">
        <v>0</v>
      </c>
      <c r="R295" s="1209">
        <f t="shared" si="160"/>
        <v>521.77</v>
      </c>
      <c r="S295" s="1159">
        <f t="shared" si="161"/>
        <v>35.983333000000002</v>
      </c>
      <c r="T295" s="1159">
        <f t="shared" si="162"/>
        <v>0</v>
      </c>
      <c r="U295" s="1210">
        <f t="shared" si="163"/>
        <v>35.983333000000002</v>
      </c>
      <c r="V295" s="1211"/>
      <c r="W295" s="1212"/>
      <c r="X295" s="1213"/>
      <c r="Y295" s="1214"/>
      <c r="Z295" s="1220">
        <v>0</v>
      </c>
      <c r="AA295" s="1213">
        <f t="shared" si="165"/>
        <v>0</v>
      </c>
      <c r="AB295" s="1216"/>
      <c r="AC295" s="1159">
        <f t="shared" si="166"/>
        <v>521.77</v>
      </c>
      <c r="AD295" s="1214"/>
      <c r="AE295" s="1220">
        <v>0</v>
      </c>
      <c r="AF295" s="1213">
        <f t="shared" si="167"/>
        <v>0</v>
      </c>
    </row>
    <row r="296" spans="1:32">
      <c r="A296" s="1217">
        <v>2010</v>
      </c>
      <c r="B296" s="1219">
        <v>151805</v>
      </c>
      <c r="C296" s="1219">
        <v>1</v>
      </c>
      <c r="D296" s="1219">
        <v>51805</v>
      </c>
      <c r="E296" s="1219" t="s">
        <v>2869</v>
      </c>
      <c r="F296" s="1217" t="s">
        <v>2980</v>
      </c>
      <c r="G296" s="1207">
        <v>1885.043332</v>
      </c>
      <c r="H296" s="1207">
        <v>109.52999699999999</v>
      </c>
      <c r="I296" s="1207">
        <v>157.82</v>
      </c>
      <c r="J296" s="1207">
        <v>48</v>
      </c>
      <c r="K296" s="1207">
        <v>8</v>
      </c>
      <c r="L296" s="1208">
        <v>30907.510000000002</v>
      </c>
      <c r="M296" s="1207">
        <v>2773.45</v>
      </c>
      <c r="N296" s="1207">
        <v>2589.6600000000003</v>
      </c>
      <c r="O296" s="1207">
        <v>789.6</v>
      </c>
      <c r="P296" s="1207">
        <v>1228</v>
      </c>
      <c r="Q296" s="1207">
        <v>169.87999999999997</v>
      </c>
      <c r="R296" s="1209">
        <f t="shared" si="160"/>
        <v>38458.1</v>
      </c>
      <c r="S296" s="1159">
        <f t="shared" si="161"/>
        <v>2208.393329</v>
      </c>
      <c r="T296" s="1159">
        <f t="shared" si="162"/>
        <v>213.82</v>
      </c>
      <c r="U296" s="1210">
        <f t="shared" si="163"/>
        <v>1994.5733290000001</v>
      </c>
      <c r="V296" s="1211"/>
      <c r="W296" s="1212"/>
      <c r="X296" s="1213">
        <f t="shared" si="164"/>
        <v>2912.0270410958906</v>
      </c>
      <c r="Y296" s="1214">
        <v>42675</v>
      </c>
      <c r="Z296" s="1220">
        <v>2.8000000000000001E-2</v>
      </c>
      <c r="AA296" s="1213">
        <f t="shared" si="165"/>
        <v>81.536757150684934</v>
      </c>
      <c r="AB296" s="1216"/>
      <c r="AC296" s="1159">
        <f t="shared" si="166"/>
        <v>34368.306757150691</v>
      </c>
      <c r="AD296" s="1214">
        <v>43040</v>
      </c>
      <c r="AE296" s="1220">
        <v>2.1999999999999999E-2</v>
      </c>
      <c r="AF296" s="1213">
        <f t="shared" si="167"/>
        <v>756.10274865731515</v>
      </c>
    </row>
    <row r="297" spans="1:32">
      <c r="A297" s="1217">
        <v>2010</v>
      </c>
      <c r="B297" s="1219">
        <v>150895</v>
      </c>
      <c r="C297" s="1219">
        <v>1</v>
      </c>
      <c r="D297" s="1219">
        <v>50895</v>
      </c>
      <c r="E297" s="1219" t="s">
        <v>2870</v>
      </c>
      <c r="F297" s="1217" t="s">
        <v>2980</v>
      </c>
      <c r="G297" s="1207">
        <v>838.64332900000011</v>
      </c>
      <c r="H297" s="1207">
        <v>13.4</v>
      </c>
      <c r="I297" s="1207">
        <v>209.62</v>
      </c>
      <c r="J297" s="1207">
        <v>24</v>
      </c>
      <c r="K297" s="1207">
        <v>0</v>
      </c>
      <c r="L297" s="1208">
        <v>12762.519999999997</v>
      </c>
      <c r="M297" s="1207">
        <v>338.32</v>
      </c>
      <c r="N297" s="1207">
        <v>3204.0299999999997</v>
      </c>
      <c r="O297" s="1207">
        <v>367.20000000000005</v>
      </c>
      <c r="P297" s="1207">
        <v>1005</v>
      </c>
      <c r="Q297" s="1207">
        <v>37.130000000000003</v>
      </c>
      <c r="R297" s="1209">
        <f t="shared" si="160"/>
        <v>17714.199999999997</v>
      </c>
      <c r="S297" s="1159">
        <f t="shared" si="161"/>
        <v>1085.663329</v>
      </c>
      <c r="T297" s="1159">
        <f t="shared" si="162"/>
        <v>233.62</v>
      </c>
      <c r="U297" s="1210">
        <f t="shared" si="163"/>
        <v>852.04332899999997</v>
      </c>
      <c r="V297" s="1211"/>
      <c r="W297" s="1212"/>
      <c r="X297" s="1213">
        <f t="shared" si="164"/>
        <v>1387.2499999999998</v>
      </c>
      <c r="Y297" s="1214">
        <v>42675</v>
      </c>
      <c r="Z297" s="1220">
        <v>0.02</v>
      </c>
      <c r="AA297" s="1213">
        <f t="shared" si="165"/>
        <v>27.744999999999997</v>
      </c>
      <c r="AB297" s="1216"/>
      <c r="AC297" s="1159">
        <f t="shared" si="166"/>
        <v>16361.494999999997</v>
      </c>
      <c r="AD297" s="1214">
        <v>43040</v>
      </c>
      <c r="AE297" s="1220">
        <v>0</v>
      </c>
      <c r="AF297" s="1213">
        <f t="shared" si="167"/>
        <v>0</v>
      </c>
    </row>
    <row r="298" spans="1:32">
      <c r="A298" s="1217">
        <v>2010</v>
      </c>
      <c r="B298" s="1219">
        <v>158440</v>
      </c>
      <c r="C298" s="1219">
        <v>1</v>
      </c>
      <c r="D298" s="1219">
        <v>58440</v>
      </c>
      <c r="E298" s="1219" t="s">
        <v>2871</v>
      </c>
      <c r="F298" s="1217" t="s">
        <v>2980</v>
      </c>
      <c r="G298" s="1207">
        <v>1886.7833309999999</v>
      </c>
      <c r="H298" s="1207">
        <v>92.066661999999994</v>
      </c>
      <c r="I298" s="1207">
        <v>74.61</v>
      </c>
      <c r="J298" s="1207">
        <v>48</v>
      </c>
      <c r="K298" s="1207">
        <v>16</v>
      </c>
      <c r="L298" s="1208">
        <v>28380.67</v>
      </c>
      <c r="M298" s="1207">
        <v>2078.0700000000002</v>
      </c>
      <c r="N298" s="1207">
        <v>1113.1199999999999</v>
      </c>
      <c r="O298" s="1207">
        <v>725.6</v>
      </c>
      <c r="P298" s="1207">
        <v>223</v>
      </c>
      <c r="Q298" s="1207">
        <v>276.32</v>
      </c>
      <c r="R298" s="1209">
        <f t="shared" si="160"/>
        <v>32796.78</v>
      </c>
      <c r="S298" s="1159">
        <f t="shared" si="161"/>
        <v>2117.4599929999999</v>
      </c>
      <c r="T298" s="1159">
        <f t="shared" si="162"/>
        <v>138.61000000000001</v>
      </c>
      <c r="U298" s="1210">
        <f t="shared" si="163"/>
        <v>1978.8499929999998</v>
      </c>
      <c r="V298" s="1211"/>
      <c r="W298" s="1212"/>
      <c r="X298" s="1213">
        <f t="shared" si="164"/>
        <v>2566.5783287671229</v>
      </c>
      <c r="Y298" s="1214">
        <v>42675</v>
      </c>
      <c r="Z298" s="1220">
        <v>1.4E-2</v>
      </c>
      <c r="AA298" s="1213">
        <f t="shared" si="165"/>
        <v>35.932096602739719</v>
      </c>
      <c r="AB298" s="1216"/>
      <c r="AC298" s="1159">
        <f t="shared" si="166"/>
        <v>30255.322096602737</v>
      </c>
      <c r="AD298" s="1214">
        <v>43040</v>
      </c>
      <c r="AE298" s="1220">
        <v>2.3E-2</v>
      </c>
      <c r="AF298" s="1213">
        <f t="shared" si="167"/>
        <v>695.87240822186288</v>
      </c>
    </row>
    <row r="299" spans="1:32">
      <c r="A299" s="1217">
        <v>2010</v>
      </c>
      <c r="B299" s="1219">
        <v>156865</v>
      </c>
      <c r="C299" s="1219">
        <v>1</v>
      </c>
      <c r="D299" s="1219">
        <v>56865</v>
      </c>
      <c r="E299" s="1219" t="s">
        <v>2872</v>
      </c>
      <c r="F299" s="1217" t="s">
        <v>2980</v>
      </c>
      <c r="G299" s="1207">
        <v>1824.849993</v>
      </c>
      <c r="H299" s="1207">
        <v>47.556663999999998</v>
      </c>
      <c r="I299" s="1207">
        <v>131.13999999999999</v>
      </c>
      <c r="J299" s="1207">
        <v>48</v>
      </c>
      <c r="K299" s="1207">
        <v>8</v>
      </c>
      <c r="L299" s="1208">
        <v>27773.760000000002</v>
      </c>
      <c r="M299" s="1207">
        <v>1094.03</v>
      </c>
      <c r="N299" s="1207">
        <v>1995.73</v>
      </c>
      <c r="O299" s="1207">
        <v>732</v>
      </c>
      <c r="P299" s="1207">
        <v>781</v>
      </c>
      <c r="Q299" s="1207">
        <v>159.11000000000001</v>
      </c>
      <c r="R299" s="1209">
        <f t="shared" si="160"/>
        <v>32535.63</v>
      </c>
      <c r="S299" s="1159">
        <f t="shared" si="161"/>
        <v>2059.5466569999999</v>
      </c>
      <c r="T299" s="1159">
        <f t="shared" si="162"/>
        <v>187.14</v>
      </c>
      <c r="U299" s="1210">
        <f t="shared" si="163"/>
        <v>1872.406657</v>
      </c>
      <c r="V299" s="1211"/>
      <c r="W299" s="1212"/>
      <c r="X299" s="1213">
        <f t="shared" si="164"/>
        <v>2590.5375068493149</v>
      </c>
      <c r="Y299" s="1214">
        <v>42675</v>
      </c>
      <c r="Z299" s="1220">
        <v>1.7000000000000001E-2</v>
      </c>
      <c r="AA299" s="1213">
        <f t="shared" si="165"/>
        <v>44.03913761643836</v>
      </c>
      <c r="AB299" s="1216"/>
      <c r="AC299" s="1159">
        <f t="shared" si="166"/>
        <v>30545.529137616439</v>
      </c>
      <c r="AD299" s="1214">
        <v>43040</v>
      </c>
      <c r="AE299" s="1220">
        <v>2.3E-2</v>
      </c>
      <c r="AF299" s="1213">
        <f t="shared" si="167"/>
        <v>702.54717016517804</v>
      </c>
    </row>
    <row r="300" spans="1:32">
      <c r="A300" s="1217">
        <v>2010</v>
      </c>
      <c r="B300" s="1219">
        <v>155632</v>
      </c>
      <c r="C300" s="1219">
        <v>1</v>
      </c>
      <c r="D300" s="1219">
        <v>55632</v>
      </c>
      <c r="E300" s="1219" t="s">
        <v>2873</v>
      </c>
      <c r="F300" s="1217" t="s">
        <v>2980</v>
      </c>
      <c r="G300" s="1207">
        <v>1264.5853349999998</v>
      </c>
      <c r="H300" s="1207">
        <v>59.273334000000006</v>
      </c>
      <c r="I300" s="1207">
        <v>102.53</v>
      </c>
      <c r="J300" s="1207">
        <v>24</v>
      </c>
      <c r="K300" s="1207">
        <v>8</v>
      </c>
      <c r="L300" s="1208">
        <v>18856.599999999999</v>
      </c>
      <c r="M300" s="1207">
        <v>1383.31</v>
      </c>
      <c r="N300" s="1207">
        <v>1531.13</v>
      </c>
      <c r="O300" s="1207">
        <v>360</v>
      </c>
      <c r="P300" s="1207">
        <v>1487.2</v>
      </c>
      <c r="Q300" s="1207">
        <v>157.12</v>
      </c>
      <c r="R300" s="1209">
        <f t="shared" si="160"/>
        <v>23775.360000000001</v>
      </c>
      <c r="S300" s="1159">
        <f t="shared" si="161"/>
        <v>1458.3886689999997</v>
      </c>
      <c r="T300" s="1159">
        <f t="shared" si="162"/>
        <v>134.53</v>
      </c>
      <c r="U300" s="1210">
        <f t="shared" si="163"/>
        <v>1323.8586689999997</v>
      </c>
      <c r="V300" s="1211"/>
      <c r="W300" s="1212"/>
      <c r="X300" s="1213">
        <f t="shared" si="164"/>
        <v>1762.1359726027397</v>
      </c>
      <c r="Y300" s="1214">
        <v>42675</v>
      </c>
      <c r="Z300" s="1220">
        <v>3.4000000000000002E-2</v>
      </c>
      <c r="AA300" s="1213">
        <f t="shared" si="165"/>
        <v>59.912623068493154</v>
      </c>
      <c r="AB300" s="1216"/>
      <c r="AC300" s="1159">
        <f t="shared" si="166"/>
        <v>20807.642623068492</v>
      </c>
      <c r="AD300" s="1214">
        <v>43040</v>
      </c>
      <c r="AE300" s="1220">
        <v>0</v>
      </c>
      <c r="AF300" s="1213">
        <f t="shared" si="167"/>
        <v>0</v>
      </c>
    </row>
    <row r="301" spans="1:32">
      <c r="A301" s="1217">
        <v>2010</v>
      </c>
      <c r="B301" s="1219">
        <v>157334</v>
      </c>
      <c r="C301" s="1219">
        <v>1</v>
      </c>
      <c r="D301" s="1219">
        <v>57334</v>
      </c>
      <c r="E301" s="1219" t="s">
        <v>2874</v>
      </c>
      <c r="F301" s="1217" t="s">
        <v>2980</v>
      </c>
      <c r="G301" s="1207">
        <v>1932.649999</v>
      </c>
      <c r="H301" s="1207">
        <v>133.97332700000001</v>
      </c>
      <c r="I301" s="1207">
        <v>104.23</v>
      </c>
      <c r="J301" s="1207">
        <v>48</v>
      </c>
      <c r="K301" s="1207">
        <v>16</v>
      </c>
      <c r="L301" s="1208">
        <v>29153.71</v>
      </c>
      <c r="M301" s="1207">
        <v>3081.9100000000003</v>
      </c>
      <c r="N301" s="1207">
        <v>1576.4899999999998</v>
      </c>
      <c r="O301" s="1207">
        <v>728</v>
      </c>
      <c r="P301" s="1207">
        <v>670</v>
      </c>
      <c r="Q301" s="1207">
        <v>275.12</v>
      </c>
      <c r="R301" s="1209">
        <f t="shared" si="160"/>
        <v>35485.230000000003</v>
      </c>
      <c r="S301" s="1159">
        <f t="shared" si="161"/>
        <v>2234.8533259999999</v>
      </c>
      <c r="T301" s="1159">
        <f t="shared" si="162"/>
        <v>168.23000000000002</v>
      </c>
      <c r="U301" s="1210">
        <f t="shared" si="163"/>
        <v>2066.6233259999999</v>
      </c>
      <c r="V301" s="1211"/>
      <c r="W301" s="1212"/>
      <c r="X301" s="1213">
        <f t="shared" si="164"/>
        <v>2671.7923287671229</v>
      </c>
      <c r="Y301" s="1214">
        <v>42675</v>
      </c>
      <c r="Z301" s="1220">
        <v>1.7000000000000001E-2</v>
      </c>
      <c r="AA301" s="1213">
        <f t="shared" si="165"/>
        <v>45.42046958904109</v>
      </c>
      <c r="AB301" s="1216"/>
      <c r="AC301" s="1159">
        <f t="shared" si="166"/>
        <v>31503.620469589037</v>
      </c>
      <c r="AD301" s="1214">
        <v>43040</v>
      </c>
      <c r="AE301" s="1220">
        <v>2.3E-2</v>
      </c>
      <c r="AF301" s="1213">
        <f t="shared" si="167"/>
        <v>724.58327080054789</v>
      </c>
    </row>
    <row r="302" spans="1:32">
      <c r="A302" s="1217">
        <v>2010</v>
      </c>
      <c r="B302" s="1219">
        <v>158436</v>
      </c>
      <c r="C302" s="1219">
        <v>1</v>
      </c>
      <c r="D302" s="1219">
        <v>58436</v>
      </c>
      <c r="E302" s="1219" t="s">
        <v>2875</v>
      </c>
      <c r="F302" s="1217" t="s">
        <v>2980</v>
      </c>
      <c r="G302" s="1207">
        <v>831.44333199999994</v>
      </c>
      <c r="H302" s="1207">
        <v>36.603332999999999</v>
      </c>
      <c r="I302" s="1207">
        <v>49.61</v>
      </c>
      <c r="J302" s="1207">
        <v>24</v>
      </c>
      <c r="K302" s="1207">
        <v>16</v>
      </c>
      <c r="L302" s="1208">
        <v>12302.13</v>
      </c>
      <c r="M302" s="1207">
        <v>860.58</v>
      </c>
      <c r="N302" s="1207">
        <v>736.98</v>
      </c>
      <c r="O302" s="1207">
        <v>359.6</v>
      </c>
      <c r="P302" s="1207">
        <v>1005</v>
      </c>
      <c r="Q302" s="1207">
        <v>275.53000000000003</v>
      </c>
      <c r="R302" s="1209">
        <f t="shared" si="160"/>
        <v>15539.82</v>
      </c>
      <c r="S302" s="1159">
        <f t="shared" si="161"/>
        <v>957.65666499999998</v>
      </c>
      <c r="T302" s="1159">
        <f t="shared" si="162"/>
        <v>89.61</v>
      </c>
      <c r="U302" s="1210">
        <f t="shared" si="163"/>
        <v>868.04666499999996</v>
      </c>
      <c r="V302" s="1211"/>
      <c r="W302" s="1212"/>
      <c r="X302" s="1213">
        <f t="shared" si="164"/>
        <v>1137.9726301369863</v>
      </c>
      <c r="Y302" s="1214">
        <v>42675</v>
      </c>
      <c r="Z302" s="1220">
        <v>0.01</v>
      </c>
      <c r="AA302" s="1213">
        <f t="shared" si="165"/>
        <v>11.379726301369862</v>
      </c>
      <c r="AB302" s="1216"/>
      <c r="AC302" s="1159">
        <f t="shared" si="166"/>
        <v>13410.089726301369</v>
      </c>
      <c r="AD302" s="1214">
        <v>43040</v>
      </c>
      <c r="AE302" s="1220">
        <v>0</v>
      </c>
      <c r="AF302" s="1213">
        <f t="shared" si="167"/>
        <v>0</v>
      </c>
    </row>
    <row r="303" spans="1:32">
      <c r="A303" s="1217">
        <v>2010</v>
      </c>
      <c r="B303" s="1219">
        <v>154515</v>
      </c>
      <c r="C303" s="1219">
        <v>1</v>
      </c>
      <c r="D303" s="1219">
        <v>54515</v>
      </c>
      <c r="E303" s="1219" t="s">
        <v>2876</v>
      </c>
      <c r="F303" s="1217" t="s">
        <v>2980</v>
      </c>
      <c r="G303" s="1207">
        <v>1944.2666630000001</v>
      </c>
      <c r="H303" s="1207">
        <v>146.37</v>
      </c>
      <c r="I303" s="1207">
        <v>102.96000000000001</v>
      </c>
      <c r="J303" s="1207">
        <v>48</v>
      </c>
      <c r="K303" s="1207">
        <v>8</v>
      </c>
      <c r="L303" s="1208">
        <v>31405.639999999996</v>
      </c>
      <c r="M303" s="1207">
        <v>3549.0299999999997</v>
      </c>
      <c r="N303" s="1207">
        <v>1651.52</v>
      </c>
      <c r="O303" s="1207">
        <v>777.6</v>
      </c>
      <c r="P303" s="1207">
        <v>223</v>
      </c>
      <c r="Q303" s="1207">
        <v>211.79</v>
      </c>
      <c r="R303" s="1209">
        <f t="shared" si="160"/>
        <v>37818.579999999994</v>
      </c>
      <c r="S303" s="1159">
        <f t="shared" si="161"/>
        <v>2249.5966630000003</v>
      </c>
      <c r="T303" s="1159">
        <f t="shared" si="162"/>
        <v>158.96</v>
      </c>
      <c r="U303" s="1210">
        <f t="shared" si="163"/>
        <v>2090.6366630000002</v>
      </c>
      <c r="V303" s="1211"/>
      <c r="W303" s="1212"/>
      <c r="X303" s="1213">
        <f t="shared" si="164"/>
        <v>2873.6371506849309</v>
      </c>
      <c r="Y303" s="1214">
        <v>42675</v>
      </c>
      <c r="Z303" s="1220">
        <v>2.9000000000000001E-2</v>
      </c>
      <c r="AA303" s="1213">
        <f t="shared" si="165"/>
        <v>83.335477369863</v>
      </c>
      <c r="AB303" s="1216"/>
      <c r="AC303" s="1159">
        <f t="shared" si="166"/>
        <v>33918.095477369861</v>
      </c>
      <c r="AD303" s="1214">
        <v>43040</v>
      </c>
      <c r="AE303" s="1220">
        <v>2.8000000000000001E-2</v>
      </c>
      <c r="AF303" s="1213">
        <f t="shared" si="167"/>
        <v>949.70667336635609</v>
      </c>
    </row>
    <row r="304" spans="1:32">
      <c r="A304" s="1217">
        <v>2010</v>
      </c>
      <c r="B304" s="1219">
        <v>157657</v>
      </c>
      <c r="C304" s="1219">
        <v>1</v>
      </c>
      <c r="D304" s="1219">
        <v>57657</v>
      </c>
      <c r="E304" s="1219" t="s">
        <v>2877</v>
      </c>
      <c r="F304" s="1217" t="s">
        <v>2980</v>
      </c>
      <c r="G304" s="1207">
        <v>1893.5666649999998</v>
      </c>
      <c r="H304" s="1207">
        <v>182.49333100000001</v>
      </c>
      <c r="I304" s="1207">
        <v>91.19</v>
      </c>
      <c r="J304" s="1207">
        <v>40</v>
      </c>
      <c r="K304" s="1207">
        <v>16</v>
      </c>
      <c r="L304" s="1208">
        <v>29000.269799999998</v>
      </c>
      <c r="M304" s="1207">
        <v>4236.92</v>
      </c>
      <c r="N304" s="1207">
        <v>1385.4099999999999</v>
      </c>
      <c r="O304" s="1207">
        <v>614</v>
      </c>
      <c r="P304" s="1207">
        <v>335</v>
      </c>
      <c r="Q304" s="1207">
        <v>269.88</v>
      </c>
      <c r="R304" s="1209">
        <f t="shared" si="160"/>
        <v>35841.479799999994</v>
      </c>
      <c r="S304" s="1159">
        <f t="shared" si="161"/>
        <v>2223.249996</v>
      </c>
      <c r="T304" s="1159">
        <f t="shared" si="162"/>
        <v>147.19</v>
      </c>
      <c r="U304" s="1210">
        <f t="shared" si="163"/>
        <v>2076.059996</v>
      </c>
      <c r="V304" s="1211"/>
      <c r="W304" s="1212"/>
      <c r="X304" s="1213">
        <f t="shared" si="164"/>
        <v>2632.8495172602738</v>
      </c>
      <c r="Y304" s="1214">
        <v>42675</v>
      </c>
      <c r="Z304" s="1220">
        <v>2.3E-2</v>
      </c>
      <c r="AA304" s="1213">
        <f t="shared" si="165"/>
        <v>60.555538896986299</v>
      </c>
      <c r="AB304" s="1216"/>
      <c r="AC304" s="1159">
        <f t="shared" si="166"/>
        <v>31060.235338896986</v>
      </c>
      <c r="AD304" s="1214">
        <v>43040</v>
      </c>
      <c r="AE304" s="1220">
        <v>2.3E-2</v>
      </c>
      <c r="AF304" s="1213">
        <f t="shared" si="167"/>
        <v>714.38541279463061</v>
      </c>
    </row>
    <row r="305" spans="1:32">
      <c r="A305" s="1217">
        <v>2010</v>
      </c>
      <c r="B305" s="1219">
        <v>301976</v>
      </c>
      <c r="C305" s="1219">
        <v>3</v>
      </c>
      <c r="D305" s="1219">
        <v>1976</v>
      </c>
      <c r="E305" s="1219" t="s">
        <v>2878</v>
      </c>
      <c r="F305" s="1217" t="s">
        <v>2980</v>
      </c>
      <c r="G305" s="1207">
        <v>276.66666499999997</v>
      </c>
      <c r="H305" s="1207">
        <v>14.299999000000001</v>
      </c>
      <c r="I305" s="1207">
        <v>0</v>
      </c>
      <c r="J305" s="1207">
        <v>0</v>
      </c>
      <c r="K305" s="1207">
        <v>0</v>
      </c>
      <c r="L305" s="1208">
        <v>4011.67</v>
      </c>
      <c r="M305" s="1207">
        <v>311.07000000000005</v>
      </c>
      <c r="N305" s="1207">
        <v>0</v>
      </c>
      <c r="O305" s="1207">
        <v>0</v>
      </c>
      <c r="P305" s="1207">
        <v>0</v>
      </c>
      <c r="Q305" s="1207">
        <v>0</v>
      </c>
      <c r="R305" s="1209">
        <f t="shared" si="160"/>
        <v>4322.74</v>
      </c>
      <c r="S305" s="1159">
        <f t="shared" si="161"/>
        <v>290.96666399999998</v>
      </c>
      <c r="T305" s="1159">
        <f t="shared" si="162"/>
        <v>0</v>
      </c>
      <c r="U305" s="1210">
        <f t="shared" si="163"/>
        <v>290.96666399999998</v>
      </c>
      <c r="V305" s="1211"/>
      <c r="W305" s="1212"/>
      <c r="X305" s="1213"/>
      <c r="Y305" s="1214"/>
      <c r="Z305" s="1220">
        <v>0</v>
      </c>
      <c r="AA305" s="1213">
        <f t="shared" si="165"/>
        <v>0</v>
      </c>
      <c r="AB305" s="1216"/>
      <c r="AC305" s="1159">
        <f t="shared" si="166"/>
        <v>4011.67</v>
      </c>
      <c r="AD305" s="1214"/>
      <c r="AE305" s="1220">
        <v>0</v>
      </c>
      <c r="AF305" s="1213">
        <f t="shared" si="167"/>
        <v>0</v>
      </c>
    </row>
    <row r="306" spans="1:32">
      <c r="A306" s="1217">
        <v>2010</v>
      </c>
      <c r="B306" s="1219">
        <v>300698</v>
      </c>
      <c r="C306" s="1219">
        <v>3</v>
      </c>
      <c r="D306" s="1219">
        <v>698</v>
      </c>
      <c r="E306" s="1219" t="s">
        <v>2879</v>
      </c>
      <c r="F306" s="1217" t="s">
        <v>2980</v>
      </c>
      <c r="G306" s="1207">
        <v>674.48333400000001</v>
      </c>
      <c r="H306" s="1207">
        <v>26.966665000000003</v>
      </c>
      <c r="I306" s="1207">
        <v>11.89</v>
      </c>
      <c r="J306" s="1207">
        <v>0</v>
      </c>
      <c r="K306" s="1207">
        <v>0</v>
      </c>
      <c r="L306" s="1208">
        <v>9780.0399999999991</v>
      </c>
      <c r="M306" s="1207">
        <v>586.61</v>
      </c>
      <c r="N306" s="1207">
        <v>172.41000000000003</v>
      </c>
      <c r="O306" s="1207">
        <v>0</v>
      </c>
      <c r="P306" s="1207">
        <v>0</v>
      </c>
      <c r="Q306" s="1207">
        <v>0</v>
      </c>
      <c r="R306" s="1209">
        <f t="shared" si="160"/>
        <v>10539.06</v>
      </c>
      <c r="S306" s="1159">
        <f t="shared" si="161"/>
        <v>713.33999900000003</v>
      </c>
      <c r="T306" s="1159">
        <f t="shared" si="162"/>
        <v>11.89</v>
      </c>
      <c r="U306" s="1210">
        <f t="shared" si="163"/>
        <v>701.44999900000005</v>
      </c>
      <c r="V306" s="1211"/>
      <c r="W306" s="1212"/>
      <c r="X306" s="1213"/>
      <c r="Y306" s="1214"/>
      <c r="Z306" s="1220">
        <v>0</v>
      </c>
      <c r="AA306" s="1213">
        <f t="shared" si="165"/>
        <v>0</v>
      </c>
      <c r="AB306" s="1216"/>
      <c r="AC306" s="1159">
        <f t="shared" si="166"/>
        <v>9952.4499999999989</v>
      </c>
      <c r="AD306" s="1214"/>
      <c r="AE306" s="1220">
        <v>0</v>
      </c>
      <c r="AF306" s="1213">
        <f t="shared" si="167"/>
        <v>0</v>
      </c>
    </row>
    <row r="307" spans="1:32">
      <c r="A307" s="1217">
        <v>2010</v>
      </c>
      <c r="B307" s="1219">
        <v>157324</v>
      </c>
      <c r="C307" s="1219">
        <v>1</v>
      </c>
      <c r="D307" s="1219">
        <v>57324</v>
      </c>
      <c r="E307" s="1219" t="s">
        <v>2880</v>
      </c>
      <c r="F307" s="1217" t="s">
        <v>2980</v>
      </c>
      <c r="G307" s="1207">
        <v>1561.9533340000003</v>
      </c>
      <c r="H307" s="1207">
        <v>64.349997000000002</v>
      </c>
      <c r="I307" s="1207">
        <v>80.13</v>
      </c>
      <c r="J307" s="1207">
        <v>48</v>
      </c>
      <c r="K307" s="1207">
        <v>16</v>
      </c>
      <c r="L307" s="1208">
        <v>23763.68</v>
      </c>
      <c r="M307" s="1207">
        <v>1477.8600000000001</v>
      </c>
      <c r="N307" s="1207">
        <v>1218.2</v>
      </c>
      <c r="O307" s="1207">
        <v>732</v>
      </c>
      <c r="P307" s="1207">
        <v>223</v>
      </c>
      <c r="Q307" s="1207">
        <v>281.12</v>
      </c>
      <c r="R307" s="1209">
        <f t="shared" si="160"/>
        <v>27695.86</v>
      </c>
      <c r="S307" s="1159">
        <f t="shared" si="161"/>
        <v>1770.4333310000002</v>
      </c>
      <c r="T307" s="1159">
        <f t="shared" si="162"/>
        <v>144.13</v>
      </c>
      <c r="U307" s="1210">
        <f t="shared" si="163"/>
        <v>1626.3033310000001</v>
      </c>
      <c r="V307" s="1211"/>
      <c r="W307" s="1212"/>
      <c r="X307" s="1213">
        <f t="shared" si="164"/>
        <v>2183.9185753424658</v>
      </c>
      <c r="Y307" s="1214">
        <v>42675</v>
      </c>
      <c r="Z307" s="1220">
        <v>1.7000000000000001E-2</v>
      </c>
      <c r="AA307" s="1213">
        <f t="shared" si="165"/>
        <v>37.126615780821922</v>
      </c>
      <c r="AB307" s="1216"/>
      <c r="AC307" s="1159">
        <f t="shared" si="166"/>
        <v>25751.006615780821</v>
      </c>
      <c r="AD307" s="1214">
        <v>43040</v>
      </c>
      <c r="AE307" s="1220">
        <v>2.3E-2</v>
      </c>
      <c r="AF307" s="1213">
        <f t="shared" si="167"/>
        <v>592.27315216295892</v>
      </c>
    </row>
    <row r="308" spans="1:32">
      <c r="A308" s="1217">
        <v>2010</v>
      </c>
      <c r="B308" s="1219">
        <v>102491</v>
      </c>
      <c r="C308" s="1219">
        <v>1</v>
      </c>
      <c r="D308" s="1219">
        <v>2491</v>
      </c>
      <c r="E308" s="1219" t="s">
        <v>2881</v>
      </c>
      <c r="F308" s="1217" t="s">
        <v>2980</v>
      </c>
      <c r="G308" s="1207">
        <v>1829.786666</v>
      </c>
      <c r="H308" s="1207">
        <v>49.573335999999998</v>
      </c>
      <c r="I308" s="1207">
        <v>269.03666700000002</v>
      </c>
      <c r="J308" s="1207">
        <v>48</v>
      </c>
      <c r="K308" s="1207">
        <v>32</v>
      </c>
      <c r="L308" s="1208">
        <v>33661.94000000001</v>
      </c>
      <c r="M308" s="1207">
        <v>1364.7199999999998</v>
      </c>
      <c r="N308" s="1207">
        <v>5197.1100000000006</v>
      </c>
      <c r="O308" s="1207">
        <v>908.96</v>
      </c>
      <c r="P308" s="1207">
        <v>600</v>
      </c>
      <c r="Q308" s="1207">
        <v>409.09000000000003</v>
      </c>
      <c r="R308" s="1209">
        <f t="shared" si="160"/>
        <v>42141.820000000007</v>
      </c>
      <c r="S308" s="1159">
        <f t="shared" si="161"/>
        <v>2228.3966689999997</v>
      </c>
      <c r="T308" s="1159">
        <f t="shared" si="162"/>
        <v>349.03666700000002</v>
      </c>
      <c r="U308" s="1210">
        <f t="shared" si="163"/>
        <v>1879.3600019999997</v>
      </c>
      <c r="V308" s="1211"/>
      <c r="W308" s="1212"/>
      <c r="X308" s="1213">
        <f t="shared" si="164"/>
        <v>36499.406438356171</v>
      </c>
      <c r="Y308" s="1214">
        <v>42979</v>
      </c>
      <c r="Z308" s="1220">
        <v>0.25555555555555554</v>
      </c>
      <c r="AA308" s="1213">
        <f t="shared" si="165"/>
        <v>9327.6260898021319</v>
      </c>
      <c r="AB308" s="1216"/>
      <c r="AC308" s="1159">
        <f t="shared" si="166"/>
        <v>49095.636089802138</v>
      </c>
      <c r="AD308" s="1214">
        <v>43191</v>
      </c>
      <c r="AE308" s="1220">
        <v>2.5000000000000001E-2</v>
      </c>
      <c r="AF308" s="1213">
        <f t="shared" si="167"/>
        <v>1227.3909022450534</v>
      </c>
    </row>
    <row r="309" spans="1:32">
      <c r="A309" s="1217">
        <v>2010</v>
      </c>
      <c r="B309" s="1219">
        <v>103167</v>
      </c>
      <c r="C309" s="1219">
        <v>1</v>
      </c>
      <c r="D309" s="1219">
        <v>3167</v>
      </c>
      <c r="E309" s="1219" t="s">
        <v>2882</v>
      </c>
      <c r="F309" s="1217" t="s">
        <v>2980</v>
      </c>
      <c r="G309" s="1207">
        <v>1863.3666619999999</v>
      </c>
      <c r="H309" s="1207">
        <v>116.37333599999998</v>
      </c>
      <c r="I309" s="1207">
        <v>179.32999999999998</v>
      </c>
      <c r="J309" s="1207">
        <v>48</v>
      </c>
      <c r="K309" s="1207">
        <v>8</v>
      </c>
      <c r="L309" s="1208">
        <v>31313.799899999998</v>
      </c>
      <c r="M309" s="1207">
        <v>2930.6000000000004</v>
      </c>
      <c r="N309" s="1207">
        <v>3021.77</v>
      </c>
      <c r="O309" s="1207">
        <v>808.8</v>
      </c>
      <c r="P309" s="1207">
        <v>0</v>
      </c>
      <c r="Q309" s="1207">
        <v>176.92000000000002</v>
      </c>
      <c r="R309" s="1209">
        <f t="shared" si="160"/>
        <v>38251.889899999995</v>
      </c>
      <c r="S309" s="1159">
        <f t="shared" si="161"/>
        <v>2215.0699979999999</v>
      </c>
      <c r="T309" s="1159">
        <f t="shared" si="162"/>
        <v>235.32999999999998</v>
      </c>
      <c r="U309" s="1210">
        <f t="shared" si="163"/>
        <v>1979.739998</v>
      </c>
      <c r="V309" s="1211"/>
      <c r="W309" s="1212"/>
      <c r="X309" s="1213">
        <f t="shared" si="164"/>
        <v>2984.8642928767122</v>
      </c>
      <c r="Y309" s="1214">
        <v>42675</v>
      </c>
      <c r="Z309" s="1220">
        <v>2.1212121212121297E-2</v>
      </c>
      <c r="AA309" s="1213">
        <f t="shared" si="165"/>
        <v>63.315303182233542</v>
      </c>
      <c r="AB309" s="1216"/>
      <c r="AC309" s="1159">
        <f t="shared" si="166"/>
        <v>35207.685203182235</v>
      </c>
      <c r="AD309" s="1214">
        <v>43040</v>
      </c>
      <c r="AE309" s="1220">
        <v>2.1000000000000001E-2</v>
      </c>
      <c r="AF309" s="1213">
        <f t="shared" si="167"/>
        <v>739.36138926682702</v>
      </c>
    </row>
    <row r="310" spans="1:32">
      <c r="A310" s="1217">
        <v>2010</v>
      </c>
      <c r="B310" s="1219">
        <v>157658</v>
      </c>
      <c r="C310" s="1219">
        <v>1</v>
      </c>
      <c r="D310" s="1219">
        <v>57658</v>
      </c>
      <c r="E310" s="1219" t="s">
        <v>2883</v>
      </c>
      <c r="F310" s="1217" t="s">
        <v>2980</v>
      </c>
      <c r="G310" s="1207">
        <v>1901.4333340000003</v>
      </c>
      <c r="H310" s="1207">
        <v>266.25000199999994</v>
      </c>
      <c r="I310" s="1207">
        <v>107.25</v>
      </c>
      <c r="J310" s="1207">
        <v>48</v>
      </c>
      <c r="K310" s="1207">
        <v>16</v>
      </c>
      <c r="L310" s="1208">
        <v>33714.600099999996</v>
      </c>
      <c r="M310" s="1207">
        <v>7078.9400000000005</v>
      </c>
      <c r="N310" s="1207">
        <v>1892.69</v>
      </c>
      <c r="O310" s="1207">
        <v>852</v>
      </c>
      <c r="P310" s="1207">
        <v>0</v>
      </c>
      <c r="Q310" s="1207">
        <v>396.99</v>
      </c>
      <c r="R310" s="1209">
        <f t="shared" si="160"/>
        <v>43935.220099999999</v>
      </c>
      <c r="S310" s="1159">
        <f t="shared" si="161"/>
        <v>2338.9333360000001</v>
      </c>
      <c r="T310" s="1159">
        <f t="shared" si="162"/>
        <v>171.25</v>
      </c>
      <c r="U310" s="1210">
        <f t="shared" si="163"/>
        <v>2167.6833360000001</v>
      </c>
      <c r="V310" s="1211"/>
      <c r="W310" s="1212"/>
      <c r="X310" s="1213">
        <f t="shared" si="164"/>
        <v>3096.5424468493147</v>
      </c>
      <c r="Y310" s="1214">
        <v>42675</v>
      </c>
      <c r="Z310" s="1220">
        <v>1.4E-2</v>
      </c>
      <c r="AA310" s="1213">
        <f t="shared" si="165"/>
        <v>43.351594255890404</v>
      </c>
      <c r="AB310" s="1216"/>
      <c r="AC310" s="1159">
        <f t="shared" si="166"/>
        <v>36502.641694255886</v>
      </c>
      <c r="AD310" s="1214">
        <v>43040</v>
      </c>
      <c r="AE310" s="1220">
        <v>0.02</v>
      </c>
      <c r="AF310" s="1213">
        <f t="shared" si="167"/>
        <v>730.05283388511771</v>
      </c>
    </row>
    <row r="311" spans="1:32">
      <c r="A311" s="1217">
        <v>2010</v>
      </c>
      <c r="B311" s="1219">
        <v>103094</v>
      </c>
      <c r="C311" s="1219">
        <v>1</v>
      </c>
      <c r="D311" s="1219">
        <v>3094</v>
      </c>
      <c r="E311" s="1219" t="s">
        <v>2884</v>
      </c>
      <c r="F311" s="1217" t="s">
        <v>2980</v>
      </c>
      <c r="G311" s="1207">
        <v>1905.5366670000003</v>
      </c>
      <c r="H311" s="1207">
        <v>87.826672000000002</v>
      </c>
      <c r="I311" s="1207">
        <v>130.32999999999998</v>
      </c>
      <c r="J311" s="1207">
        <v>48</v>
      </c>
      <c r="K311" s="1207">
        <v>8</v>
      </c>
      <c r="L311" s="1208">
        <v>33065.570000000007</v>
      </c>
      <c r="M311" s="1207">
        <v>2288.0700000000002</v>
      </c>
      <c r="N311" s="1207">
        <v>2262.58</v>
      </c>
      <c r="O311" s="1207">
        <v>835.2</v>
      </c>
      <c r="P311" s="1207">
        <v>0</v>
      </c>
      <c r="Q311" s="1207">
        <v>197.42</v>
      </c>
      <c r="R311" s="1209">
        <f t="shared" si="160"/>
        <v>38648.840000000004</v>
      </c>
      <c r="S311" s="1159">
        <f t="shared" si="161"/>
        <v>2179.6933390000004</v>
      </c>
      <c r="T311" s="1159">
        <f t="shared" si="162"/>
        <v>186.32999999999998</v>
      </c>
      <c r="U311" s="1210">
        <f t="shared" si="163"/>
        <v>1993.3633390000005</v>
      </c>
      <c r="V311" s="1211"/>
      <c r="W311" s="1212"/>
      <c r="X311" s="1213">
        <f t="shared" si="164"/>
        <v>3071.4078082191786</v>
      </c>
      <c r="Y311" s="1214">
        <v>42675</v>
      </c>
      <c r="Z311" s="1220">
        <v>2.3529411764705799E-2</v>
      </c>
      <c r="AA311" s="1213">
        <f t="shared" si="165"/>
        <v>72.268419016921598</v>
      </c>
      <c r="AB311" s="1216"/>
      <c r="AC311" s="1159">
        <f t="shared" si="166"/>
        <v>36235.61841901693</v>
      </c>
      <c r="AD311" s="1214">
        <v>43040</v>
      </c>
      <c r="AE311" s="1220">
        <v>0.02</v>
      </c>
      <c r="AF311" s="1213">
        <f t="shared" si="167"/>
        <v>724.7123683803386</v>
      </c>
    </row>
    <row r="312" spans="1:32">
      <c r="A312" s="1217">
        <v>2010</v>
      </c>
      <c r="B312" s="1219">
        <v>150932</v>
      </c>
      <c r="C312" s="1219">
        <v>1</v>
      </c>
      <c r="D312" s="1219">
        <v>50932</v>
      </c>
      <c r="E312" s="1219" t="s">
        <v>2885</v>
      </c>
      <c r="F312" s="1217" t="s">
        <v>2980</v>
      </c>
      <c r="G312" s="1207">
        <v>1928.6833359999998</v>
      </c>
      <c r="H312" s="1207">
        <v>114.58666499999998</v>
      </c>
      <c r="I312" s="1207">
        <v>98.34</v>
      </c>
      <c r="J312" s="1207">
        <v>48</v>
      </c>
      <c r="K312" s="1207">
        <v>8</v>
      </c>
      <c r="L312" s="1208">
        <v>29624.019999999997</v>
      </c>
      <c r="M312" s="1207">
        <v>2699.3900000000003</v>
      </c>
      <c r="N312" s="1207">
        <v>1496.17</v>
      </c>
      <c r="O312" s="1207">
        <v>739.2</v>
      </c>
      <c r="P312" s="1207">
        <v>670</v>
      </c>
      <c r="Q312" s="1207">
        <v>160.32</v>
      </c>
      <c r="R312" s="1209">
        <f t="shared" si="160"/>
        <v>35389.099999999991</v>
      </c>
      <c r="S312" s="1159">
        <f t="shared" si="161"/>
        <v>2197.610001</v>
      </c>
      <c r="T312" s="1159">
        <f t="shared" si="162"/>
        <v>154.34</v>
      </c>
      <c r="U312" s="1210">
        <f t="shared" si="163"/>
        <v>2043.2700010000001</v>
      </c>
      <c r="V312" s="1211"/>
      <c r="W312" s="1212"/>
      <c r="X312" s="1213">
        <f t="shared" si="164"/>
        <v>2705.8659999999995</v>
      </c>
      <c r="Y312" s="1214">
        <v>42675</v>
      </c>
      <c r="Z312" s="1220">
        <v>2.7E-2</v>
      </c>
      <c r="AA312" s="1213">
        <f t="shared" si="165"/>
        <v>73.05838199999998</v>
      </c>
      <c r="AB312" s="1216"/>
      <c r="AC312" s="1159">
        <f t="shared" si="166"/>
        <v>31932.448381999995</v>
      </c>
      <c r="AD312" s="1214">
        <v>43040</v>
      </c>
      <c r="AE312" s="1220">
        <v>2.3E-2</v>
      </c>
      <c r="AF312" s="1213">
        <f t="shared" si="167"/>
        <v>734.44631278599991</v>
      </c>
    </row>
    <row r="313" spans="1:32">
      <c r="A313" s="1217">
        <v>2010</v>
      </c>
      <c r="B313" s="1219">
        <v>151804</v>
      </c>
      <c r="C313" s="1219">
        <v>1</v>
      </c>
      <c r="D313" s="1219">
        <v>51804</v>
      </c>
      <c r="E313" s="1219" t="s">
        <v>2886</v>
      </c>
      <c r="F313" s="1217" t="s">
        <v>2980</v>
      </c>
      <c r="G313" s="1207">
        <v>1159.5233349999999</v>
      </c>
      <c r="H313" s="1207">
        <v>0</v>
      </c>
      <c r="I313" s="1207">
        <v>7.42</v>
      </c>
      <c r="J313" s="1207">
        <v>0</v>
      </c>
      <c r="K313" s="1207">
        <v>0</v>
      </c>
      <c r="L313" s="1208">
        <v>17495.88</v>
      </c>
      <c r="M313" s="1207">
        <v>0</v>
      </c>
      <c r="N313" s="1207">
        <v>112.79</v>
      </c>
      <c r="O313" s="1207">
        <v>0</v>
      </c>
      <c r="P313" s="1207">
        <v>223</v>
      </c>
      <c r="Q313" s="1207">
        <v>37.119999999999997</v>
      </c>
      <c r="R313" s="1209">
        <f t="shared" si="160"/>
        <v>17868.79</v>
      </c>
      <c r="S313" s="1159">
        <f t="shared" si="161"/>
        <v>1166.9433349999999</v>
      </c>
      <c r="T313" s="1159">
        <f t="shared" si="162"/>
        <v>7.42</v>
      </c>
      <c r="U313" s="1210">
        <f t="shared" si="163"/>
        <v>1159.5233349999999</v>
      </c>
      <c r="V313" s="1211"/>
      <c r="W313" s="1212"/>
      <c r="X313" s="1213">
        <f t="shared" si="164"/>
        <v>1495.5308767123288</v>
      </c>
      <c r="Y313" s="1214">
        <v>42675</v>
      </c>
      <c r="Z313" s="1220">
        <v>1.4E-2</v>
      </c>
      <c r="AA313" s="1213">
        <f t="shared" si="165"/>
        <v>20.937432273972604</v>
      </c>
      <c r="AB313" s="1216"/>
      <c r="AC313" s="1159">
        <f t="shared" si="166"/>
        <v>17629.607432273973</v>
      </c>
      <c r="AD313" s="1214">
        <v>43040</v>
      </c>
      <c r="AE313" s="1220">
        <v>2.5999999999999999E-2</v>
      </c>
      <c r="AF313" s="1213">
        <f t="shared" si="167"/>
        <v>458.36979323912328</v>
      </c>
    </row>
    <row r="314" spans="1:32">
      <c r="A314" s="1217">
        <v>2010</v>
      </c>
      <c r="B314" s="1219">
        <v>157655</v>
      </c>
      <c r="C314" s="1219">
        <v>1</v>
      </c>
      <c r="D314" s="1219">
        <v>57655</v>
      </c>
      <c r="E314" s="1219" t="s">
        <v>2887</v>
      </c>
      <c r="F314" s="1217" t="s">
        <v>2980</v>
      </c>
      <c r="G314" s="1207">
        <v>1924.716668</v>
      </c>
      <c r="H314" s="1207">
        <v>108.40999399999998</v>
      </c>
      <c r="I314" s="1207">
        <v>96.82</v>
      </c>
      <c r="J314" s="1207">
        <v>48</v>
      </c>
      <c r="K314" s="1207">
        <v>8</v>
      </c>
      <c r="L314" s="1208">
        <v>29547.189899999994</v>
      </c>
      <c r="M314" s="1207">
        <v>2532.96</v>
      </c>
      <c r="N314" s="1207">
        <v>1488.5300000000002</v>
      </c>
      <c r="O314" s="1207">
        <v>739.2</v>
      </c>
      <c r="P314" s="1207">
        <v>1005</v>
      </c>
      <c r="Q314" s="1207">
        <v>160.32</v>
      </c>
      <c r="R314" s="1209">
        <f t="shared" si="160"/>
        <v>35473.199899999992</v>
      </c>
      <c r="S314" s="1159">
        <f t="shared" si="161"/>
        <v>2185.9466620000003</v>
      </c>
      <c r="T314" s="1159">
        <f t="shared" si="162"/>
        <v>152.82</v>
      </c>
      <c r="U314" s="1210">
        <f t="shared" si="163"/>
        <v>2033.1266620000004</v>
      </c>
      <c r="V314" s="1211"/>
      <c r="W314" s="1212"/>
      <c r="X314" s="1213">
        <f t="shared" si="164"/>
        <v>2698.6918271232871</v>
      </c>
      <c r="Y314" s="1214">
        <v>42675</v>
      </c>
      <c r="Z314" s="1220">
        <v>2.7E-2</v>
      </c>
      <c r="AA314" s="1213">
        <f t="shared" si="165"/>
        <v>72.864679332328748</v>
      </c>
      <c r="AB314" s="1216"/>
      <c r="AC314" s="1159">
        <f t="shared" si="166"/>
        <v>31847.784579332321</v>
      </c>
      <c r="AD314" s="1214">
        <v>43040</v>
      </c>
      <c r="AE314" s="1220">
        <v>2.5999999999999999E-2</v>
      </c>
      <c r="AF314" s="1213">
        <f t="shared" si="167"/>
        <v>828.04239906264036</v>
      </c>
    </row>
    <row r="315" spans="1:32">
      <c r="A315" s="1217">
        <v>2010</v>
      </c>
      <c r="B315" s="1219">
        <v>301141</v>
      </c>
      <c r="C315" s="1219">
        <v>3</v>
      </c>
      <c r="D315" s="1219">
        <v>1141</v>
      </c>
      <c r="E315" s="1219" t="s">
        <v>2888</v>
      </c>
      <c r="F315" s="1217" t="s">
        <v>2980</v>
      </c>
      <c r="G315" s="1207">
        <v>678.016662</v>
      </c>
      <c r="H315" s="1207">
        <v>28.316666999999995</v>
      </c>
      <c r="I315" s="1207">
        <v>6.51</v>
      </c>
      <c r="J315" s="1207">
        <v>8</v>
      </c>
      <c r="K315" s="1207">
        <v>0</v>
      </c>
      <c r="L315" s="1208">
        <v>10170.26</v>
      </c>
      <c r="M315" s="1207">
        <v>637.21</v>
      </c>
      <c r="N315" s="1207">
        <v>97.65</v>
      </c>
      <c r="O315" s="1207">
        <v>120</v>
      </c>
      <c r="P315" s="1207">
        <v>0</v>
      </c>
      <c r="Q315" s="1207">
        <v>0</v>
      </c>
      <c r="R315" s="1209">
        <f t="shared" si="160"/>
        <v>11025.12</v>
      </c>
      <c r="S315" s="1159">
        <f t="shared" si="161"/>
        <v>720.84332900000004</v>
      </c>
      <c r="T315" s="1159">
        <f t="shared" si="162"/>
        <v>14.51</v>
      </c>
      <c r="U315" s="1210">
        <f t="shared" si="163"/>
        <v>706.33332900000005</v>
      </c>
      <c r="V315" s="1211"/>
      <c r="W315" s="1212"/>
      <c r="X315" s="1221"/>
      <c r="Y315" s="1214"/>
      <c r="Z315" s="1220">
        <v>0</v>
      </c>
      <c r="AA315" s="1213">
        <f t="shared" si="165"/>
        <v>0</v>
      </c>
      <c r="AB315" s="1216"/>
      <c r="AC315" s="1159">
        <f t="shared" si="166"/>
        <v>10387.91</v>
      </c>
      <c r="AD315" s="1214"/>
      <c r="AE315" s="1220">
        <v>0.02</v>
      </c>
      <c r="AF315" s="1213">
        <f t="shared" si="167"/>
        <v>207.75819999999999</v>
      </c>
    </row>
    <row r="316" spans="1:32">
      <c r="A316" s="1217">
        <v>2010</v>
      </c>
      <c r="B316" s="1219">
        <v>117690</v>
      </c>
      <c r="C316" s="1219">
        <v>1</v>
      </c>
      <c r="D316" s="1219">
        <v>17690</v>
      </c>
      <c r="E316" s="1219" t="s">
        <v>2889</v>
      </c>
      <c r="F316" s="1217" t="s">
        <v>2980</v>
      </c>
      <c r="G316" s="1207">
        <v>1269.1199989999998</v>
      </c>
      <c r="H316" s="1207">
        <v>0</v>
      </c>
      <c r="I316" s="1207">
        <v>80.14</v>
      </c>
      <c r="J316" s="1207">
        <v>0</v>
      </c>
      <c r="K316" s="1207">
        <v>0</v>
      </c>
      <c r="L316" s="1208">
        <v>20377.649999999998</v>
      </c>
      <c r="M316" s="1207">
        <v>0</v>
      </c>
      <c r="N316" s="1207">
        <v>1286.52</v>
      </c>
      <c r="O316" s="1207">
        <v>0</v>
      </c>
      <c r="P316" s="1207">
        <v>670</v>
      </c>
      <c r="Q316" s="1207">
        <v>37.119999999999997</v>
      </c>
      <c r="R316" s="1209">
        <f t="shared" si="160"/>
        <v>22371.289999999997</v>
      </c>
      <c r="S316" s="1159">
        <f t="shared" si="161"/>
        <v>1349.2599989999999</v>
      </c>
      <c r="T316" s="1159">
        <f t="shared" si="162"/>
        <v>80.14</v>
      </c>
      <c r="U316" s="1210">
        <f t="shared" si="163"/>
        <v>1269.1199989999998</v>
      </c>
      <c r="V316" s="1211"/>
      <c r="W316" s="1212"/>
      <c r="X316" s="1213">
        <f t="shared" si="164"/>
        <v>1839.9706027397258</v>
      </c>
      <c r="Y316" s="1214">
        <v>42675</v>
      </c>
      <c r="Z316" s="1220">
        <v>2.1999999999999999E-2</v>
      </c>
      <c r="AA316" s="1213">
        <f t="shared" si="165"/>
        <v>40.479353260273967</v>
      </c>
      <c r="AB316" s="1216"/>
      <c r="AC316" s="1159">
        <f t="shared" si="166"/>
        <v>21704.649353260273</v>
      </c>
      <c r="AD316" s="1214">
        <v>43040</v>
      </c>
      <c r="AE316" s="1220">
        <v>2.5000000000000001E-2</v>
      </c>
      <c r="AF316" s="1213">
        <f t="shared" si="167"/>
        <v>542.61623383150686</v>
      </c>
    </row>
    <row r="317" spans="1:32">
      <c r="A317" s="1217">
        <v>2010</v>
      </c>
      <c r="B317" s="1219">
        <v>150123</v>
      </c>
      <c r="C317" s="1219">
        <v>1</v>
      </c>
      <c r="D317" s="1219">
        <v>50123</v>
      </c>
      <c r="E317" s="1219" t="s">
        <v>2890</v>
      </c>
      <c r="F317" s="1217" t="s">
        <v>2980</v>
      </c>
      <c r="G317" s="1207">
        <v>1894.3599959999997</v>
      </c>
      <c r="H317" s="1207">
        <v>112.55667399999999</v>
      </c>
      <c r="I317" s="1207">
        <v>150.81</v>
      </c>
      <c r="J317" s="1207">
        <v>48</v>
      </c>
      <c r="K317" s="1207">
        <v>8</v>
      </c>
      <c r="L317" s="1208">
        <v>31845.169900000004</v>
      </c>
      <c r="M317" s="1207">
        <v>2864.23</v>
      </c>
      <c r="N317" s="1207">
        <v>2532.0199999999995</v>
      </c>
      <c r="O317" s="1207">
        <v>808.8</v>
      </c>
      <c r="P317" s="1207">
        <v>1412</v>
      </c>
      <c r="Q317" s="1207">
        <v>176.08</v>
      </c>
      <c r="R317" s="1209">
        <f t="shared" si="160"/>
        <v>39638.299900000005</v>
      </c>
      <c r="S317" s="1159">
        <f t="shared" si="161"/>
        <v>2213.7266699999996</v>
      </c>
      <c r="T317" s="1159">
        <f t="shared" si="162"/>
        <v>206.81</v>
      </c>
      <c r="U317" s="1210">
        <f t="shared" si="163"/>
        <v>2006.9166699999996</v>
      </c>
      <c r="V317" s="1211"/>
      <c r="W317" s="1212"/>
      <c r="X317" s="1213">
        <f t="shared" si="164"/>
        <v>2988.3991421917813</v>
      </c>
      <c r="Y317" s="1214">
        <v>42675</v>
      </c>
      <c r="Z317" s="1220">
        <v>2.1000000000000001E-2</v>
      </c>
      <c r="AA317" s="1213">
        <f t="shared" si="165"/>
        <v>62.756381986027414</v>
      </c>
      <c r="AB317" s="1216"/>
      <c r="AC317" s="1159">
        <f t="shared" si="166"/>
        <v>35248.746281986038</v>
      </c>
      <c r="AD317" s="1214">
        <v>43040</v>
      </c>
      <c r="AE317" s="1220">
        <v>2.4E-2</v>
      </c>
      <c r="AF317" s="1213">
        <f t="shared" si="167"/>
        <v>845.96991076766494</v>
      </c>
    </row>
    <row r="318" spans="1:32">
      <c r="A318" s="1217">
        <v>2010</v>
      </c>
      <c r="B318" s="1219">
        <v>155656</v>
      </c>
      <c r="C318" s="1219">
        <v>1</v>
      </c>
      <c r="D318" s="1219">
        <v>55656</v>
      </c>
      <c r="E318" s="1219" t="s">
        <v>2891</v>
      </c>
      <c r="F318" s="1217" t="s">
        <v>2980</v>
      </c>
      <c r="G318" s="1207">
        <v>1554.1299990000002</v>
      </c>
      <c r="H318" s="1207">
        <v>45.600000000000009</v>
      </c>
      <c r="I318" s="1207">
        <v>65.41</v>
      </c>
      <c r="J318" s="1207">
        <v>40</v>
      </c>
      <c r="K318" s="1207">
        <v>8</v>
      </c>
      <c r="L318" s="1208">
        <v>23774.5101</v>
      </c>
      <c r="M318" s="1207">
        <v>1044.5500000000002</v>
      </c>
      <c r="N318" s="1207">
        <v>1004.0699999999999</v>
      </c>
      <c r="O318" s="1207">
        <v>614</v>
      </c>
      <c r="P318" s="1207">
        <v>446</v>
      </c>
      <c r="Q318" s="1207">
        <v>159.91999999999999</v>
      </c>
      <c r="R318" s="1209">
        <f t="shared" si="160"/>
        <v>27043.050099999997</v>
      </c>
      <c r="S318" s="1159">
        <f t="shared" si="161"/>
        <v>1713.1399990000002</v>
      </c>
      <c r="T318" s="1159">
        <f t="shared" si="162"/>
        <v>113.41</v>
      </c>
      <c r="U318" s="1210">
        <f t="shared" si="163"/>
        <v>1599.7299990000001</v>
      </c>
      <c r="V318" s="1211"/>
      <c r="W318" s="1212"/>
      <c r="X318" s="1213">
        <f t="shared" si="164"/>
        <v>2156.6300906849315</v>
      </c>
      <c r="Y318" s="1214">
        <v>42675</v>
      </c>
      <c r="Z318" s="1220">
        <v>2.3E-2</v>
      </c>
      <c r="AA318" s="1213">
        <f t="shared" si="165"/>
        <v>49.602492085753425</v>
      </c>
      <c r="AB318" s="1216"/>
      <c r="AC318" s="1159">
        <f t="shared" si="166"/>
        <v>25442.182592085752</v>
      </c>
      <c r="AD318" s="1214">
        <v>43040</v>
      </c>
      <c r="AE318" s="1220">
        <v>2.5999999999999999E-2</v>
      </c>
      <c r="AF318" s="1213">
        <f t="shared" si="167"/>
        <v>661.49674739422949</v>
      </c>
    </row>
    <row r="319" spans="1:32">
      <c r="A319" s="1217">
        <v>2010</v>
      </c>
      <c r="B319" s="1219">
        <v>115649</v>
      </c>
      <c r="C319" s="1219">
        <v>1</v>
      </c>
      <c r="D319" s="1219">
        <v>15649</v>
      </c>
      <c r="E319" s="1219" t="s">
        <v>2892</v>
      </c>
      <c r="F319" s="1217" t="s">
        <v>2980</v>
      </c>
      <c r="G319" s="1207">
        <v>1899.4366660000003</v>
      </c>
      <c r="H319" s="1207">
        <v>78.219999999999985</v>
      </c>
      <c r="I319" s="1207">
        <v>133.64000000000001</v>
      </c>
      <c r="J319" s="1207">
        <v>48</v>
      </c>
      <c r="K319" s="1207">
        <v>8</v>
      </c>
      <c r="L319" s="1208">
        <v>30975.959999999995</v>
      </c>
      <c r="M319" s="1207">
        <v>1914.4999999999995</v>
      </c>
      <c r="N319" s="1207">
        <v>2181.0100000000002</v>
      </c>
      <c r="O319" s="1207">
        <v>784.8</v>
      </c>
      <c r="P319" s="1207">
        <v>335</v>
      </c>
      <c r="Q319" s="1207">
        <v>175.85000000000002</v>
      </c>
      <c r="R319" s="1209">
        <f t="shared" si="160"/>
        <v>36367.119999999995</v>
      </c>
      <c r="S319" s="1159">
        <f t="shared" si="161"/>
        <v>2167.2966660000002</v>
      </c>
      <c r="T319" s="1159">
        <f t="shared" si="162"/>
        <v>189.64000000000001</v>
      </c>
      <c r="U319" s="1210">
        <f t="shared" si="163"/>
        <v>1977.6566660000001</v>
      </c>
      <c r="V319" s="1211"/>
      <c r="W319" s="1212"/>
      <c r="X319" s="1213">
        <f t="shared" si="164"/>
        <v>2882.7256712328763</v>
      </c>
      <c r="Y319" s="1214">
        <v>42675</v>
      </c>
      <c r="Z319" s="1220">
        <v>2.1999999999999999E-2</v>
      </c>
      <c r="AA319" s="1213">
        <f t="shared" si="165"/>
        <v>63.419964767123275</v>
      </c>
      <c r="AB319" s="1216"/>
      <c r="AC319" s="1159">
        <f t="shared" si="166"/>
        <v>34005.189964767123</v>
      </c>
      <c r="AD319" s="1214">
        <v>43040</v>
      </c>
      <c r="AE319" s="1220">
        <v>2.8000000000000001E-2</v>
      </c>
      <c r="AF319" s="1213">
        <f t="shared" si="167"/>
        <v>952.14531901347948</v>
      </c>
    </row>
    <row r="320" spans="1:32">
      <c r="A320" s="1217">
        <v>2010</v>
      </c>
      <c r="B320" s="1219">
        <v>154500</v>
      </c>
      <c r="C320" s="1219">
        <v>1</v>
      </c>
      <c r="D320" s="1219">
        <v>54500</v>
      </c>
      <c r="E320" s="1219" t="s">
        <v>2893</v>
      </c>
      <c r="F320" s="1217" t="s">
        <v>2980</v>
      </c>
      <c r="G320" s="1207">
        <v>1946.460004</v>
      </c>
      <c r="H320" s="1207">
        <v>305.02667099999996</v>
      </c>
      <c r="I320" s="1207">
        <v>92.469999999999985</v>
      </c>
      <c r="J320" s="1207">
        <v>48</v>
      </c>
      <c r="K320" s="1207">
        <v>8</v>
      </c>
      <c r="L320" s="1208">
        <v>36060.1999</v>
      </c>
      <c r="M320" s="1207">
        <v>8497.3799999999992</v>
      </c>
      <c r="N320" s="1207">
        <v>1719.97</v>
      </c>
      <c r="O320" s="1207">
        <v>892.8</v>
      </c>
      <c r="P320" s="1207">
        <v>500</v>
      </c>
      <c r="Q320" s="1207">
        <v>703.12</v>
      </c>
      <c r="R320" s="1209">
        <f t="shared" si="160"/>
        <v>48373.469900000004</v>
      </c>
      <c r="S320" s="1159">
        <f t="shared" si="161"/>
        <v>2399.9566749999999</v>
      </c>
      <c r="T320" s="1159">
        <f t="shared" si="162"/>
        <v>148.46999999999997</v>
      </c>
      <c r="U320" s="1210">
        <f t="shared" si="163"/>
        <v>2251.4866750000001</v>
      </c>
      <c r="V320" s="1211"/>
      <c r="W320" s="1212"/>
      <c r="X320" s="1213">
        <f t="shared" si="164"/>
        <v>3284.5536079452058</v>
      </c>
      <c r="Y320" s="1214">
        <v>42675</v>
      </c>
      <c r="Z320" s="1220">
        <v>3.3000000000000002E-2</v>
      </c>
      <c r="AA320" s="1213">
        <f t="shared" si="165"/>
        <v>108.39026906219179</v>
      </c>
      <c r="AB320" s="1216"/>
      <c r="AC320" s="1159">
        <f t="shared" si="166"/>
        <v>38781.360169062194</v>
      </c>
      <c r="AD320" s="1214">
        <v>43040</v>
      </c>
      <c r="AE320" s="1220">
        <v>2.4E-2</v>
      </c>
      <c r="AF320" s="1213">
        <f t="shared" si="167"/>
        <v>930.75264405749272</v>
      </c>
    </row>
    <row r="321" spans="1:32">
      <c r="A321" s="1217">
        <v>2010</v>
      </c>
      <c r="B321" s="1219">
        <v>116545</v>
      </c>
      <c r="C321" s="1219">
        <v>1</v>
      </c>
      <c r="D321" s="1219">
        <v>16545</v>
      </c>
      <c r="E321" s="1219" t="s">
        <v>2894</v>
      </c>
      <c r="F321" s="1217" t="s">
        <v>2980</v>
      </c>
      <c r="G321" s="1207">
        <v>719.02333199999998</v>
      </c>
      <c r="H321" s="1207">
        <v>0</v>
      </c>
      <c r="I321" s="1207">
        <v>23.57</v>
      </c>
      <c r="J321" s="1207">
        <v>0</v>
      </c>
      <c r="K321" s="1207">
        <v>8</v>
      </c>
      <c r="L321" s="1208">
        <v>12112.559999999998</v>
      </c>
      <c r="M321" s="1207">
        <v>0</v>
      </c>
      <c r="N321" s="1207">
        <v>395.30999999999995</v>
      </c>
      <c r="O321" s="1207">
        <v>0</v>
      </c>
      <c r="P321" s="1207">
        <v>335</v>
      </c>
      <c r="Q321" s="1207">
        <v>248.53999999999996</v>
      </c>
      <c r="R321" s="1209">
        <f t="shared" si="160"/>
        <v>13091.409999999996</v>
      </c>
      <c r="S321" s="1159">
        <f t="shared" si="161"/>
        <v>750.59333200000003</v>
      </c>
      <c r="T321" s="1159">
        <f t="shared" si="162"/>
        <v>31.57</v>
      </c>
      <c r="U321" s="1210">
        <f t="shared" si="163"/>
        <v>719.02333199999998</v>
      </c>
      <c r="V321" s="1211"/>
      <c r="W321" s="1212"/>
      <c r="X321" s="1213">
        <f t="shared" si="164"/>
        <v>1062.3122465753422</v>
      </c>
      <c r="Y321" s="1214">
        <v>42675</v>
      </c>
      <c r="Z321" s="1220">
        <v>2.4E-2</v>
      </c>
      <c r="AA321" s="1213">
        <f t="shared" si="165"/>
        <v>25.495493917808215</v>
      </c>
      <c r="AB321" s="1216"/>
      <c r="AC321" s="1159">
        <f t="shared" si="166"/>
        <v>12533.365493917805</v>
      </c>
      <c r="AD321" s="1214">
        <v>43040</v>
      </c>
      <c r="AE321" s="1220">
        <v>2.4E-2</v>
      </c>
      <c r="AF321" s="1213">
        <f t="shared" si="167"/>
        <v>300.80077185402735</v>
      </c>
    </row>
    <row r="322" spans="1:32">
      <c r="A322" s="1217">
        <v>2010</v>
      </c>
      <c r="B322" s="1219">
        <v>111598</v>
      </c>
      <c r="C322" s="1219">
        <v>1</v>
      </c>
      <c r="D322" s="1219">
        <v>11598</v>
      </c>
      <c r="E322" s="1219" t="s">
        <v>2895</v>
      </c>
      <c r="F322" s="1217" t="s">
        <v>2980</v>
      </c>
      <c r="G322" s="1207">
        <v>1736.7966630000001</v>
      </c>
      <c r="H322" s="1207">
        <v>77.833334999999977</v>
      </c>
      <c r="I322" s="1207">
        <v>54.75</v>
      </c>
      <c r="J322" s="1207">
        <v>24</v>
      </c>
      <c r="K322" s="1207">
        <v>8</v>
      </c>
      <c r="L322" s="1208">
        <v>25579.220099999999</v>
      </c>
      <c r="M322" s="1207">
        <v>1744.8600000000004</v>
      </c>
      <c r="N322" s="1207">
        <v>808.81</v>
      </c>
      <c r="O322" s="1207">
        <v>360</v>
      </c>
      <c r="P322" s="1207">
        <v>446</v>
      </c>
      <c r="Q322" s="1207">
        <v>153.12</v>
      </c>
      <c r="R322" s="1209">
        <f t="shared" si="160"/>
        <v>29092.0101</v>
      </c>
      <c r="S322" s="1159">
        <f t="shared" si="161"/>
        <v>1901.3799980000001</v>
      </c>
      <c r="T322" s="1159">
        <f t="shared" si="162"/>
        <v>86.75</v>
      </c>
      <c r="U322" s="1210">
        <f t="shared" si="163"/>
        <v>1814.6299980000001</v>
      </c>
      <c r="V322" s="1211"/>
      <c r="W322" s="1212"/>
      <c r="X322" s="1221"/>
      <c r="Y322" s="1214"/>
      <c r="Z322" s="1220">
        <v>0</v>
      </c>
      <c r="AA322" s="1213">
        <f t="shared" si="165"/>
        <v>0</v>
      </c>
      <c r="AB322" s="1216"/>
      <c r="AC322" s="1159">
        <f t="shared" si="166"/>
        <v>26748.0301</v>
      </c>
      <c r="AD322" s="1214"/>
      <c r="AE322" s="1220">
        <v>0.02</v>
      </c>
      <c r="AF322" s="1213">
        <f t="shared" si="167"/>
        <v>534.96060199999999</v>
      </c>
    </row>
    <row r="323" spans="1:32">
      <c r="A323" s="1217">
        <v>2010</v>
      </c>
      <c r="B323" s="1219">
        <v>159037</v>
      </c>
      <c r="C323" s="1219">
        <v>1</v>
      </c>
      <c r="D323" s="1219">
        <v>59037</v>
      </c>
      <c r="E323" s="1219" t="s">
        <v>2896</v>
      </c>
      <c r="F323" s="1217" t="s">
        <v>2980</v>
      </c>
      <c r="G323" s="1207">
        <v>1330.9399990000002</v>
      </c>
      <c r="H323" s="1207">
        <v>17.350000999999999</v>
      </c>
      <c r="I323" s="1207">
        <v>18.009999999999998</v>
      </c>
      <c r="J323" s="1207">
        <v>8</v>
      </c>
      <c r="K323" s="1207">
        <v>0</v>
      </c>
      <c r="L323" s="1208">
        <v>19637.800000000003</v>
      </c>
      <c r="M323" s="1207">
        <v>388.2</v>
      </c>
      <c r="N323" s="1207">
        <v>269.32</v>
      </c>
      <c r="O323" s="1207">
        <v>120</v>
      </c>
      <c r="P323" s="1207">
        <v>670</v>
      </c>
      <c r="Q323" s="1207">
        <v>37.11</v>
      </c>
      <c r="R323" s="1209">
        <f t="shared" si="160"/>
        <v>21122.430000000004</v>
      </c>
      <c r="S323" s="1159">
        <f t="shared" si="161"/>
        <v>1374.3000000000002</v>
      </c>
      <c r="T323" s="1159">
        <f t="shared" si="162"/>
        <v>26.009999999999998</v>
      </c>
      <c r="U323" s="1210">
        <f t="shared" si="163"/>
        <v>1348.2900000000002</v>
      </c>
      <c r="V323" s="1211"/>
      <c r="W323" s="1212"/>
      <c r="X323" s="1221"/>
      <c r="Y323" s="1214"/>
      <c r="Z323" s="1220">
        <v>0</v>
      </c>
      <c r="AA323" s="1213">
        <f t="shared" si="165"/>
        <v>0</v>
      </c>
      <c r="AB323" s="1216"/>
      <c r="AC323" s="1159">
        <f t="shared" si="166"/>
        <v>20027.120000000003</v>
      </c>
      <c r="AD323" s="1214"/>
      <c r="AE323" s="1220">
        <v>2.3E-2</v>
      </c>
      <c r="AF323" s="1213">
        <f t="shared" si="167"/>
        <v>460.62376000000006</v>
      </c>
    </row>
    <row r="324" spans="1:32">
      <c r="A324" s="1217">
        <v>2010</v>
      </c>
      <c r="B324" s="1219">
        <v>103313</v>
      </c>
      <c r="C324" s="1219">
        <v>1</v>
      </c>
      <c r="D324" s="1219">
        <v>3313</v>
      </c>
      <c r="E324" s="1219" t="s">
        <v>2897</v>
      </c>
      <c r="F324" s="1217" t="s">
        <v>2980</v>
      </c>
      <c r="G324" s="1207">
        <v>1863.166665</v>
      </c>
      <c r="H324" s="1207">
        <v>138.81</v>
      </c>
      <c r="I324" s="1207">
        <v>64.72</v>
      </c>
      <c r="J324" s="1207">
        <v>48</v>
      </c>
      <c r="K324" s="1207">
        <v>8</v>
      </c>
      <c r="L324" s="1208">
        <v>31354.260000000002</v>
      </c>
      <c r="M324" s="1207">
        <v>3507.82</v>
      </c>
      <c r="N324" s="1207">
        <v>1090.54</v>
      </c>
      <c r="O324" s="1207">
        <v>808.8</v>
      </c>
      <c r="P324" s="1207">
        <v>0</v>
      </c>
      <c r="Q324" s="1207">
        <v>186.15</v>
      </c>
      <c r="R324" s="1209">
        <f t="shared" si="160"/>
        <v>36947.570000000007</v>
      </c>
      <c r="S324" s="1159">
        <f t="shared" si="161"/>
        <v>2122.6966649999999</v>
      </c>
      <c r="T324" s="1159">
        <f t="shared" si="162"/>
        <v>120.72</v>
      </c>
      <c r="U324" s="1210">
        <f t="shared" si="163"/>
        <v>2001.9766649999999</v>
      </c>
      <c r="V324" s="1211"/>
      <c r="W324" s="1212"/>
      <c r="X324" s="1213">
        <f t="shared" si="164"/>
        <v>2824.2783561643841</v>
      </c>
      <c r="Y324" s="1214">
        <v>42675</v>
      </c>
      <c r="Z324" s="1220">
        <v>1.7999999999999999E-2</v>
      </c>
      <c r="AA324" s="1213">
        <f t="shared" si="165"/>
        <v>50.837010410958911</v>
      </c>
      <c r="AB324" s="1216"/>
      <c r="AC324" s="1159">
        <f t="shared" si="166"/>
        <v>33304.437010410962</v>
      </c>
      <c r="AD324" s="1214">
        <v>43040</v>
      </c>
      <c r="AE324" s="1220">
        <v>2.1000000000000001E-2</v>
      </c>
      <c r="AF324" s="1213">
        <f t="shared" si="167"/>
        <v>699.39317721863029</v>
      </c>
    </row>
    <row r="325" spans="1:32">
      <c r="A325" s="1217">
        <v>2010</v>
      </c>
      <c r="B325" s="1219">
        <v>157881</v>
      </c>
      <c r="C325" s="1219">
        <v>1</v>
      </c>
      <c r="D325" s="1219">
        <v>57881</v>
      </c>
      <c r="E325" s="1219" t="s">
        <v>2898</v>
      </c>
      <c r="F325" s="1217" t="s">
        <v>2980</v>
      </c>
      <c r="G325" s="1207">
        <v>1868.9666710000001</v>
      </c>
      <c r="H325" s="1207">
        <v>79.85333799999998</v>
      </c>
      <c r="I325" s="1207">
        <v>101.6</v>
      </c>
      <c r="J325" s="1207">
        <v>48</v>
      </c>
      <c r="K325" s="1207">
        <v>16</v>
      </c>
      <c r="L325" s="1208">
        <v>28403.98</v>
      </c>
      <c r="M325" s="1207">
        <v>1825.4</v>
      </c>
      <c r="N325" s="1207">
        <v>1547.29</v>
      </c>
      <c r="O325" s="1207">
        <v>732</v>
      </c>
      <c r="P325" s="1207">
        <v>781</v>
      </c>
      <c r="Q325" s="1207">
        <v>281.12</v>
      </c>
      <c r="R325" s="1209">
        <f t="shared" si="160"/>
        <v>33570.79</v>
      </c>
      <c r="S325" s="1159">
        <f t="shared" si="161"/>
        <v>2114.4200089999999</v>
      </c>
      <c r="T325" s="1159">
        <f t="shared" si="162"/>
        <v>165.6</v>
      </c>
      <c r="U325" s="1210">
        <f t="shared" si="163"/>
        <v>1948.820009</v>
      </c>
      <c r="V325" s="1211"/>
      <c r="W325" s="1212"/>
      <c r="X325" s="1213">
        <f t="shared" si="164"/>
        <v>2605.9763561643836</v>
      </c>
      <c r="Y325" s="1214">
        <v>42675</v>
      </c>
      <c r="Z325" s="1220">
        <v>1.7000000000000001E-2</v>
      </c>
      <c r="AA325" s="1213">
        <f t="shared" si="165"/>
        <v>44.301598054794525</v>
      </c>
      <c r="AB325" s="1216"/>
      <c r="AC325" s="1159">
        <f t="shared" si="166"/>
        <v>30727.571598054794</v>
      </c>
      <c r="AD325" s="1214">
        <v>43040</v>
      </c>
      <c r="AE325" s="1220">
        <v>2.3E-2</v>
      </c>
      <c r="AF325" s="1213">
        <f t="shared" si="167"/>
        <v>706.73414675526021</v>
      </c>
    </row>
    <row r="326" spans="1:32">
      <c r="A326" s="1217">
        <v>2010</v>
      </c>
      <c r="B326" s="1219">
        <v>115854</v>
      </c>
      <c r="C326" s="1219">
        <v>1</v>
      </c>
      <c r="D326" s="1219">
        <v>15854</v>
      </c>
      <c r="E326" s="1219" t="s">
        <v>2899</v>
      </c>
      <c r="F326" s="1217" t="s">
        <v>2981</v>
      </c>
      <c r="G326" s="1207">
        <v>1859.9599989999997</v>
      </c>
      <c r="H326" s="1207">
        <v>48.413330000000002</v>
      </c>
      <c r="I326" s="1207">
        <v>169.48999999999998</v>
      </c>
      <c r="J326" s="1207">
        <v>48</v>
      </c>
      <c r="K326" s="1207">
        <v>0</v>
      </c>
      <c r="L326" s="1208">
        <v>28262.39</v>
      </c>
      <c r="M326" s="1207">
        <v>1124.6799999999998</v>
      </c>
      <c r="N326" s="1207">
        <v>2559.4799999999996</v>
      </c>
      <c r="O326" s="1207">
        <v>729.6</v>
      </c>
      <c r="P326" s="1207">
        <v>1400</v>
      </c>
      <c r="Q326" s="1207">
        <v>37.11</v>
      </c>
      <c r="R326" s="1209">
        <f t="shared" si="160"/>
        <v>34113.259999999995</v>
      </c>
      <c r="S326" s="1159">
        <f t="shared" si="161"/>
        <v>2125.8633289999998</v>
      </c>
      <c r="T326" s="1159">
        <f t="shared" si="162"/>
        <v>217.48999999999998</v>
      </c>
      <c r="U326" s="1210">
        <f t="shared" si="163"/>
        <v>1908.3733289999998</v>
      </c>
      <c r="V326" s="1211"/>
      <c r="W326" s="1212"/>
      <c r="X326" s="1213">
        <f t="shared" si="164"/>
        <v>15905.398575342466</v>
      </c>
      <c r="Y326" s="1214">
        <v>42828</v>
      </c>
      <c r="Z326" s="1220">
        <v>0.02</v>
      </c>
      <c r="AA326" s="1213">
        <f t="shared" si="165"/>
        <v>318.10797150684931</v>
      </c>
      <c r="AB326" s="1216"/>
      <c r="AC326" s="1159">
        <f t="shared" si="166"/>
        <v>31869.577971506846</v>
      </c>
      <c r="AD326" s="1214">
        <v>43191</v>
      </c>
      <c r="AE326" s="1220">
        <v>2.5000000000000001E-2</v>
      </c>
      <c r="AF326" s="1213">
        <f t="shared" si="167"/>
        <v>796.73944928767116</v>
      </c>
    </row>
    <row r="327" spans="1:32">
      <c r="A327" s="1217">
        <v>2010</v>
      </c>
      <c r="B327" s="1219">
        <v>116879</v>
      </c>
      <c r="C327" s="1219">
        <v>1</v>
      </c>
      <c r="D327" s="1219">
        <v>16879</v>
      </c>
      <c r="E327" s="1219" t="s">
        <v>2900</v>
      </c>
      <c r="F327" s="1217" t="s">
        <v>2981</v>
      </c>
      <c r="G327" s="1207">
        <v>1875.159999</v>
      </c>
      <c r="H327" s="1207">
        <v>52.763328000000001</v>
      </c>
      <c r="I327" s="1207">
        <v>158.07</v>
      </c>
      <c r="J327" s="1207">
        <v>48</v>
      </c>
      <c r="K327" s="1207">
        <v>8</v>
      </c>
      <c r="L327" s="1208">
        <v>26750.639999999999</v>
      </c>
      <c r="M327" s="1207">
        <v>1138.9399999999996</v>
      </c>
      <c r="N327" s="1207">
        <v>2224.94</v>
      </c>
      <c r="O327" s="1207">
        <v>686.40000000000009</v>
      </c>
      <c r="P327" s="1207">
        <v>1400</v>
      </c>
      <c r="Q327" s="1207">
        <v>146.33000000000001</v>
      </c>
      <c r="R327" s="1209">
        <f t="shared" si="160"/>
        <v>32347.25</v>
      </c>
      <c r="S327" s="1159">
        <f t="shared" si="161"/>
        <v>2141.9933270000001</v>
      </c>
      <c r="T327" s="1159">
        <f t="shared" si="162"/>
        <v>214.07</v>
      </c>
      <c r="U327" s="1210">
        <f t="shared" si="163"/>
        <v>1927.9233270000002</v>
      </c>
      <c r="V327" s="1211"/>
      <c r="W327" s="1212"/>
      <c r="X327" s="1213">
        <f t="shared" si="164"/>
        <v>14952.888547945206</v>
      </c>
      <c r="Y327" s="1214">
        <v>42828</v>
      </c>
      <c r="Z327" s="1220">
        <v>9.5238095238095163E-2</v>
      </c>
      <c r="AA327" s="1213">
        <f t="shared" si="165"/>
        <v>1424.0846236138279</v>
      </c>
      <c r="AB327" s="1216"/>
      <c r="AC327" s="1159">
        <f t="shared" si="166"/>
        <v>31086.064623613827</v>
      </c>
      <c r="AD327" s="1214">
        <v>43191</v>
      </c>
      <c r="AE327" s="1220">
        <v>2.5000000000000001E-2</v>
      </c>
      <c r="AF327" s="1213">
        <f t="shared" si="167"/>
        <v>777.15161559034573</v>
      </c>
    </row>
    <row r="328" spans="1:32">
      <c r="A328" s="1217">
        <v>2010</v>
      </c>
      <c r="B328" s="1219">
        <v>157668</v>
      </c>
      <c r="C328" s="1219">
        <v>1</v>
      </c>
      <c r="D328" s="1219">
        <v>57668</v>
      </c>
      <c r="E328" s="1219" t="s">
        <v>2901</v>
      </c>
      <c r="F328" s="1217" t="s">
        <v>2981</v>
      </c>
      <c r="G328" s="1207">
        <v>1975.3600000000001</v>
      </c>
      <c r="H328" s="1207">
        <v>26.360001000000004</v>
      </c>
      <c r="I328" s="1207">
        <v>46.76</v>
      </c>
      <c r="J328" s="1207">
        <v>48</v>
      </c>
      <c r="K328" s="1207">
        <v>8</v>
      </c>
      <c r="L328" s="1208">
        <v>27375.960099999997</v>
      </c>
      <c r="M328" s="1207">
        <v>565.26</v>
      </c>
      <c r="N328" s="1207">
        <v>619.57999999999993</v>
      </c>
      <c r="O328" s="1207">
        <v>666.96</v>
      </c>
      <c r="P328" s="1207">
        <v>600</v>
      </c>
      <c r="Q328" s="1207">
        <v>153.44999999999999</v>
      </c>
      <c r="R328" s="1209">
        <f t="shared" si="160"/>
        <v>29981.210099999993</v>
      </c>
      <c r="S328" s="1159">
        <f t="shared" si="161"/>
        <v>2104.4800010000004</v>
      </c>
      <c r="T328" s="1159">
        <f t="shared" si="162"/>
        <v>102.75999999999999</v>
      </c>
      <c r="U328" s="1210">
        <f t="shared" si="163"/>
        <v>2001.7200010000004</v>
      </c>
      <c r="V328" s="1211"/>
      <c r="W328" s="1212"/>
      <c r="X328" s="1213">
        <f t="shared" si="164"/>
        <v>14449.04114630137</v>
      </c>
      <c r="Y328" s="1214">
        <v>42828</v>
      </c>
      <c r="Z328" s="1220">
        <v>9.7358490566037667E-2</v>
      </c>
      <c r="AA328" s="1213">
        <f t="shared" si="165"/>
        <v>1406.7368361304721</v>
      </c>
      <c r="AB328" s="1216"/>
      <c r="AC328" s="1159">
        <f t="shared" si="166"/>
        <v>30069.23693613047</v>
      </c>
      <c r="AD328" s="1214">
        <v>43191</v>
      </c>
      <c r="AE328" s="1220">
        <v>2.5000000000000001E-2</v>
      </c>
      <c r="AF328" s="1213">
        <f t="shared" si="167"/>
        <v>751.73092340326184</v>
      </c>
    </row>
    <row r="329" spans="1:32">
      <c r="A329" s="1217">
        <v>2010</v>
      </c>
      <c r="B329" s="1219">
        <v>2566</v>
      </c>
      <c r="C329" s="1219">
        <v>2</v>
      </c>
      <c r="D329" s="1219">
        <v>2566</v>
      </c>
      <c r="E329" s="1219" t="s">
        <v>2902</v>
      </c>
      <c r="F329" s="1217" t="s">
        <v>2982</v>
      </c>
      <c r="G329" s="1207">
        <v>560</v>
      </c>
      <c r="H329" s="1207">
        <v>0</v>
      </c>
      <c r="I329" s="1207">
        <v>0</v>
      </c>
      <c r="J329" s="1207">
        <v>0</v>
      </c>
      <c r="K329" s="1207">
        <v>0</v>
      </c>
      <c r="L329" s="1208">
        <v>28126.630700000002</v>
      </c>
      <c r="M329" s="1207">
        <v>0</v>
      </c>
      <c r="N329" s="1207">
        <v>0</v>
      </c>
      <c r="O329" s="1207">
        <v>0</v>
      </c>
      <c r="P329" s="1207">
        <v>0</v>
      </c>
      <c r="Q329" s="1207">
        <v>0</v>
      </c>
      <c r="R329" s="1209">
        <f t="shared" si="160"/>
        <v>28126.630700000002</v>
      </c>
      <c r="S329" s="1159">
        <f t="shared" si="161"/>
        <v>560</v>
      </c>
      <c r="T329" s="1159">
        <f t="shared" si="162"/>
        <v>0</v>
      </c>
      <c r="U329" s="1210">
        <f t="shared" si="163"/>
        <v>560</v>
      </c>
      <c r="V329" s="1211"/>
      <c r="W329" s="1212"/>
      <c r="X329" s="1221"/>
      <c r="Y329" s="1214"/>
      <c r="Z329" s="1220">
        <v>0</v>
      </c>
      <c r="AA329" s="1213">
        <f t="shared" si="165"/>
        <v>0</v>
      </c>
      <c r="AB329" s="1216"/>
      <c r="AC329" s="1159">
        <f t="shared" si="166"/>
        <v>28126.630700000002</v>
      </c>
      <c r="AD329" s="1214"/>
      <c r="AE329" s="1220">
        <v>0</v>
      </c>
      <c r="AF329" s="1213">
        <f t="shared" si="167"/>
        <v>0</v>
      </c>
    </row>
    <row r="330" spans="1:32">
      <c r="A330" s="1217">
        <v>2010</v>
      </c>
      <c r="B330" s="1219">
        <v>116547</v>
      </c>
      <c r="C330" s="1219">
        <v>1</v>
      </c>
      <c r="D330" s="1219">
        <v>16547</v>
      </c>
      <c r="E330" s="1219" t="s">
        <v>2903</v>
      </c>
      <c r="F330" s="1217" t="s">
        <v>2983</v>
      </c>
      <c r="G330" s="1207">
        <v>2112</v>
      </c>
      <c r="H330" s="1207">
        <v>0</v>
      </c>
      <c r="I330" s="1207">
        <v>152</v>
      </c>
      <c r="J330" s="1207">
        <v>40</v>
      </c>
      <c r="K330" s="1207">
        <v>0</v>
      </c>
      <c r="L330" s="1208">
        <v>51732.339600000007</v>
      </c>
      <c r="M330" s="1207">
        <v>0</v>
      </c>
      <c r="N330" s="1207">
        <v>4114.7199999999993</v>
      </c>
      <c r="O330" s="1207">
        <v>1091.04</v>
      </c>
      <c r="P330" s="1207">
        <v>0</v>
      </c>
      <c r="Q330" s="1207">
        <v>370.77</v>
      </c>
      <c r="R330" s="1209">
        <f t="shared" si="160"/>
        <v>57308.869600000005</v>
      </c>
      <c r="S330" s="1159">
        <f t="shared" si="161"/>
        <v>2304</v>
      </c>
      <c r="T330" s="1159">
        <f t="shared" si="162"/>
        <v>192</v>
      </c>
      <c r="U330" s="1210">
        <f t="shared" si="163"/>
        <v>2112</v>
      </c>
      <c r="V330" s="1211"/>
      <c r="W330" s="1212"/>
      <c r="X330" s="1213">
        <f t="shared" si="164"/>
        <v>42586.578604931514</v>
      </c>
      <c r="Y330" s="1214">
        <v>42917</v>
      </c>
      <c r="Z330" s="1220">
        <v>6.5454545454545252E-2</v>
      </c>
      <c r="AA330" s="1213">
        <f t="shared" si="165"/>
        <v>2787.4851450500541</v>
      </c>
      <c r="AB330" s="1216"/>
      <c r="AC330" s="1159">
        <f t="shared" si="166"/>
        <v>59725.584745050066</v>
      </c>
      <c r="AD330" s="1214">
        <v>43282</v>
      </c>
      <c r="AE330" s="1220">
        <v>2.5000000000000001E-2</v>
      </c>
      <c r="AF330" s="1213">
        <f t="shared" si="167"/>
        <v>1493.1396186262518</v>
      </c>
    </row>
    <row r="331" spans="1:32">
      <c r="A331" s="1217">
        <v>2010</v>
      </c>
      <c r="B331" s="1219">
        <v>155206</v>
      </c>
      <c r="C331" s="1219">
        <v>1</v>
      </c>
      <c r="D331" s="1219">
        <v>55206</v>
      </c>
      <c r="E331" s="1219" t="s">
        <v>2904</v>
      </c>
      <c r="F331" s="1217" t="s">
        <v>2984</v>
      </c>
      <c r="G331" s="1207">
        <v>1914.7166650000001</v>
      </c>
      <c r="H331" s="1207">
        <v>83.206671999999998</v>
      </c>
      <c r="I331" s="1207">
        <v>116</v>
      </c>
      <c r="J331" s="1207">
        <v>48</v>
      </c>
      <c r="K331" s="1207">
        <v>16</v>
      </c>
      <c r="L331" s="1208">
        <v>36894.319999999992</v>
      </c>
      <c r="M331" s="1207">
        <v>2393.7300000000005</v>
      </c>
      <c r="N331" s="1207">
        <v>2217.6000000000004</v>
      </c>
      <c r="O331" s="1207">
        <v>924</v>
      </c>
      <c r="P331" s="1207">
        <v>0</v>
      </c>
      <c r="Q331" s="1207">
        <v>402.87</v>
      </c>
      <c r="R331" s="1209">
        <f t="shared" si="160"/>
        <v>42832.52</v>
      </c>
      <c r="S331" s="1159">
        <f t="shared" si="161"/>
        <v>2177.9233370000002</v>
      </c>
      <c r="T331" s="1159">
        <f t="shared" si="162"/>
        <v>180</v>
      </c>
      <c r="U331" s="1210">
        <f t="shared" si="163"/>
        <v>1997.9233370000002</v>
      </c>
      <c r="V331" s="1211"/>
      <c r="W331" s="1212"/>
      <c r="X331" s="1213">
        <f t="shared" si="164"/>
        <v>3400.3110136986293</v>
      </c>
      <c r="Y331" s="1214">
        <v>42675</v>
      </c>
      <c r="Z331" s="1220">
        <v>2.2222222222222313E-2</v>
      </c>
      <c r="AA331" s="1213">
        <f t="shared" si="165"/>
        <v>75.562466971080966</v>
      </c>
      <c r="AB331" s="1216"/>
      <c r="AC331" s="1159">
        <f t="shared" si="166"/>
        <v>40111.482466971072</v>
      </c>
      <c r="AD331" s="1214">
        <v>43040</v>
      </c>
      <c r="AE331" s="1220">
        <v>2.1999999999999999E-2</v>
      </c>
      <c r="AF331" s="1213">
        <f t="shared" si="167"/>
        <v>882.45261427336357</v>
      </c>
    </row>
    <row r="332" spans="1:32">
      <c r="A332" s="1217">
        <v>2010</v>
      </c>
      <c r="B332" s="1219">
        <v>157438</v>
      </c>
      <c r="C332" s="1219">
        <v>1</v>
      </c>
      <c r="D332" s="1219">
        <v>57438</v>
      </c>
      <c r="E332" s="1219" t="s">
        <v>2905</v>
      </c>
      <c r="F332" s="1217" t="s">
        <v>2984</v>
      </c>
      <c r="G332" s="1207">
        <v>1927.4333340000003</v>
      </c>
      <c r="H332" s="1207">
        <v>61.286664999999999</v>
      </c>
      <c r="I332" s="1207">
        <v>27.5</v>
      </c>
      <c r="J332" s="1207">
        <v>48</v>
      </c>
      <c r="K332" s="1207">
        <v>16</v>
      </c>
      <c r="L332" s="1208">
        <v>33344.199999999997</v>
      </c>
      <c r="M332" s="1207">
        <v>1590.6499999999999</v>
      </c>
      <c r="N332" s="1207">
        <v>616.64</v>
      </c>
      <c r="O332" s="1207">
        <v>830.80000000000007</v>
      </c>
      <c r="P332" s="1207">
        <v>0</v>
      </c>
      <c r="Q332" s="1207">
        <v>175.6</v>
      </c>
      <c r="R332" s="1209">
        <f t="shared" si="160"/>
        <v>36557.89</v>
      </c>
      <c r="S332" s="1159">
        <f t="shared" si="161"/>
        <v>2080.2199990000004</v>
      </c>
      <c r="T332" s="1159">
        <f t="shared" si="162"/>
        <v>91.5</v>
      </c>
      <c r="U332" s="1210">
        <f t="shared" si="163"/>
        <v>1988.7199990000004</v>
      </c>
      <c r="V332" s="1211"/>
      <c r="W332" s="1212"/>
      <c r="X332" s="1213">
        <f t="shared" si="164"/>
        <v>2954.906410958904</v>
      </c>
      <c r="Y332" s="1214">
        <v>42675</v>
      </c>
      <c r="Z332" s="1220">
        <v>2.18E-2</v>
      </c>
      <c r="AA332" s="1213">
        <f t="shared" si="165"/>
        <v>64.416959758904113</v>
      </c>
      <c r="AB332" s="1216"/>
      <c r="AC332" s="1159">
        <f t="shared" si="166"/>
        <v>34856.056959758906</v>
      </c>
      <c r="AD332" s="1214">
        <v>43040</v>
      </c>
      <c r="AE332" s="1220">
        <v>2.1999999999999999E-2</v>
      </c>
      <c r="AF332" s="1213">
        <f t="shared" si="167"/>
        <v>766.83325311469582</v>
      </c>
    </row>
    <row r="333" spans="1:32">
      <c r="A333" s="1217">
        <v>2010</v>
      </c>
      <c r="B333" s="1219">
        <v>153686</v>
      </c>
      <c r="C333" s="1219">
        <v>1</v>
      </c>
      <c r="D333" s="1219">
        <v>53686</v>
      </c>
      <c r="E333" s="1219" t="s">
        <v>2906</v>
      </c>
      <c r="F333" s="1217" t="s">
        <v>2984</v>
      </c>
      <c r="G333" s="1207">
        <v>1897.8799979999997</v>
      </c>
      <c r="H333" s="1207">
        <v>33.210002000000003</v>
      </c>
      <c r="I333" s="1207">
        <v>115.5</v>
      </c>
      <c r="J333" s="1207">
        <v>48</v>
      </c>
      <c r="K333" s="1207">
        <v>13.45</v>
      </c>
      <c r="L333" s="1208">
        <v>33951.940099999993</v>
      </c>
      <c r="M333" s="1207">
        <v>885.38999999999976</v>
      </c>
      <c r="N333" s="1207">
        <v>2294.8500000000004</v>
      </c>
      <c r="O333" s="1207">
        <v>855.3599999999999</v>
      </c>
      <c r="P333" s="1207">
        <v>0</v>
      </c>
      <c r="Q333" s="1207">
        <v>41.070000000000007</v>
      </c>
      <c r="R333" s="1209">
        <f t="shared" si="160"/>
        <v>38028.610099999991</v>
      </c>
      <c r="S333" s="1159">
        <f t="shared" si="161"/>
        <v>2108.0399999999995</v>
      </c>
      <c r="T333" s="1159">
        <f t="shared" si="162"/>
        <v>176.95</v>
      </c>
      <c r="U333" s="1210">
        <f t="shared" si="163"/>
        <v>1931.0899999999995</v>
      </c>
      <c r="V333" s="1211"/>
      <c r="W333" s="1212"/>
      <c r="X333" s="1213">
        <f t="shared" si="164"/>
        <v>27750.375280273969</v>
      </c>
      <c r="Y333" s="1214">
        <v>42917</v>
      </c>
      <c r="Z333" s="1220">
        <v>2.469135802469143E-2</v>
      </c>
      <c r="AA333" s="1213">
        <f t="shared" si="165"/>
        <v>685.19445136479135</v>
      </c>
      <c r="AB333" s="1216"/>
      <c r="AC333" s="1159">
        <f t="shared" si="166"/>
        <v>37787.344551364782</v>
      </c>
      <c r="AD333" s="1214">
        <v>43282</v>
      </c>
      <c r="AE333" s="1220">
        <v>2.5000000000000001E-2</v>
      </c>
      <c r="AF333" s="1213">
        <f t="shared" si="167"/>
        <v>944.68361378411964</v>
      </c>
    </row>
    <row r="334" spans="1:32">
      <c r="A334" s="1217">
        <v>2010</v>
      </c>
      <c r="B334" s="1219">
        <v>153854</v>
      </c>
      <c r="C334" s="1219">
        <v>1</v>
      </c>
      <c r="D334" s="1219">
        <v>53854</v>
      </c>
      <c r="E334" s="1219" t="s">
        <v>2907</v>
      </c>
      <c r="F334" s="1217" t="s">
        <v>2984</v>
      </c>
      <c r="G334" s="1207">
        <v>1908.0700019999999</v>
      </c>
      <c r="H334" s="1207">
        <v>28.160002000000002</v>
      </c>
      <c r="I334" s="1207">
        <v>95.35</v>
      </c>
      <c r="J334" s="1207">
        <v>48</v>
      </c>
      <c r="K334" s="1207">
        <v>30</v>
      </c>
      <c r="L334" s="1208">
        <v>37328.239899999993</v>
      </c>
      <c r="M334" s="1207">
        <v>830.5</v>
      </c>
      <c r="N334" s="1207">
        <v>2149.1999999999998</v>
      </c>
      <c r="O334" s="1207">
        <v>937.43999999999983</v>
      </c>
      <c r="P334" s="1207">
        <v>0</v>
      </c>
      <c r="Q334" s="1207">
        <v>365.75</v>
      </c>
      <c r="R334" s="1209">
        <f t="shared" si="160"/>
        <v>41611.129899999993</v>
      </c>
      <c r="S334" s="1159">
        <f t="shared" si="161"/>
        <v>2109.5800039999999</v>
      </c>
      <c r="T334" s="1159">
        <f t="shared" si="162"/>
        <v>173.35</v>
      </c>
      <c r="U334" s="1210">
        <f t="shared" si="163"/>
        <v>1936.230004</v>
      </c>
      <c r="V334" s="1211"/>
      <c r="W334" s="1212"/>
      <c r="X334" s="1213">
        <f t="shared" si="164"/>
        <v>13619.260897808217</v>
      </c>
      <c r="Y334" s="1214">
        <v>42767</v>
      </c>
      <c r="Z334" s="1220">
        <v>2.4883359253499247E-2</v>
      </c>
      <c r="AA334" s="1213">
        <f t="shared" si="165"/>
        <v>338.89296168729658</v>
      </c>
      <c r="AB334" s="1216"/>
      <c r="AC334" s="1159">
        <f t="shared" si="166"/>
        <v>40753.772861687292</v>
      </c>
      <c r="AD334" s="1214">
        <v>43132</v>
      </c>
      <c r="AE334" s="1220">
        <v>2.5000000000000001E-2</v>
      </c>
      <c r="AF334" s="1213">
        <f t="shared" si="167"/>
        <v>1018.8443215421823</v>
      </c>
    </row>
    <row r="335" spans="1:32">
      <c r="A335" s="1217">
        <v>2010</v>
      </c>
      <c r="B335" s="1219">
        <v>150084</v>
      </c>
      <c r="C335" s="1219">
        <v>1</v>
      </c>
      <c r="D335" s="1219">
        <v>50084</v>
      </c>
      <c r="E335" s="1219" t="s">
        <v>2908</v>
      </c>
      <c r="F335" s="1217" t="s">
        <v>2984</v>
      </c>
      <c r="G335" s="1207">
        <v>1907.8599980000004</v>
      </c>
      <c r="H335" s="1207">
        <v>75.209994000000009</v>
      </c>
      <c r="I335" s="1207">
        <v>118.8</v>
      </c>
      <c r="J335" s="1207">
        <v>48</v>
      </c>
      <c r="K335" s="1207">
        <v>25</v>
      </c>
      <c r="L335" s="1208">
        <v>37478.960000000014</v>
      </c>
      <c r="M335" s="1207">
        <v>2221.73</v>
      </c>
      <c r="N335" s="1207">
        <v>2504.67</v>
      </c>
      <c r="O335" s="1207">
        <v>942.7199999999998</v>
      </c>
      <c r="P335" s="1207">
        <v>0</v>
      </c>
      <c r="Q335" s="1207">
        <v>357.28999999999996</v>
      </c>
      <c r="R335" s="1209">
        <f t="shared" si="160"/>
        <v>43505.370000000017</v>
      </c>
      <c r="S335" s="1159">
        <f t="shared" si="161"/>
        <v>2174.8699920000004</v>
      </c>
      <c r="T335" s="1159">
        <f t="shared" si="162"/>
        <v>191.8</v>
      </c>
      <c r="U335" s="1210">
        <f t="shared" si="163"/>
        <v>1983.0699920000004</v>
      </c>
      <c r="V335" s="1211"/>
      <c r="W335" s="1212"/>
      <c r="X335" s="1213">
        <f t="shared" si="164"/>
        <v>16931.174931506856</v>
      </c>
      <c r="Y335" s="1214">
        <v>42795</v>
      </c>
      <c r="Z335" s="1220">
        <v>2.4742268041237137E-2</v>
      </c>
      <c r="AA335" s="1213">
        <f t="shared" si="165"/>
        <v>418.91566840841745</v>
      </c>
      <c r="AB335" s="1216"/>
      <c r="AC335" s="1159">
        <f t="shared" si="166"/>
        <v>41345.265668408429</v>
      </c>
      <c r="AD335" s="1214">
        <v>43160</v>
      </c>
      <c r="AE335" s="1220">
        <v>2.5000000000000001E-2</v>
      </c>
      <c r="AF335" s="1213">
        <f t="shared" si="167"/>
        <v>1033.6316417102107</v>
      </c>
    </row>
    <row r="336" spans="1:32">
      <c r="A336" s="1217">
        <v>2010</v>
      </c>
      <c r="B336" s="1219">
        <v>59174</v>
      </c>
      <c r="C336" s="1219"/>
      <c r="D336" s="1219">
        <v>59174</v>
      </c>
      <c r="E336" s="1219" t="s">
        <v>2909</v>
      </c>
      <c r="F336" s="1217" t="s">
        <v>2982</v>
      </c>
      <c r="G336" s="1207">
        <v>82</v>
      </c>
      <c r="H336" s="1207">
        <v>0</v>
      </c>
      <c r="I336" s="1207">
        <v>0</v>
      </c>
      <c r="J336" s="1207">
        <v>0</v>
      </c>
      <c r="K336" s="1207">
        <v>0</v>
      </c>
      <c r="L336" s="1208">
        <v>2463.9401000000003</v>
      </c>
      <c r="M336" s="1207">
        <v>0</v>
      </c>
      <c r="N336" s="1207">
        <v>0</v>
      </c>
      <c r="O336" s="1207">
        <v>0</v>
      </c>
      <c r="P336" s="1207">
        <v>0</v>
      </c>
      <c r="Q336" s="1207">
        <v>0</v>
      </c>
      <c r="R336" s="1209">
        <f t="shared" ref="R336" si="168">SUM(L336:Q336)</f>
        <v>2463.9401000000003</v>
      </c>
      <c r="S336" s="1159">
        <f t="shared" si="161"/>
        <v>82</v>
      </c>
      <c r="T336" s="1159">
        <f t="shared" si="162"/>
        <v>0</v>
      </c>
      <c r="U336" s="1210">
        <f t="shared" si="163"/>
        <v>82</v>
      </c>
      <c r="V336" s="1211"/>
      <c r="W336" s="1212"/>
      <c r="X336" s="1213"/>
      <c r="Y336" s="1214"/>
      <c r="Z336" s="1220">
        <v>0</v>
      </c>
      <c r="AA336" s="1213">
        <f t="shared" si="165"/>
        <v>0</v>
      </c>
      <c r="AB336" s="1216"/>
      <c r="AC336" s="1159">
        <f t="shared" si="166"/>
        <v>2463.9401000000003</v>
      </c>
      <c r="AD336" s="1214">
        <v>0</v>
      </c>
      <c r="AE336" s="1220">
        <v>0</v>
      </c>
      <c r="AF336" s="1213">
        <f t="shared" si="167"/>
        <v>0</v>
      </c>
    </row>
    <row r="337" spans="1:32">
      <c r="A337" s="1217"/>
      <c r="B337" s="1223"/>
      <c r="C337" s="1223"/>
      <c r="D337" s="1223"/>
      <c r="E337" s="1186"/>
      <c r="F337" s="1217"/>
      <c r="G337" s="1207"/>
      <c r="H337" s="1207"/>
      <c r="I337" s="1207"/>
      <c r="J337" s="1207"/>
      <c r="K337" s="1207"/>
      <c r="L337" s="1208"/>
      <c r="M337" s="1207"/>
      <c r="N337" s="1207"/>
      <c r="O337" s="1207"/>
      <c r="P337" s="1207"/>
      <c r="Q337" s="1207"/>
      <c r="R337" s="1209"/>
      <c r="U337" s="1210"/>
      <c r="V337" s="1211"/>
      <c r="W337" s="1212"/>
      <c r="X337" s="1213"/>
      <c r="Y337" s="1227"/>
      <c r="Z337" s="1226"/>
      <c r="AA337" s="1213"/>
      <c r="AB337" s="1216"/>
      <c r="AC337" s="1159"/>
      <c r="AD337" s="1227"/>
      <c r="AE337" s="1228"/>
      <c r="AF337" s="1213"/>
    </row>
    <row r="338" spans="1:32">
      <c r="A338" s="1217"/>
      <c r="B338" s="1223"/>
      <c r="C338" s="1223"/>
      <c r="D338" s="1223"/>
      <c r="E338" s="1244" t="s">
        <v>2910</v>
      </c>
      <c r="F338" s="1217"/>
      <c r="G338" s="1230">
        <f t="shared" ref="G338:U338" si="169">+SUM(G277:G337)</f>
        <v>93543.88863299998</v>
      </c>
      <c r="H338" s="1230">
        <f t="shared" si="169"/>
        <v>3836.8733569999986</v>
      </c>
      <c r="I338" s="1230">
        <f t="shared" si="169"/>
        <v>6323.6800000000021</v>
      </c>
      <c r="J338" s="1230">
        <f t="shared" si="169"/>
        <v>2136</v>
      </c>
      <c r="K338" s="1230">
        <f t="shared" si="169"/>
        <v>534.95000000000005</v>
      </c>
      <c r="L338" s="1241">
        <f t="shared" si="169"/>
        <v>2080685.6915999996</v>
      </c>
      <c r="M338" s="1230">
        <f t="shared" si="169"/>
        <v>98210.839999999982</v>
      </c>
      <c r="N338" s="1230">
        <f t="shared" si="169"/>
        <v>170580.62990000009</v>
      </c>
      <c r="O338" s="1230">
        <f t="shared" si="169"/>
        <v>46953.760000000009</v>
      </c>
      <c r="P338" s="1230">
        <f t="shared" si="169"/>
        <v>178285.60000000003</v>
      </c>
      <c r="Q338" s="1230">
        <f t="shared" si="169"/>
        <v>23009.53</v>
      </c>
      <c r="R338" s="1232">
        <f t="shared" si="169"/>
        <v>2597726.0515000005</v>
      </c>
      <c r="S338" s="1233">
        <f t="shared" si="169"/>
        <v>106375.39199</v>
      </c>
      <c r="T338" s="1233">
        <f t="shared" si="169"/>
        <v>8994.6300000000028</v>
      </c>
      <c r="U338" s="1233">
        <f t="shared" si="169"/>
        <v>97380.761989999985</v>
      </c>
      <c r="V338" s="1233"/>
      <c r="W338" s="1233"/>
      <c r="X338" s="1233">
        <f>+SUM(X277:X337)</f>
        <v>586080.9768301372</v>
      </c>
      <c r="Y338" s="1233"/>
      <c r="Z338" s="1233"/>
      <c r="AA338" s="1233">
        <f>+SUM(AA277:AA337)</f>
        <v>28970.13295453402</v>
      </c>
      <c r="AB338" s="1233"/>
      <c r="AC338" s="1233">
        <f>+SUM(AC277:AC337)</f>
        <v>2327190.2144545345</v>
      </c>
      <c r="AD338" s="1233"/>
      <c r="AE338" s="1233"/>
      <c r="AF338" s="1233">
        <f>+SUM(AF277:AF337)</f>
        <v>49032.127120329838</v>
      </c>
    </row>
    <row r="339" spans="1:32" s="1186" customFormat="1">
      <c r="A339" s="1217"/>
      <c r="B339" s="1223"/>
      <c r="C339" s="1223"/>
      <c r="D339" s="1223"/>
      <c r="F339" s="1217"/>
      <c r="G339" s="1245"/>
      <c r="H339" s="1245"/>
      <c r="I339" s="1245"/>
      <c r="J339" s="1245"/>
      <c r="K339" s="1245"/>
      <c r="L339" s="1246"/>
      <c r="M339" s="1245"/>
      <c r="N339" s="1245"/>
      <c r="O339" s="1245"/>
      <c r="P339" s="1245"/>
      <c r="Q339" s="1245"/>
      <c r="R339" s="1209"/>
      <c r="S339" s="1245"/>
      <c r="T339" s="1245"/>
      <c r="U339" s="1247"/>
      <c r="V339" s="1248"/>
      <c r="W339" s="1249"/>
      <c r="X339" s="1221"/>
      <c r="Y339" s="1250"/>
      <c r="Z339" s="1251"/>
      <c r="AA339" s="1221"/>
      <c r="AB339" s="1252"/>
      <c r="AC339" s="1245"/>
      <c r="AD339" s="1250"/>
      <c r="AE339" s="1253"/>
      <c r="AF339" s="1221"/>
    </row>
    <row r="340" spans="1:32" s="1186" customFormat="1" ht="12" thickBot="1">
      <c r="A340" s="1217"/>
      <c r="B340" s="1223"/>
      <c r="C340" s="1223"/>
      <c r="D340" s="1223"/>
      <c r="F340" s="1217"/>
      <c r="G340" s="1245"/>
      <c r="H340" s="1245"/>
      <c r="I340" s="1245"/>
      <c r="J340" s="1245"/>
      <c r="K340" s="1245"/>
      <c r="L340" s="1246"/>
      <c r="M340" s="1245"/>
      <c r="N340" s="1245"/>
      <c r="O340" s="1245"/>
      <c r="P340" s="1245"/>
      <c r="Q340" s="1245"/>
      <c r="R340" s="1209"/>
      <c r="S340" s="1245"/>
      <c r="T340" s="1245"/>
      <c r="U340" s="1247"/>
      <c r="V340" s="1248"/>
      <c r="W340" s="1249"/>
      <c r="X340" s="1221"/>
      <c r="Y340" s="1250"/>
      <c r="Z340" s="1251"/>
      <c r="AA340" s="1221"/>
      <c r="AB340" s="1252"/>
      <c r="AC340" s="1245"/>
      <c r="AD340" s="1250"/>
      <c r="AE340" s="1253"/>
      <c r="AF340" s="1221"/>
    </row>
    <row r="341" spans="1:32" s="1186" customFormat="1" ht="12" thickTop="1">
      <c r="A341" s="1260"/>
      <c r="B341" s="1261"/>
      <c r="C341" s="1261"/>
      <c r="D341" s="1261"/>
      <c r="E341" s="1262" t="s">
        <v>2911</v>
      </c>
      <c r="F341" s="1263"/>
      <c r="G341" s="1245"/>
      <c r="H341" s="1245"/>
      <c r="I341" s="1245"/>
      <c r="J341" s="1245"/>
      <c r="K341" s="1245"/>
      <c r="L341" s="1246"/>
      <c r="M341" s="1245"/>
      <c r="N341" s="1245"/>
      <c r="O341" s="1245"/>
      <c r="P341" s="1245"/>
      <c r="Q341" s="1245"/>
      <c r="R341" s="1209"/>
      <c r="S341" s="1245"/>
      <c r="T341" s="1245"/>
      <c r="U341" s="1247"/>
      <c r="V341" s="1248"/>
      <c r="W341" s="1249"/>
      <c r="X341" s="1221"/>
      <c r="Y341" s="1250"/>
      <c r="Z341" s="1251"/>
      <c r="AA341" s="1221"/>
      <c r="AB341" s="1252"/>
      <c r="AC341" s="1245"/>
      <c r="AD341" s="1250"/>
      <c r="AE341" s="1253"/>
      <c r="AF341" s="1221"/>
    </row>
    <row r="342" spans="1:32">
      <c r="A342" s="1217">
        <v>2010</v>
      </c>
      <c r="B342" s="1223">
        <v>102359</v>
      </c>
      <c r="C342" s="1223">
        <v>1</v>
      </c>
      <c r="D342" s="1223">
        <v>2359</v>
      </c>
      <c r="E342" s="1186" t="s">
        <v>2912</v>
      </c>
      <c r="F342" s="1217" t="s">
        <v>2974</v>
      </c>
      <c r="G342" s="1207">
        <v>1624</v>
      </c>
      <c r="H342" s="1207">
        <v>0</v>
      </c>
      <c r="I342" s="1207">
        <v>96</v>
      </c>
      <c r="J342" s="1207">
        <v>40</v>
      </c>
      <c r="K342" s="1207">
        <v>0</v>
      </c>
      <c r="L342" s="1208">
        <v>48407.480300000003</v>
      </c>
      <c r="M342" s="1207">
        <v>116.32</v>
      </c>
      <c r="N342" s="1207">
        <v>2861.7599999999998</v>
      </c>
      <c r="O342" s="1207">
        <v>1192.3999999999999</v>
      </c>
      <c r="P342" s="1207">
        <v>1200</v>
      </c>
      <c r="Q342" s="1207">
        <v>179.73000000000002</v>
      </c>
      <c r="R342" s="1209">
        <f t="shared" ref="R342:R353" si="170">SUM(L342:Q342)</f>
        <v>53957.690300000009</v>
      </c>
      <c r="S342" s="1159">
        <f t="shared" ref="S342:S353" si="171">SUM(G342:K342)</f>
        <v>1760</v>
      </c>
      <c r="T342" s="1159">
        <f t="shared" ref="T342:T353" si="172">I342+J342+K342</f>
        <v>136</v>
      </c>
      <c r="U342" s="1210">
        <f t="shared" ref="U342:U353" si="173">S342-T342</f>
        <v>1624</v>
      </c>
      <c r="V342" s="1211"/>
      <c r="W342" s="1212"/>
      <c r="X342" s="1213"/>
      <c r="Y342" s="1214"/>
      <c r="Z342" s="1220">
        <v>0</v>
      </c>
      <c r="AA342" s="1213">
        <f t="shared" ref="AA342:AA353" si="174">X342*Z342</f>
        <v>0</v>
      </c>
      <c r="AB342" s="1216"/>
      <c r="AC342" s="1159">
        <f t="shared" ref="AC342:AC353" si="175">SUM(L342,N342:O342)+AA342</f>
        <v>52461.640300000006</v>
      </c>
      <c r="AD342" s="1214">
        <v>43132</v>
      </c>
      <c r="AE342" s="1220">
        <v>2.5000000000000001E-2</v>
      </c>
      <c r="AF342" s="1213">
        <f t="shared" ref="AF342:AF353" si="176">AC342*AE342</f>
        <v>1311.5410075000002</v>
      </c>
    </row>
    <row r="343" spans="1:32">
      <c r="A343" s="1217">
        <v>2010</v>
      </c>
      <c r="B343" s="1223">
        <v>102597</v>
      </c>
      <c r="C343" s="1223">
        <v>1</v>
      </c>
      <c r="D343" s="1223">
        <v>2597</v>
      </c>
      <c r="E343" s="1186" t="s">
        <v>2913</v>
      </c>
      <c r="F343" s="1217" t="s">
        <v>2985</v>
      </c>
      <c r="G343" s="1207">
        <v>1851.1133340000001</v>
      </c>
      <c r="H343" s="1207">
        <v>50.646669999999993</v>
      </c>
      <c r="I343" s="1207">
        <v>158</v>
      </c>
      <c r="J343" s="1207">
        <v>48</v>
      </c>
      <c r="K343" s="1207">
        <v>8</v>
      </c>
      <c r="L343" s="1208">
        <v>41501.23000000001</v>
      </c>
      <c r="M343" s="1207">
        <v>1731.62</v>
      </c>
      <c r="N343" s="1207">
        <v>3560.38</v>
      </c>
      <c r="O343" s="1207">
        <v>1076.1600000000001</v>
      </c>
      <c r="P343" s="1207">
        <v>1400</v>
      </c>
      <c r="Q343" s="1207">
        <v>234.36</v>
      </c>
      <c r="R343" s="1209">
        <f t="shared" si="170"/>
        <v>49503.750000000015</v>
      </c>
      <c r="S343" s="1159">
        <f t="shared" si="171"/>
        <v>2115.7600040000002</v>
      </c>
      <c r="T343" s="1159">
        <f t="shared" si="172"/>
        <v>214</v>
      </c>
      <c r="U343" s="1210">
        <f t="shared" si="173"/>
        <v>1901.7600040000002</v>
      </c>
      <c r="V343" s="1211"/>
      <c r="W343" s="1212"/>
      <c r="X343" s="1213">
        <f t="shared" ref="X343:X352" si="177">SUM(L343,N343:O343)*((VLOOKUP(Y343,$AJ$9:$AK$30,2,FALSE))/365)</f>
        <v>23005.682575342471</v>
      </c>
      <c r="Y343" s="1214">
        <v>42826</v>
      </c>
      <c r="Z343" s="1220">
        <v>4.8423937871173994E-2</v>
      </c>
      <c r="AA343" s="1213">
        <f t="shared" si="174"/>
        <v>1114.0257437123339</v>
      </c>
      <c r="AB343" s="1216"/>
      <c r="AC343" s="1159">
        <f t="shared" si="175"/>
        <v>47251.795743712348</v>
      </c>
      <c r="AD343" s="1214">
        <v>43191</v>
      </c>
      <c r="AE343" s="1220">
        <v>2.5000000000000001E-2</v>
      </c>
      <c r="AF343" s="1213">
        <f t="shared" si="176"/>
        <v>1181.2948935928086</v>
      </c>
    </row>
    <row r="344" spans="1:32">
      <c r="A344" s="1217">
        <v>2010</v>
      </c>
      <c r="B344" s="1223">
        <v>151301</v>
      </c>
      <c r="C344" s="1223">
        <v>1</v>
      </c>
      <c r="D344" s="1223">
        <v>51301</v>
      </c>
      <c r="E344" s="1186" t="s">
        <v>2914</v>
      </c>
      <c r="F344" s="1217" t="s">
        <v>2974</v>
      </c>
      <c r="G344" s="1207">
        <v>112</v>
      </c>
      <c r="H344" s="1207">
        <v>0</v>
      </c>
      <c r="I344" s="1207">
        <v>54.1</v>
      </c>
      <c r="J344" s="1207">
        <v>0</v>
      </c>
      <c r="K344" s="1207">
        <v>0</v>
      </c>
      <c r="L344" s="1208">
        <v>3301.8400999999999</v>
      </c>
      <c r="M344" s="1207">
        <v>0</v>
      </c>
      <c r="N344" s="1207">
        <v>1594.9198999999999</v>
      </c>
      <c r="O344" s="1207">
        <v>0</v>
      </c>
      <c r="P344" s="1207">
        <v>0</v>
      </c>
      <c r="Q344" s="1207">
        <v>0</v>
      </c>
      <c r="R344" s="1209">
        <f t="shared" si="170"/>
        <v>4896.76</v>
      </c>
      <c r="S344" s="1159">
        <f t="shared" si="171"/>
        <v>166.1</v>
      </c>
      <c r="T344" s="1159">
        <f t="shared" si="172"/>
        <v>54.1</v>
      </c>
      <c r="U344" s="1210">
        <f t="shared" si="173"/>
        <v>112</v>
      </c>
      <c r="V344" s="1211"/>
      <c r="W344" s="1212"/>
      <c r="X344" s="1213"/>
      <c r="Y344" s="1214"/>
      <c r="Z344" s="1220">
        <v>0</v>
      </c>
      <c r="AA344" s="1213">
        <f t="shared" si="174"/>
        <v>0</v>
      </c>
      <c r="AB344" s="1216"/>
      <c r="AC344" s="1159">
        <f t="shared" si="175"/>
        <v>4896.76</v>
      </c>
      <c r="AD344" s="1214"/>
      <c r="AE344" s="1220">
        <v>0</v>
      </c>
      <c r="AF344" s="1213">
        <f t="shared" si="176"/>
        <v>0</v>
      </c>
    </row>
    <row r="345" spans="1:32">
      <c r="A345" s="1217">
        <v>2010</v>
      </c>
      <c r="B345" s="1223">
        <v>156410</v>
      </c>
      <c r="C345" s="1223">
        <v>1</v>
      </c>
      <c r="D345" s="1223">
        <v>56410</v>
      </c>
      <c r="E345" s="1186" t="s">
        <v>2915</v>
      </c>
      <c r="F345" s="1217" t="s">
        <v>2974</v>
      </c>
      <c r="G345" s="1207">
        <v>80</v>
      </c>
      <c r="H345" s="1207">
        <v>0</v>
      </c>
      <c r="I345" s="1207">
        <v>22</v>
      </c>
      <c r="J345" s="1207">
        <v>0</v>
      </c>
      <c r="K345" s="1207">
        <v>0</v>
      </c>
      <c r="L345" s="1208">
        <v>2307.6999999999998</v>
      </c>
      <c r="M345" s="1207">
        <v>0</v>
      </c>
      <c r="N345" s="1207">
        <v>634.70000000000005</v>
      </c>
      <c r="O345" s="1207">
        <v>0</v>
      </c>
      <c r="P345" s="1207">
        <v>0</v>
      </c>
      <c r="Q345" s="1207">
        <v>0</v>
      </c>
      <c r="R345" s="1209">
        <f t="shared" si="170"/>
        <v>2942.3999999999996</v>
      </c>
      <c r="S345" s="1159">
        <f t="shared" si="171"/>
        <v>102</v>
      </c>
      <c r="T345" s="1159">
        <f t="shared" si="172"/>
        <v>22</v>
      </c>
      <c r="U345" s="1210">
        <f t="shared" si="173"/>
        <v>80</v>
      </c>
      <c r="V345" s="1211"/>
      <c r="W345" s="1212"/>
      <c r="X345" s="1213"/>
      <c r="Y345" s="1214"/>
      <c r="Z345" s="1220">
        <v>0</v>
      </c>
      <c r="AA345" s="1213">
        <f t="shared" si="174"/>
        <v>0</v>
      </c>
      <c r="AB345" s="1216"/>
      <c r="AC345" s="1159">
        <f t="shared" si="175"/>
        <v>2942.3999999999996</v>
      </c>
      <c r="AD345" s="1214"/>
      <c r="AE345" s="1220">
        <v>0</v>
      </c>
      <c r="AF345" s="1213">
        <f t="shared" si="176"/>
        <v>0</v>
      </c>
    </row>
    <row r="346" spans="1:32">
      <c r="A346" s="1217">
        <v>2010</v>
      </c>
      <c r="B346" s="1223">
        <v>102352</v>
      </c>
      <c r="C346" s="1223">
        <v>1</v>
      </c>
      <c r="D346" s="1223">
        <v>2352</v>
      </c>
      <c r="E346" s="1186" t="s">
        <v>2916</v>
      </c>
      <c r="F346" s="1217" t="s">
        <v>2974</v>
      </c>
      <c r="G346" s="1207">
        <v>1856</v>
      </c>
      <c r="H346" s="1207">
        <v>0</v>
      </c>
      <c r="I346" s="1207">
        <v>144</v>
      </c>
      <c r="J346" s="1207">
        <v>40</v>
      </c>
      <c r="K346" s="1207">
        <v>40</v>
      </c>
      <c r="L346" s="1208">
        <v>55198.059500000003</v>
      </c>
      <c r="M346" s="1207">
        <v>0</v>
      </c>
      <c r="N346" s="1207">
        <v>4284</v>
      </c>
      <c r="O346" s="1207">
        <v>1190</v>
      </c>
      <c r="P346" s="1207">
        <v>0</v>
      </c>
      <c r="Q346" s="1207">
        <v>1451.1899999999998</v>
      </c>
      <c r="R346" s="1209">
        <f t="shared" si="170"/>
        <v>62123.249500000005</v>
      </c>
      <c r="S346" s="1159">
        <f t="shared" si="171"/>
        <v>2080</v>
      </c>
      <c r="T346" s="1159">
        <f t="shared" si="172"/>
        <v>224</v>
      </c>
      <c r="U346" s="1210">
        <f t="shared" si="173"/>
        <v>1856</v>
      </c>
      <c r="V346" s="1211"/>
      <c r="W346" s="1212"/>
      <c r="X346" s="1221"/>
      <c r="Y346" s="1214"/>
      <c r="Z346" s="1220">
        <v>0</v>
      </c>
      <c r="AA346" s="1213">
        <f t="shared" si="174"/>
        <v>0</v>
      </c>
      <c r="AB346" s="1216"/>
      <c r="AC346" s="1159">
        <f t="shared" si="175"/>
        <v>60672.059500000003</v>
      </c>
      <c r="AD346" s="1214">
        <v>43344</v>
      </c>
      <c r="AE346" s="1220">
        <v>5.1547499999999857E-2</v>
      </c>
      <c r="AF346" s="1213">
        <f t="shared" si="176"/>
        <v>3127.4929870762417</v>
      </c>
    </row>
    <row r="347" spans="1:32">
      <c r="A347" s="1217">
        <v>2010</v>
      </c>
      <c r="B347" s="1223">
        <v>158819</v>
      </c>
      <c r="C347" s="1223">
        <v>1</v>
      </c>
      <c r="D347" s="1223">
        <v>58819</v>
      </c>
      <c r="E347" s="1186" t="s">
        <v>2917</v>
      </c>
      <c r="F347" s="1217" t="s">
        <v>2985</v>
      </c>
      <c r="G347" s="1207">
        <v>1944.8933350000002</v>
      </c>
      <c r="H347" s="1207">
        <v>92.463336999999996</v>
      </c>
      <c r="I347" s="1207">
        <v>40</v>
      </c>
      <c r="J347" s="1207">
        <v>48</v>
      </c>
      <c r="K347" s="1207">
        <v>8</v>
      </c>
      <c r="L347" s="1208">
        <v>29670.050000000003</v>
      </c>
      <c r="M347" s="1207">
        <v>2139.1400000000003</v>
      </c>
      <c r="N347" s="1207">
        <v>622.4</v>
      </c>
      <c r="O347" s="1207">
        <v>733.44</v>
      </c>
      <c r="P347" s="1207">
        <v>200</v>
      </c>
      <c r="Q347" s="1207">
        <v>157.12</v>
      </c>
      <c r="R347" s="1209">
        <f t="shared" si="170"/>
        <v>33522.150000000009</v>
      </c>
      <c r="S347" s="1159">
        <f t="shared" si="171"/>
        <v>2133.3566719999999</v>
      </c>
      <c r="T347" s="1159">
        <f t="shared" si="172"/>
        <v>96</v>
      </c>
      <c r="U347" s="1210">
        <f t="shared" si="173"/>
        <v>2037.3566719999999</v>
      </c>
      <c r="V347" s="1211"/>
      <c r="W347" s="1212"/>
      <c r="X347" s="1213">
        <f t="shared" si="177"/>
        <v>15640.448657534249</v>
      </c>
      <c r="Y347" s="1214">
        <v>42828</v>
      </c>
      <c r="Z347" s="1220">
        <v>3.7333333333333364E-2</v>
      </c>
      <c r="AA347" s="1213">
        <f t="shared" si="174"/>
        <v>583.91008321461243</v>
      </c>
      <c r="AB347" s="1216"/>
      <c r="AC347" s="1159">
        <f t="shared" si="175"/>
        <v>31609.800083214617</v>
      </c>
      <c r="AD347" s="1214">
        <v>43191</v>
      </c>
      <c r="AE347" s="1220">
        <v>9.0874035989716967E-2</v>
      </c>
      <c r="AF347" s="1213">
        <f t="shared" si="176"/>
        <v>2872.5101103898037</v>
      </c>
    </row>
    <row r="348" spans="1:32">
      <c r="A348" s="1217">
        <v>2010</v>
      </c>
      <c r="B348" s="1223">
        <v>156587</v>
      </c>
      <c r="C348" s="1223">
        <v>1</v>
      </c>
      <c r="D348" s="1223">
        <v>56587</v>
      </c>
      <c r="E348" s="1186" t="s">
        <v>2918</v>
      </c>
      <c r="F348" s="1217" t="s">
        <v>2986</v>
      </c>
      <c r="G348" s="1207">
        <v>1904</v>
      </c>
      <c r="H348" s="1207">
        <v>0</v>
      </c>
      <c r="I348" s="1207">
        <v>128</v>
      </c>
      <c r="J348" s="1207">
        <v>40</v>
      </c>
      <c r="K348" s="1207">
        <v>8</v>
      </c>
      <c r="L348" s="1208">
        <v>86960.530699999988</v>
      </c>
      <c r="M348" s="1207">
        <v>0</v>
      </c>
      <c r="N348" s="1207">
        <v>5846.93</v>
      </c>
      <c r="O348" s="1207">
        <v>1827.2</v>
      </c>
      <c r="P348" s="1207">
        <v>0</v>
      </c>
      <c r="Q348" s="1207">
        <v>786.08999999999992</v>
      </c>
      <c r="R348" s="1209">
        <f t="shared" si="170"/>
        <v>95420.75069999999</v>
      </c>
      <c r="S348" s="1159">
        <f t="shared" si="171"/>
        <v>2080</v>
      </c>
      <c r="T348" s="1159">
        <f t="shared" si="172"/>
        <v>176</v>
      </c>
      <c r="U348" s="1210">
        <f t="shared" si="173"/>
        <v>1904</v>
      </c>
      <c r="V348" s="1211"/>
      <c r="W348" s="1212"/>
      <c r="X348" s="1213">
        <f t="shared" si="177"/>
        <v>82967.373764383548</v>
      </c>
      <c r="Y348" s="1214">
        <v>42964</v>
      </c>
      <c r="Z348" s="1220">
        <v>2.1999999999999999E-2</v>
      </c>
      <c r="AA348" s="1213">
        <f t="shared" si="174"/>
        <v>1825.282222816438</v>
      </c>
      <c r="AB348" s="1216"/>
      <c r="AC348" s="1159">
        <f t="shared" si="175"/>
        <v>96459.942922816437</v>
      </c>
      <c r="AD348" s="1214">
        <v>43313</v>
      </c>
      <c r="AE348" s="1220">
        <v>2.5000000000000001E-2</v>
      </c>
      <c r="AF348" s="1213">
        <f t="shared" si="176"/>
        <v>2411.4985730704111</v>
      </c>
    </row>
    <row r="349" spans="1:32">
      <c r="A349" s="1217">
        <v>2010</v>
      </c>
      <c r="B349" s="1223">
        <v>117423</v>
      </c>
      <c r="C349" s="1223">
        <v>1</v>
      </c>
      <c r="D349" s="1223">
        <v>17423</v>
      </c>
      <c r="E349" s="1186" t="s">
        <v>2919</v>
      </c>
      <c r="F349" s="1217" t="s">
        <v>2974</v>
      </c>
      <c r="G349" s="1207">
        <v>2120</v>
      </c>
      <c r="H349" s="1207">
        <v>0</v>
      </c>
      <c r="I349" s="1207">
        <v>72</v>
      </c>
      <c r="J349" s="1207">
        <v>40</v>
      </c>
      <c r="K349" s="1207">
        <v>0</v>
      </c>
      <c r="L349" s="1208">
        <v>67141.059699999983</v>
      </c>
      <c r="M349" s="1207">
        <v>0</v>
      </c>
      <c r="N349" s="1207">
        <v>2435.5600000000004</v>
      </c>
      <c r="O349" s="1207">
        <v>1363.2799999999997</v>
      </c>
      <c r="P349" s="1207">
        <v>0</v>
      </c>
      <c r="Q349" s="1207">
        <v>275.39</v>
      </c>
      <c r="R349" s="1209">
        <f t="shared" si="170"/>
        <v>71215.289699999979</v>
      </c>
      <c r="S349" s="1159">
        <f t="shared" si="171"/>
        <v>2232</v>
      </c>
      <c r="T349" s="1159">
        <f t="shared" si="172"/>
        <v>112</v>
      </c>
      <c r="U349" s="1210">
        <f t="shared" si="173"/>
        <v>2120</v>
      </c>
      <c r="V349" s="1211"/>
      <c r="W349" s="1212"/>
      <c r="X349" s="1213">
        <f t="shared" si="177"/>
        <v>41203.448592876695</v>
      </c>
      <c r="Y349" s="1214">
        <v>42856</v>
      </c>
      <c r="Z349" s="1220">
        <v>0.02</v>
      </c>
      <c r="AA349" s="1213">
        <f t="shared" si="174"/>
        <v>824.06897185753394</v>
      </c>
      <c r="AB349" s="1216"/>
      <c r="AC349" s="1159">
        <f t="shared" si="175"/>
        <v>71763.96867185751</v>
      </c>
      <c r="AD349" s="1214">
        <v>43221</v>
      </c>
      <c r="AE349" s="1220">
        <v>2.5000000000000001E-2</v>
      </c>
      <c r="AF349" s="1213">
        <f t="shared" si="176"/>
        <v>1794.0992167964378</v>
      </c>
    </row>
    <row r="350" spans="1:32">
      <c r="A350" s="1217">
        <v>2010</v>
      </c>
      <c r="B350" s="1223">
        <v>159208</v>
      </c>
      <c r="C350" s="1223">
        <v>1</v>
      </c>
      <c r="D350" s="1223">
        <v>59208</v>
      </c>
      <c r="E350" s="1186" t="s">
        <v>2920</v>
      </c>
      <c r="F350" s="1217" t="s">
        <v>2974</v>
      </c>
      <c r="G350" s="1207">
        <v>1618</v>
      </c>
      <c r="H350" s="1207">
        <v>0</v>
      </c>
      <c r="I350" s="1207">
        <v>56</v>
      </c>
      <c r="J350" s="1207">
        <v>40</v>
      </c>
      <c r="K350" s="1207">
        <v>0</v>
      </c>
      <c r="L350" s="1208">
        <v>52506.539799999999</v>
      </c>
      <c r="M350" s="1207">
        <v>0</v>
      </c>
      <c r="N350" s="1207">
        <v>1817.76</v>
      </c>
      <c r="O350" s="1207">
        <v>1298.4000000000001</v>
      </c>
      <c r="P350" s="1207">
        <v>0</v>
      </c>
      <c r="Q350" s="1207">
        <v>186.84</v>
      </c>
      <c r="R350" s="1209">
        <f t="shared" si="170"/>
        <v>55809.539799999999</v>
      </c>
      <c r="S350" s="1159">
        <f t="shared" si="171"/>
        <v>1714</v>
      </c>
      <c r="T350" s="1159">
        <f t="shared" si="172"/>
        <v>96</v>
      </c>
      <c r="U350" s="1210">
        <f t="shared" si="173"/>
        <v>1618</v>
      </c>
      <c r="V350" s="1211"/>
      <c r="W350" s="1212"/>
      <c r="X350" s="1221"/>
      <c r="Y350" s="1214"/>
      <c r="Z350" s="1220">
        <v>0</v>
      </c>
      <c r="AA350" s="1213">
        <f t="shared" si="174"/>
        <v>0</v>
      </c>
      <c r="AB350" s="1216"/>
      <c r="AC350" s="1159">
        <f t="shared" si="175"/>
        <v>55622.699800000002</v>
      </c>
      <c r="AD350" s="1214"/>
      <c r="AE350" s="1220">
        <v>2.2200000000000001E-2</v>
      </c>
      <c r="AF350" s="1213">
        <f t="shared" si="176"/>
        <v>1234.8239355600001</v>
      </c>
    </row>
    <row r="351" spans="1:32">
      <c r="A351" s="1217">
        <v>2010</v>
      </c>
      <c r="B351" s="1223">
        <v>102104</v>
      </c>
      <c r="C351" s="1223">
        <v>1</v>
      </c>
      <c r="D351" s="1223">
        <v>2104</v>
      </c>
      <c r="E351" s="1186" t="s">
        <v>2921</v>
      </c>
      <c r="F351" s="1217" t="s">
        <v>2962</v>
      </c>
      <c r="G351" s="1207">
        <v>1824</v>
      </c>
      <c r="H351" s="1207">
        <v>630.75000199999988</v>
      </c>
      <c r="I351" s="1207">
        <v>152</v>
      </c>
      <c r="J351" s="1207">
        <v>56</v>
      </c>
      <c r="K351" s="1207">
        <v>16</v>
      </c>
      <c r="L351" s="1208">
        <v>38899.439900000012</v>
      </c>
      <c r="M351" s="1207">
        <v>20394.340000000004</v>
      </c>
      <c r="N351" s="1207">
        <v>3256.32</v>
      </c>
      <c r="O351" s="1207">
        <v>1194.96</v>
      </c>
      <c r="P351" s="1207">
        <v>1599.9999999999998</v>
      </c>
      <c r="Q351" s="1207">
        <v>376.48</v>
      </c>
      <c r="R351" s="1209">
        <f>SUM(L351:Q351)</f>
        <v>65721.539900000018</v>
      </c>
      <c r="S351" s="1159">
        <f>SUM(G351:K351)</f>
        <v>2678.7500019999998</v>
      </c>
      <c r="T351" s="1159">
        <f>I351+J351+K351</f>
        <v>224</v>
      </c>
      <c r="U351" s="1210">
        <f>S351-T351</f>
        <v>2454.7500019999998</v>
      </c>
      <c r="V351" s="1211"/>
      <c r="W351" s="1212"/>
      <c r="X351" s="1213">
        <f>SUM(L351,N351:O351)*((VLOOKUP(Y351,$AJ$9:$AK$30,2,FALSE))/365)</f>
        <v>28860.89023479453</v>
      </c>
      <c r="Y351" s="1214">
        <v>42887</v>
      </c>
      <c r="Z351" s="1220">
        <v>2.1216407355021182E-2</v>
      </c>
      <c r="AA351" s="1213">
        <f>X351*Z351</f>
        <v>612.32440384995368</v>
      </c>
      <c r="AB351" s="1216"/>
      <c r="AC351" s="1159">
        <f>SUM(L351,N351:O351)+AA351</f>
        <v>43963.044303849965</v>
      </c>
      <c r="AD351" s="1214">
        <v>43252</v>
      </c>
      <c r="AE351" s="1220">
        <v>0.03</v>
      </c>
      <c r="AF351" s="1213">
        <f>AC351*AE351</f>
        <v>1318.8913291154988</v>
      </c>
    </row>
    <row r="352" spans="1:32">
      <c r="A352" s="1217">
        <v>2010</v>
      </c>
      <c r="B352" s="1223">
        <v>103688</v>
      </c>
      <c r="C352" s="1223">
        <v>1</v>
      </c>
      <c r="D352" s="1223">
        <v>3688</v>
      </c>
      <c r="E352" s="1186" t="s">
        <v>2922</v>
      </c>
      <c r="F352" s="1217" t="s">
        <v>2985</v>
      </c>
      <c r="G352" s="1207">
        <v>1982.1933370000002</v>
      </c>
      <c r="H352" s="1207">
        <v>186.36333399999998</v>
      </c>
      <c r="I352" s="1207">
        <v>160</v>
      </c>
      <c r="J352" s="1207">
        <v>48</v>
      </c>
      <c r="K352" s="1207">
        <v>8</v>
      </c>
      <c r="L352" s="1208">
        <v>35443.690099999985</v>
      </c>
      <c r="M352" s="1207">
        <v>5071.7200000000012</v>
      </c>
      <c r="N352" s="1207">
        <v>2842.5600000000004</v>
      </c>
      <c r="O352" s="1207">
        <v>859.68</v>
      </c>
      <c r="P352" s="1207">
        <v>1400</v>
      </c>
      <c r="Q352" s="1207">
        <v>181.51</v>
      </c>
      <c r="R352" s="1209">
        <f t="shared" si="170"/>
        <v>45799.160099999986</v>
      </c>
      <c r="S352" s="1159">
        <f t="shared" si="171"/>
        <v>2384.5566710000003</v>
      </c>
      <c r="T352" s="1159">
        <f t="shared" si="172"/>
        <v>216</v>
      </c>
      <c r="U352" s="1210">
        <f t="shared" si="173"/>
        <v>2168.5566710000003</v>
      </c>
      <c r="V352" s="1211"/>
      <c r="W352" s="1212"/>
      <c r="X352" s="1213">
        <f t="shared" si="177"/>
        <v>19519.340488219172</v>
      </c>
      <c r="Y352" s="1214">
        <v>42826</v>
      </c>
      <c r="Z352" s="1220">
        <v>5.5077452667814164E-2</v>
      </c>
      <c r="AA352" s="1213">
        <f t="shared" si="174"/>
        <v>1075.07555184684</v>
      </c>
      <c r="AB352" s="1216"/>
      <c r="AC352" s="1159">
        <f t="shared" si="175"/>
        <v>40221.005651846826</v>
      </c>
      <c r="AD352" s="1214">
        <v>43191</v>
      </c>
      <c r="AE352" s="1220">
        <v>2.5000000000000001E-2</v>
      </c>
      <c r="AF352" s="1213">
        <f t="shared" si="176"/>
        <v>1005.5251412961707</v>
      </c>
    </row>
    <row r="353" spans="1:37">
      <c r="A353" s="1217">
        <v>2010</v>
      </c>
      <c r="B353" s="1223">
        <v>1246</v>
      </c>
      <c r="C353" s="1223"/>
      <c r="D353" s="1223">
        <v>1246</v>
      </c>
      <c r="E353" s="1186" t="s">
        <v>2923</v>
      </c>
      <c r="F353" s="1217" t="s">
        <v>2987</v>
      </c>
      <c r="G353" s="1207">
        <v>560</v>
      </c>
      <c r="H353" s="1207">
        <v>0</v>
      </c>
      <c r="I353" s="1207">
        <v>0</v>
      </c>
      <c r="J353" s="1207">
        <v>0</v>
      </c>
      <c r="K353" s="1207">
        <v>0</v>
      </c>
      <c r="L353" s="1208">
        <v>21326.649700000002</v>
      </c>
      <c r="M353" s="1207">
        <v>0</v>
      </c>
      <c r="N353" s="1207">
        <v>0</v>
      </c>
      <c r="O353" s="1207">
        <v>0</v>
      </c>
      <c r="P353" s="1207">
        <v>0</v>
      </c>
      <c r="Q353" s="1207">
        <v>0</v>
      </c>
      <c r="R353" s="1209">
        <f t="shared" si="170"/>
        <v>21326.649700000002</v>
      </c>
      <c r="S353" s="1159">
        <f t="shared" si="171"/>
        <v>560</v>
      </c>
      <c r="T353" s="1159">
        <f t="shared" si="172"/>
        <v>0</v>
      </c>
      <c r="U353" s="1210">
        <f t="shared" si="173"/>
        <v>560</v>
      </c>
      <c r="V353" s="1211"/>
      <c r="W353" s="1212"/>
      <c r="X353" s="1213"/>
      <c r="Y353" s="1214"/>
      <c r="Z353" s="1220">
        <v>0</v>
      </c>
      <c r="AA353" s="1213">
        <f t="shared" si="174"/>
        <v>0</v>
      </c>
      <c r="AB353" s="1216"/>
      <c r="AC353" s="1159">
        <f t="shared" si="175"/>
        <v>21326.649700000002</v>
      </c>
      <c r="AD353" s="1214"/>
      <c r="AE353" s="1220">
        <v>0</v>
      </c>
      <c r="AF353" s="1213">
        <f t="shared" si="176"/>
        <v>0</v>
      </c>
    </row>
    <row r="354" spans="1:37">
      <c r="A354" s="1197"/>
      <c r="B354" s="1197"/>
      <c r="C354" s="1197"/>
      <c r="D354" s="1197"/>
      <c r="E354" s="1197"/>
      <c r="F354" s="1197"/>
      <c r="G354" s="1179"/>
      <c r="H354" s="1179"/>
      <c r="I354" s="1179"/>
      <c r="J354" s="1179"/>
      <c r="K354" s="1179"/>
      <c r="L354" s="1181"/>
      <c r="M354" s="1179"/>
      <c r="N354" s="1179"/>
      <c r="O354" s="1179"/>
      <c r="P354" s="1179"/>
      <c r="Q354" s="1179"/>
      <c r="R354" s="1198"/>
      <c r="S354" s="1191"/>
      <c r="T354" s="1191"/>
      <c r="U354" s="1192"/>
      <c r="V354" s="1192"/>
      <c r="X354" s="1184"/>
      <c r="Y354" s="1193"/>
      <c r="Z354" s="1194"/>
      <c r="AA354" s="1195"/>
      <c r="AB354" s="1195"/>
      <c r="AC354" s="1184"/>
      <c r="AD354" s="1196"/>
      <c r="AE354" s="1184"/>
      <c r="AF354" s="1184"/>
    </row>
    <row r="355" spans="1:37">
      <c r="A355" s="1197"/>
      <c r="B355" s="1197"/>
      <c r="C355" s="1197"/>
      <c r="D355" s="1197"/>
      <c r="E355" s="1244" t="s">
        <v>2924</v>
      </c>
      <c r="F355" s="1197"/>
      <c r="G355" s="1264">
        <f t="shared" ref="G355:R355" si="178">+SUM(G342:G354)</f>
        <v>17476.200005999999</v>
      </c>
      <c r="H355" s="1264">
        <f t="shared" si="178"/>
        <v>960.22334299999989</v>
      </c>
      <c r="I355" s="1264">
        <f t="shared" si="178"/>
        <v>1082.0999999999999</v>
      </c>
      <c r="J355" s="1264">
        <f t="shared" si="178"/>
        <v>400</v>
      </c>
      <c r="K355" s="1264">
        <f t="shared" si="178"/>
        <v>88</v>
      </c>
      <c r="L355" s="1264">
        <f t="shared" si="178"/>
        <v>482664.26979999995</v>
      </c>
      <c r="M355" s="1264">
        <f t="shared" si="178"/>
        <v>29453.140000000007</v>
      </c>
      <c r="N355" s="1264">
        <f t="shared" si="178"/>
        <v>29757.2899</v>
      </c>
      <c r="O355" s="1264">
        <f t="shared" si="178"/>
        <v>10735.52</v>
      </c>
      <c r="P355" s="1264">
        <f t="shared" si="178"/>
        <v>5800</v>
      </c>
      <c r="Q355" s="1264">
        <f t="shared" si="178"/>
        <v>3828.71</v>
      </c>
      <c r="R355" s="1265">
        <f t="shared" si="178"/>
        <v>562238.92969999998</v>
      </c>
      <c r="S355" s="1266">
        <f>+SUM(S282:S354)</f>
        <v>222845.307329</v>
      </c>
      <c r="T355" s="1266">
        <f>+SUM(T282:T354)</f>
        <v>18691.360000000004</v>
      </c>
      <c r="U355" s="1266">
        <f>+SUM(U282:U354)</f>
        <v>204153.94732899996</v>
      </c>
      <c r="V355" s="1266"/>
      <c r="W355" s="1266"/>
      <c r="X355" s="1266">
        <f>+SUM(X282:X354)</f>
        <v>1228685.8166506854</v>
      </c>
      <c r="Y355" s="1266"/>
      <c r="Z355" s="1266"/>
      <c r="AA355" s="1266">
        <f>+SUM(AA342:AA354)</f>
        <v>6034.6869772977116</v>
      </c>
      <c r="AB355" s="1266"/>
      <c r="AC355" s="1266">
        <f t="shared" ref="AC355" si="179">+SUM(AC282:AC354)</f>
        <v>4621299.3927200185</v>
      </c>
      <c r="AD355" s="1266"/>
      <c r="AE355" s="1266"/>
      <c r="AF355" s="1266">
        <f>+SUM(AF342:AF354)</f>
        <v>16257.677194397373</v>
      </c>
    </row>
    <row r="356" spans="1:37">
      <c r="A356" s="1197"/>
      <c r="B356" s="1197"/>
      <c r="C356" s="1197"/>
      <c r="D356" s="1197"/>
      <c r="E356" s="1197"/>
      <c r="F356" s="1197"/>
      <c r="G356" s="1179"/>
      <c r="H356" s="1179"/>
      <c r="I356" s="1179"/>
      <c r="J356" s="1179"/>
      <c r="K356" s="1179"/>
      <c r="L356" s="1181"/>
      <c r="M356" s="1179"/>
      <c r="N356" s="1179"/>
      <c r="O356" s="1179"/>
      <c r="P356" s="1179"/>
      <c r="Q356" s="1179"/>
      <c r="R356" s="1198"/>
      <c r="S356" s="1191"/>
      <c r="T356" s="1191"/>
      <c r="U356" s="1192"/>
      <c r="V356" s="1192"/>
      <c r="X356" s="1184"/>
      <c r="Y356" s="1193"/>
      <c r="Z356" s="1194"/>
      <c r="AA356" s="1195"/>
      <c r="AB356" s="1195"/>
      <c r="AC356" s="1184"/>
      <c r="AD356" s="1196"/>
      <c r="AE356" s="1184"/>
      <c r="AF356" s="1184"/>
    </row>
    <row r="357" spans="1:37">
      <c r="A357" s="1197"/>
      <c r="B357" s="1197"/>
      <c r="C357" s="1197"/>
      <c r="D357" s="1197"/>
      <c r="E357" s="1244" t="s">
        <v>2925</v>
      </c>
      <c r="F357" s="1197"/>
      <c r="G357" s="1264">
        <f t="shared" ref="G357:R357" si="180">+G355+G338+G248+G222+G271+G253</f>
        <v>403763.68633299996</v>
      </c>
      <c r="H357" s="1264">
        <f t="shared" si="180"/>
        <v>68120.946592000008</v>
      </c>
      <c r="I357" s="1264">
        <f t="shared" si="180"/>
        <v>22983.970000000005</v>
      </c>
      <c r="J357" s="1264">
        <f t="shared" si="180"/>
        <v>10365</v>
      </c>
      <c r="K357" s="1264">
        <f t="shared" si="180"/>
        <v>4546.2867130000004</v>
      </c>
      <c r="L357" s="1264">
        <f t="shared" si="180"/>
        <v>8395055.5762000009</v>
      </c>
      <c r="M357" s="1264">
        <f t="shared" si="180"/>
        <v>2047334.79</v>
      </c>
      <c r="N357" s="1264">
        <f t="shared" si="180"/>
        <v>524369.10970000003</v>
      </c>
      <c r="O357" s="1264">
        <f t="shared" si="180"/>
        <v>216556.52000000002</v>
      </c>
      <c r="P357" s="1264">
        <f t="shared" si="180"/>
        <v>377961.84</v>
      </c>
      <c r="Q357" s="1264">
        <f t="shared" si="180"/>
        <v>117175.60999999996</v>
      </c>
      <c r="R357" s="1265">
        <f t="shared" si="180"/>
        <v>11678453.445900001</v>
      </c>
      <c r="S357" s="1266">
        <f>+S355+S271+S338+S248+S222+S253</f>
        <v>712618.67361800012</v>
      </c>
      <c r="T357" s="1266">
        <f>+T355+T271+T338+T248+T222+T253</f>
        <v>55016.516713000012</v>
      </c>
      <c r="U357" s="1266">
        <f>+U355+U271+U338+U248+U222+U253</f>
        <v>657602.15690499998</v>
      </c>
      <c r="V357" s="1266"/>
      <c r="W357" s="1266"/>
      <c r="X357" s="1266">
        <f>+X355+X271+X338+X248+X222+X253</f>
        <v>5786840.7692156173</v>
      </c>
      <c r="Y357" s="1266"/>
      <c r="Z357" s="1266"/>
      <c r="AA357" s="1266">
        <f>+AA355+AA271+AA338+AA248+AA222+AA253</f>
        <v>229564.62657453062</v>
      </c>
      <c r="AB357" s="1266"/>
      <c r="AC357" s="1266">
        <f>+AC355+AC271+AC338+AC248+AC222+AC253</f>
        <v>13457653.458517253</v>
      </c>
      <c r="AD357" s="1266"/>
      <c r="AE357" s="1266"/>
      <c r="AF357" s="1266">
        <f>+AF355+AF271+AF338+AF248+AF222+AF253</f>
        <v>258783.41512292248</v>
      </c>
    </row>
    <row r="358" spans="1:37">
      <c r="A358" s="1197"/>
      <c r="B358" s="1197"/>
      <c r="C358" s="1197"/>
      <c r="D358" s="1197"/>
      <c r="E358" s="1197"/>
      <c r="F358" s="1197"/>
      <c r="G358" s="1179"/>
      <c r="H358" s="1179"/>
      <c r="I358" s="1179"/>
      <c r="J358" s="1179"/>
      <c r="K358" s="1179"/>
      <c r="L358" s="1181"/>
      <c r="M358" s="1179"/>
      <c r="N358" s="1179"/>
      <c r="O358" s="1179"/>
      <c r="P358" s="1179"/>
      <c r="Q358" s="1179"/>
      <c r="R358" s="1267">
        <v>-1.3038516044616699E-8</v>
      </c>
      <c r="S358" s="1191"/>
      <c r="T358" s="1191"/>
      <c r="U358" s="1192"/>
      <c r="V358" s="1192"/>
      <c r="X358" s="1184"/>
      <c r="Y358" s="1193"/>
      <c r="Z358" s="1194"/>
      <c r="AA358" s="1195"/>
      <c r="AB358" s="1195"/>
      <c r="AC358" s="1184"/>
      <c r="AD358" s="1196"/>
      <c r="AE358" s="1184"/>
      <c r="AF358" s="1184"/>
    </row>
    <row r="359" spans="1:37" ht="9" customHeight="1">
      <c r="L359" s="1268"/>
      <c r="M359" s="1269"/>
      <c r="N359" s="1269"/>
      <c r="O359" s="1269"/>
      <c r="P359" s="1269"/>
      <c r="Q359" s="1269"/>
      <c r="X359" s="1404"/>
      <c r="Y359" s="1404"/>
      <c r="Z359" s="1404"/>
      <c r="AA359" s="1404"/>
      <c r="AB359" s="1404"/>
      <c r="AC359" s="1404"/>
      <c r="AD359" s="1404"/>
      <c r="AE359" s="1404"/>
      <c r="AF359" s="1404"/>
      <c r="AG359" s="1270"/>
      <c r="AJ359" s="1159"/>
      <c r="AK359" s="1159"/>
    </row>
    <row r="360" spans="1:37">
      <c r="L360" s="1268"/>
      <c r="M360" s="1269"/>
      <c r="N360" s="1269"/>
      <c r="O360" s="1269"/>
      <c r="P360" s="1269"/>
      <c r="Q360" s="1269"/>
      <c r="X360" s="1379"/>
      <c r="Y360" s="1379"/>
      <c r="Z360" s="1379"/>
      <c r="AA360" s="1379"/>
      <c r="AB360" s="1379"/>
      <c r="AC360" s="1379"/>
      <c r="AD360" s="1379"/>
      <c r="AE360" s="1379"/>
      <c r="AF360" s="1379"/>
      <c r="AG360" s="1270"/>
      <c r="AJ360" s="1159"/>
      <c r="AK360" s="1159"/>
    </row>
    <row r="361" spans="1:37" ht="12.75" customHeight="1">
      <c r="A361" s="1405" t="s">
        <v>2926</v>
      </c>
      <c r="B361" s="1405"/>
      <c r="C361" s="1405"/>
      <c r="D361" s="1405"/>
      <c r="E361" s="1405"/>
      <c r="F361" s="1405"/>
      <c r="G361" s="1271"/>
      <c r="H361" s="1271"/>
      <c r="I361" s="1271"/>
      <c r="J361" s="1271"/>
      <c r="K361" s="1271"/>
      <c r="L361" s="1272"/>
      <c r="M361" s="1271"/>
      <c r="N361" s="1271"/>
      <c r="O361" s="1271"/>
      <c r="P361" s="1271"/>
      <c r="Q361" s="1271"/>
      <c r="R361" s="1271"/>
      <c r="S361" s="1245"/>
      <c r="T361" s="1245"/>
      <c r="U361" s="1245"/>
      <c r="AG361" s="1270"/>
      <c r="AJ361" s="1159"/>
      <c r="AK361" s="1159"/>
    </row>
    <row r="362" spans="1:37">
      <c r="L362" s="1273"/>
      <c r="T362" s="1274"/>
      <c r="U362" s="1275"/>
      <c r="AG362" s="1270"/>
      <c r="AJ362" s="1159"/>
      <c r="AK362" s="1159"/>
    </row>
    <row r="363" spans="1:37">
      <c r="A363" s="1276"/>
      <c r="B363" s="1276"/>
      <c r="C363" s="1276"/>
      <c r="D363" s="1276"/>
      <c r="E363" s="1277" t="s">
        <v>2927</v>
      </c>
      <c r="F363" s="1278"/>
      <c r="G363" s="1278"/>
      <c r="H363" s="1278"/>
      <c r="I363" s="1278"/>
      <c r="J363" s="1278"/>
      <c r="K363" s="1278"/>
      <c r="L363" s="1278"/>
      <c r="M363" s="1278"/>
      <c r="N363" s="1278"/>
      <c r="O363" s="1278"/>
      <c r="P363" s="1278"/>
      <c r="Q363" s="1278"/>
      <c r="R363" s="1279">
        <f>+R222</f>
        <v>7071754.8552999999</v>
      </c>
      <c r="S363" s="1280"/>
      <c r="T363" s="1281"/>
      <c r="U363" s="1236"/>
      <c r="V363" s="1282"/>
      <c r="W363" s="1283"/>
      <c r="X363" s="1283"/>
      <c r="Y363" s="1284"/>
      <c r="Z363" s="1285"/>
      <c r="AA363" s="1286"/>
      <c r="AB363" s="1282"/>
      <c r="AC363" s="1283"/>
      <c r="AD363" s="1287"/>
      <c r="AE363" s="1283"/>
      <c r="AG363" s="1288"/>
    </row>
    <row r="364" spans="1:37" ht="13.5" customHeight="1">
      <c r="S364" s="1236"/>
      <c r="T364" s="1378"/>
      <c r="U364" s="1378"/>
      <c r="V364" s="1378"/>
      <c r="W364" s="1378"/>
      <c r="X364" s="1378"/>
      <c r="Y364" s="1378"/>
      <c r="Z364" s="1378"/>
      <c r="AA364" s="1378"/>
      <c r="AB364" s="1378"/>
      <c r="AC364" s="1378"/>
      <c r="AD364" s="1289"/>
      <c r="AE364" s="1289"/>
      <c r="AG364" s="1288"/>
    </row>
    <row r="365" spans="1:37">
      <c r="F365" s="1290" t="s">
        <v>2988</v>
      </c>
      <c r="R365" s="1291">
        <v>-37340.890000000145</v>
      </c>
      <c r="S365" s="1236"/>
      <c r="T365" s="1283"/>
      <c r="U365" s="1217"/>
      <c r="V365" s="1292"/>
      <c r="W365" s="1292"/>
      <c r="X365" s="1283"/>
      <c r="Y365" s="1217"/>
      <c r="Z365" s="1293"/>
      <c r="AA365" s="1217"/>
      <c r="AB365" s="1282"/>
      <c r="AC365" s="1217"/>
      <c r="AD365" s="1287"/>
      <c r="AE365" s="1283"/>
      <c r="AG365" s="1288"/>
    </row>
    <row r="366" spans="1:37">
      <c r="F366" s="1290"/>
      <c r="R366" s="1294"/>
      <c r="S366" s="1236"/>
      <c r="T366" s="1295"/>
      <c r="U366" s="1236"/>
      <c r="V366" s="1236"/>
      <c r="W366" s="1236"/>
      <c r="X366" s="1283"/>
      <c r="Y366" s="1284"/>
      <c r="Z366" s="1285"/>
      <c r="AA366" s="1286"/>
      <c r="AB366" s="1282"/>
      <c r="AC366" s="1236"/>
      <c r="AD366" s="1287"/>
      <c r="AE366" s="1296"/>
      <c r="AG366" s="1288"/>
    </row>
    <row r="367" spans="1:37">
      <c r="F367" s="1290"/>
      <c r="S367" s="1236"/>
      <c r="T367" s="1297"/>
      <c r="U367" s="1236"/>
      <c r="V367" s="1236"/>
      <c r="W367" s="1236"/>
      <c r="X367" s="1283"/>
      <c r="Y367" s="1284"/>
      <c r="Z367" s="1285"/>
      <c r="AA367" s="1286"/>
      <c r="AB367" s="1282"/>
      <c r="AC367" s="1236"/>
      <c r="AD367" s="1287"/>
      <c r="AE367" s="1296"/>
      <c r="AG367" s="1288"/>
    </row>
    <row r="368" spans="1:37">
      <c r="F368" s="1155"/>
      <c r="G368" s="1168"/>
      <c r="H368" s="1168"/>
      <c r="I368" s="1168"/>
      <c r="J368" s="1168"/>
      <c r="K368" s="1168"/>
      <c r="L368" s="1168"/>
      <c r="M368" s="1168"/>
      <c r="N368" s="1168"/>
      <c r="O368" s="1168"/>
      <c r="P368" s="1168"/>
      <c r="Q368" s="1168"/>
      <c r="R368" s="1298" t="s">
        <v>2929</v>
      </c>
      <c r="S368" s="1236"/>
      <c r="T368" s="1222"/>
      <c r="U368" s="1236"/>
      <c r="V368" s="1236"/>
      <c r="W368" s="1236"/>
      <c r="X368" s="1283"/>
      <c r="Y368" s="1282"/>
      <c r="Z368" s="1299"/>
      <c r="AA368" s="1222"/>
      <c r="AB368" s="1283"/>
      <c r="AC368" s="1236"/>
      <c r="AD368" s="1283"/>
      <c r="AE368" s="1296"/>
      <c r="AG368" s="1167"/>
    </row>
    <row r="369" spans="1:34">
      <c r="E369" s="1300">
        <v>50020</v>
      </c>
      <c r="F369" s="1300" t="s">
        <v>42</v>
      </c>
      <c r="G369" s="1301"/>
      <c r="H369" s="1301"/>
      <c r="I369" s="1301"/>
      <c r="J369" s="1301"/>
      <c r="K369" s="1301"/>
      <c r="L369" s="1301"/>
      <c r="M369" s="1301"/>
      <c r="N369" s="1301"/>
      <c r="O369" s="1301"/>
      <c r="P369" s="1301"/>
      <c r="Q369" s="1301"/>
      <c r="R369" s="1360">
        <f>+'2010_IS'!AE91</f>
        <v>4891021.3600000013</v>
      </c>
      <c r="S369" s="1236"/>
      <c r="T369" s="1222"/>
      <c r="U369" s="1236"/>
      <c r="V369" s="1236"/>
      <c r="W369" s="1236"/>
      <c r="X369" s="1283"/>
      <c r="Y369" s="1282"/>
      <c r="Z369" s="1299"/>
      <c r="AA369" s="1222"/>
      <c r="AB369" s="1283"/>
      <c r="AC369" s="1236"/>
      <c r="AD369" s="1302"/>
      <c r="AE369" s="1302"/>
      <c r="AG369" s="1167"/>
    </row>
    <row r="370" spans="1:34">
      <c r="E370" s="1300">
        <v>50025</v>
      </c>
      <c r="F370" s="1300" t="s">
        <v>43</v>
      </c>
      <c r="G370" s="1301"/>
      <c r="H370" s="1301"/>
      <c r="I370" s="1301"/>
      <c r="J370" s="1301"/>
      <c r="K370" s="1301"/>
      <c r="L370" s="1301"/>
      <c r="M370" s="1301"/>
      <c r="N370" s="1301"/>
      <c r="O370" s="1301"/>
      <c r="P370" s="1301"/>
      <c r="Q370" s="1301"/>
      <c r="R370" s="1360">
        <f>+'2010_IS'!AE92</f>
        <v>1793569.49</v>
      </c>
      <c r="S370" s="1236"/>
      <c r="T370" s="1222"/>
      <c r="U370" s="1236"/>
      <c r="V370" s="1236"/>
      <c r="W370" s="1236"/>
      <c r="X370" s="1283"/>
      <c r="Y370" s="1283"/>
      <c r="Z370" s="1299"/>
      <c r="AA370" s="1222"/>
      <c r="AB370" s="1283"/>
      <c r="AC370" s="1236"/>
      <c r="AD370" s="1283"/>
      <c r="AE370" s="1283"/>
      <c r="AG370" s="1167"/>
    </row>
    <row r="371" spans="1:34">
      <c r="E371" s="1300">
        <v>50035</v>
      </c>
      <c r="F371" s="1303" t="s">
        <v>44</v>
      </c>
      <c r="G371" s="1301"/>
      <c r="H371" s="1301"/>
      <c r="I371" s="1301"/>
      <c r="J371" s="1301"/>
      <c r="K371" s="1301"/>
      <c r="L371" s="1301"/>
      <c r="M371" s="1301"/>
      <c r="N371" s="1301"/>
      <c r="O371" s="1301"/>
      <c r="P371" s="1301"/>
      <c r="Q371" s="1301"/>
      <c r="R371" s="1360">
        <f>+'2010_IS'!AE93</f>
        <v>102157.26999999999</v>
      </c>
      <c r="S371" s="1236"/>
      <c r="T371" s="1295"/>
      <c r="U371" s="1236"/>
      <c r="V371" s="1236"/>
      <c r="W371" s="1236"/>
      <c r="X371" s="1283"/>
      <c r="Y371" s="1282"/>
      <c r="Z371" s="1299"/>
      <c r="AA371" s="1222"/>
      <c r="AB371" s="1283"/>
      <c r="AC371" s="1236"/>
      <c r="AD371" s="1287"/>
      <c r="AE371" s="1283"/>
      <c r="AG371" s="1270"/>
    </row>
    <row r="372" spans="1:34">
      <c r="E372" s="1300">
        <v>50036</v>
      </c>
      <c r="F372" s="1303" t="s">
        <v>2930</v>
      </c>
      <c r="G372" s="1301"/>
      <c r="H372" s="1301"/>
      <c r="I372" s="1301"/>
      <c r="J372" s="1301"/>
      <c r="K372" s="1301"/>
      <c r="L372" s="1301"/>
      <c r="M372" s="1301"/>
      <c r="N372" s="1301"/>
      <c r="O372" s="1301"/>
      <c r="P372" s="1301"/>
      <c r="Q372" s="1301"/>
      <c r="R372" s="1360">
        <f>+'2010_IS'!AE94</f>
        <v>-2290.1600000000003</v>
      </c>
      <c r="S372" s="1236"/>
      <c r="T372" s="1295"/>
      <c r="U372" s="1282"/>
      <c r="V372" s="1282"/>
      <c r="W372" s="1236"/>
      <c r="X372" s="1283"/>
      <c r="Y372" s="1282"/>
      <c r="Z372" s="1299"/>
      <c r="AA372" s="1222"/>
      <c r="AB372" s="1283"/>
      <c r="AC372" s="1236"/>
      <c r="AD372" s="1287"/>
      <c r="AE372" s="1283"/>
      <c r="AG372" s="1288"/>
    </row>
    <row r="373" spans="1:34">
      <c r="E373" s="1300">
        <v>50065</v>
      </c>
      <c r="F373" s="1300" t="s">
        <v>39</v>
      </c>
      <c r="G373" s="1301"/>
      <c r="H373" s="1301"/>
      <c r="I373" s="1301"/>
      <c r="J373" s="1301"/>
      <c r="K373" s="1301"/>
      <c r="L373" s="1301"/>
      <c r="M373" s="1301"/>
      <c r="N373" s="1301"/>
      <c r="O373" s="1301"/>
      <c r="P373" s="1301"/>
      <c r="Q373" s="1301"/>
      <c r="R373" s="1360">
        <f>+'2010_IS'!AE98</f>
        <v>256588.83000000002</v>
      </c>
      <c r="S373" s="1236"/>
      <c r="T373" s="1295"/>
      <c r="U373" s="1280"/>
      <c r="V373" s="1280"/>
      <c r="W373" s="1280"/>
      <c r="X373" s="1280"/>
      <c r="Y373" s="1280"/>
      <c r="Z373" s="1304"/>
      <c r="AA373" s="1280"/>
      <c r="AB373" s="1283"/>
      <c r="AC373" s="1280"/>
      <c r="AD373" s="1287"/>
      <c r="AE373" s="1283"/>
      <c r="AG373" s="1288"/>
    </row>
    <row r="374" spans="1:34">
      <c r="E374" s="1300">
        <v>50070</v>
      </c>
      <c r="F374" s="1300" t="s">
        <v>40</v>
      </c>
      <c r="G374" s="1301"/>
      <c r="H374" s="1301"/>
      <c r="I374" s="1301"/>
      <c r="J374" s="1301"/>
      <c r="K374" s="1301"/>
      <c r="L374" s="1301"/>
      <c r="M374" s="1301"/>
      <c r="N374" s="1301"/>
      <c r="O374" s="1301"/>
      <c r="P374" s="1301"/>
      <c r="Q374" s="1301"/>
      <c r="R374" s="1361">
        <f>+'2010_IS'!AE99</f>
        <v>2967.52</v>
      </c>
      <c r="S374" s="1236"/>
      <c r="T374" s="1236"/>
      <c r="U374" s="1236"/>
      <c r="V374" s="1282"/>
      <c r="W374" s="1283"/>
      <c r="X374" s="1283"/>
      <c r="Y374" s="1284"/>
      <c r="Z374" s="1285"/>
      <c r="AA374" s="1222"/>
      <c r="AB374" s="1283"/>
      <c r="AC374" s="1305"/>
      <c r="AD374" s="1287"/>
      <c r="AE374" s="1283"/>
      <c r="AG374" s="1288"/>
    </row>
    <row r="375" spans="1:34">
      <c r="E375" s="1306"/>
      <c r="F375" s="1306"/>
      <c r="G375" s="1301"/>
      <c r="H375" s="1301"/>
      <c r="I375" s="1301"/>
      <c r="J375" s="1301"/>
      <c r="K375" s="1301"/>
      <c r="L375" s="1301"/>
      <c r="M375" s="1301"/>
      <c r="N375" s="1301"/>
      <c r="O375" s="1301"/>
      <c r="P375" s="1301"/>
      <c r="Q375" s="1301"/>
      <c r="R375" s="1236">
        <f>SUM(R369:R374)</f>
        <v>7044014.3100000005</v>
      </c>
      <c r="S375" s="1236"/>
      <c r="T375" s="1222"/>
      <c r="U375" s="1282"/>
      <c r="V375" s="1307"/>
      <c r="W375" s="1282"/>
      <c r="X375" s="1282"/>
      <c r="Y375" s="1284"/>
      <c r="Z375" s="1285"/>
      <c r="AA375" s="1286"/>
      <c r="AB375" s="1282"/>
      <c r="AC375" s="1305"/>
      <c r="AD375" s="1287"/>
      <c r="AE375" s="1283"/>
      <c r="AG375" s="1288"/>
    </row>
    <row r="376" spans="1:34">
      <c r="E376" s="1306"/>
      <c r="F376" s="1306"/>
      <c r="G376" s="1301"/>
      <c r="H376" s="1301"/>
      <c r="I376" s="1301"/>
      <c r="J376" s="1301"/>
      <c r="K376" s="1301"/>
      <c r="L376" s="1301"/>
      <c r="M376" s="1301"/>
      <c r="N376" s="1301"/>
      <c r="O376" s="1301"/>
      <c r="P376" s="1301"/>
      <c r="Q376" s="1301"/>
      <c r="R376" s="1308"/>
      <c r="S376" s="1236"/>
      <c r="T376" s="1222"/>
      <c r="U376" s="1217"/>
      <c r="V376" s="1292"/>
      <c r="W376" s="1292"/>
      <c r="X376" s="1292"/>
      <c r="Y376" s="1217"/>
      <c r="Z376" s="1293"/>
      <c r="AA376" s="1217"/>
      <c r="AB376" s="1282"/>
      <c r="AC376" s="1309"/>
      <c r="AD376" s="1287"/>
      <c r="AE376" s="1283"/>
      <c r="AG376" s="1288"/>
    </row>
    <row r="377" spans="1:34">
      <c r="E377" s="1306"/>
      <c r="F377" s="1303" t="s">
        <v>428</v>
      </c>
      <c r="G377" s="1310"/>
      <c r="H377" s="1310"/>
      <c r="I377" s="1310"/>
      <c r="J377" s="1310"/>
      <c r="K377" s="1310"/>
      <c r="L377" s="1310"/>
      <c r="M377" s="1310"/>
      <c r="N377" s="1310"/>
      <c r="O377" s="1310"/>
      <c r="P377" s="1310"/>
      <c r="Q377" s="1311" t="s">
        <v>2931</v>
      </c>
      <c r="R377" s="1308">
        <f>R363+R365-R375</f>
        <v>-9600.3447000011802</v>
      </c>
      <c r="S377" s="1296">
        <f>R377/R375</f>
        <v>-1.3629081767156687E-3</v>
      </c>
      <c r="T377" s="1222"/>
      <c r="U377" s="1296"/>
      <c r="V377" s="1312"/>
      <c r="W377" s="1312"/>
      <c r="X377" s="1312"/>
      <c r="Y377" s="1236"/>
      <c r="Z377" s="1299"/>
      <c r="AA377" s="1286"/>
      <c r="AB377" s="1282"/>
      <c r="AC377" s="1236"/>
      <c r="AD377" s="1287"/>
      <c r="AE377" s="1283"/>
      <c r="AG377" s="1288"/>
      <c r="AH377" s="1228"/>
    </row>
    <row r="378" spans="1:34" s="1156" customFormat="1">
      <c r="B378" s="1155"/>
      <c r="C378" s="1155"/>
      <c r="D378" s="1155"/>
      <c r="E378" s="1155"/>
      <c r="F378" s="1157"/>
      <c r="G378" s="1157"/>
      <c r="H378" s="1157"/>
      <c r="I378" s="1157"/>
      <c r="J378" s="1157"/>
      <c r="K378" s="1157"/>
      <c r="L378" s="1157"/>
      <c r="M378" s="1157"/>
      <c r="N378" s="1157"/>
      <c r="O378" s="1157"/>
      <c r="P378" s="1157"/>
      <c r="Q378" s="1157"/>
      <c r="R378" s="1236"/>
      <c r="S378" s="1236"/>
      <c r="T378" s="1222"/>
      <c r="U378" s="1313"/>
      <c r="V378" s="1312"/>
      <c r="W378" s="1312"/>
      <c r="X378" s="1312"/>
      <c r="Y378" s="1284"/>
      <c r="Z378" s="1299"/>
      <c r="AA378" s="1286"/>
      <c r="AB378" s="1282"/>
      <c r="AC378" s="1236"/>
      <c r="AD378" s="1282"/>
      <c r="AE378" s="1282"/>
      <c r="AF378" s="1288"/>
      <c r="AG378" s="1288"/>
    </row>
    <row r="379" spans="1:34">
      <c r="R379" s="1314"/>
      <c r="S379" s="1236"/>
      <c r="T379" s="1222"/>
      <c r="U379" s="1312"/>
      <c r="V379" s="1312"/>
      <c r="W379" s="1312"/>
      <c r="X379" s="1312"/>
      <c r="Y379" s="1284"/>
      <c r="Z379" s="1299"/>
      <c r="AA379" s="1286"/>
      <c r="AB379" s="1282"/>
      <c r="AC379" s="1236"/>
      <c r="AD379" s="1282"/>
      <c r="AE379" s="1282"/>
      <c r="AF379" s="1288"/>
      <c r="AG379" s="1288"/>
    </row>
    <row r="380" spans="1:34">
      <c r="A380" s="1315"/>
      <c r="B380" s="1315"/>
      <c r="C380" s="1315"/>
      <c r="D380" s="1315"/>
      <c r="E380" s="1316" t="s">
        <v>2932</v>
      </c>
      <c r="F380" s="1317"/>
      <c r="G380" s="1317"/>
      <c r="H380" s="1317"/>
      <c r="I380" s="1317"/>
      <c r="J380" s="1317"/>
      <c r="K380" s="1317"/>
      <c r="L380" s="1317"/>
      <c r="M380" s="1317"/>
      <c r="N380" s="1317"/>
      <c r="O380" s="1317"/>
      <c r="P380" s="1317"/>
      <c r="Q380" s="1317"/>
      <c r="R380" s="1318">
        <f>+R248</f>
        <v>1065733.4596000002</v>
      </c>
      <c r="S380" s="1319"/>
      <c r="T380" s="1320"/>
      <c r="U380" s="1312"/>
      <c r="V380" s="1312"/>
      <c r="W380" s="1312"/>
      <c r="X380" s="1312"/>
      <c r="Y380" s="1236"/>
      <c r="Z380" s="1299"/>
      <c r="AA380" s="1286"/>
      <c r="AB380" s="1282"/>
      <c r="AC380" s="1236"/>
      <c r="AD380" s="1282"/>
      <c r="AE380" s="1282"/>
      <c r="AF380" s="1288"/>
      <c r="AG380" s="1288"/>
    </row>
    <row r="381" spans="1:34">
      <c r="F381" s="1155"/>
      <c r="S381" s="1236"/>
      <c r="T381" s="1222"/>
      <c r="U381" s="1312"/>
      <c r="V381" s="1312"/>
      <c r="W381" s="1312"/>
      <c r="X381" s="1312"/>
      <c r="Y381" s="1282"/>
      <c r="Z381" s="1299"/>
      <c r="AA381" s="1321"/>
      <c r="AB381" s="1284"/>
      <c r="AC381" s="1236"/>
      <c r="AD381" s="1282"/>
      <c r="AE381" s="1282"/>
      <c r="AF381" s="1288"/>
      <c r="AG381" s="1288"/>
    </row>
    <row r="382" spans="1:34">
      <c r="F382" s="1290" t="s">
        <v>2928</v>
      </c>
      <c r="R382" s="1291">
        <v>73801.81</v>
      </c>
      <c r="S382" s="1236"/>
      <c r="T382" s="1222"/>
      <c r="U382" s="1312"/>
      <c r="V382" s="1312"/>
      <c r="W382" s="1312"/>
      <c r="X382" s="1312"/>
      <c r="Y382" s="1282"/>
      <c r="Z382" s="1299"/>
      <c r="AA382" s="1321"/>
      <c r="AB382" s="1284"/>
      <c r="AC382" s="1236"/>
      <c r="AD382" s="1282"/>
      <c r="AE382" s="1282"/>
      <c r="AF382" s="1288"/>
      <c r="AG382" s="1288"/>
    </row>
    <row r="383" spans="1:34">
      <c r="F383" s="1290" t="s">
        <v>2933</v>
      </c>
      <c r="S383" s="1236"/>
      <c r="T383" s="1222"/>
      <c r="U383" s="1312"/>
      <c r="V383" s="1312"/>
      <c r="W383" s="1312"/>
      <c r="X383" s="1312"/>
      <c r="Y383" s="1282"/>
      <c r="Z383" s="1299"/>
      <c r="AA383" s="1321"/>
      <c r="AB383" s="1284"/>
      <c r="AC383" s="1236"/>
      <c r="AD383" s="1282"/>
      <c r="AE383" s="1282"/>
      <c r="AF383" s="1288"/>
      <c r="AG383" s="1288"/>
    </row>
    <row r="384" spans="1:34">
      <c r="F384" s="1290"/>
      <c r="S384" s="1236"/>
      <c r="T384" s="1222"/>
      <c r="U384" s="1312"/>
      <c r="V384" s="1312"/>
      <c r="W384" s="1312"/>
      <c r="X384" s="1312"/>
      <c r="Y384" s="1283"/>
      <c r="Z384" s="1299"/>
      <c r="AA384" s="1321"/>
      <c r="AB384" s="1284"/>
      <c r="AC384" s="1236"/>
      <c r="AD384" s="1282"/>
      <c r="AE384" s="1283"/>
      <c r="AF384" s="1164"/>
    </row>
    <row r="385" spans="1:42">
      <c r="F385" s="1155"/>
      <c r="G385" s="1168"/>
      <c r="H385" s="1168"/>
      <c r="I385" s="1168"/>
      <c r="J385" s="1168"/>
      <c r="K385" s="1168"/>
      <c r="L385" s="1168"/>
      <c r="M385" s="1168"/>
      <c r="N385" s="1168"/>
      <c r="O385" s="1168"/>
      <c r="P385" s="1168"/>
      <c r="Q385" s="1168"/>
      <c r="R385" s="1298" t="s">
        <v>2929</v>
      </c>
      <c r="S385" s="1236"/>
      <c r="T385" s="1236"/>
      <c r="U385" s="1236"/>
      <c r="V385" s="1236"/>
      <c r="W385" s="1236"/>
      <c r="X385" s="1236"/>
      <c r="Y385" s="1236"/>
      <c r="Z385" s="1299"/>
      <c r="AA385" s="1236"/>
      <c r="AB385" s="1236"/>
      <c r="AC385" s="1236"/>
      <c r="AD385" s="1287"/>
      <c r="AE385" s="1283"/>
    </row>
    <row r="386" spans="1:42">
      <c r="E386" s="1300">
        <v>52010</v>
      </c>
      <c r="F386" s="1300" t="s">
        <v>33</v>
      </c>
      <c r="G386" s="1168"/>
      <c r="H386" s="1168"/>
      <c r="I386" s="1168"/>
      <c r="J386" s="1168"/>
      <c r="K386" s="1168"/>
      <c r="L386" s="1168"/>
      <c r="M386" s="1168"/>
      <c r="N386" s="1168"/>
      <c r="O386" s="1168"/>
      <c r="P386" s="1168"/>
      <c r="Q386" s="1168"/>
      <c r="R386" s="1360">
        <f>+'2010_IS'!AE114</f>
        <v>191243.87</v>
      </c>
      <c r="S386" s="1236"/>
      <c r="T386" s="1236"/>
      <c r="U386" s="1236"/>
      <c r="V386" s="1282"/>
      <c r="W386" s="1283"/>
      <c r="X386" s="1283"/>
      <c r="Y386" s="1284"/>
      <c r="Z386" s="1285"/>
      <c r="AA386" s="1286"/>
      <c r="AB386" s="1282"/>
      <c r="AC386" s="1283"/>
      <c r="AD386" s="1287"/>
      <c r="AE386" s="1283"/>
    </row>
    <row r="387" spans="1:42">
      <c r="E387" s="1300">
        <v>52020</v>
      </c>
      <c r="F387" s="1300" t="s">
        <v>42</v>
      </c>
      <c r="G387" s="1301"/>
      <c r="H387" s="1301"/>
      <c r="I387" s="1301"/>
      <c r="J387" s="1301"/>
      <c r="K387" s="1301"/>
      <c r="L387" s="1301"/>
      <c r="M387" s="1301"/>
      <c r="N387" s="1301"/>
      <c r="O387" s="1301"/>
      <c r="P387" s="1301"/>
      <c r="Q387" s="1301"/>
      <c r="R387" s="1360">
        <f>+'2010_IS'!AE115</f>
        <v>727003.32</v>
      </c>
      <c r="S387" s="1236"/>
      <c r="T387" s="1236"/>
      <c r="U387" s="1236"/>
      <c r="V387" s="1282"/>
      <c r="W387" s="1283"/>
      <c r="X387" s="1283"/>
      <c r="Y387" s="1284"/>
      <c r="Z387" s="1285"/>
      <c r="AA387" s="1286"/>
      <c r="AB387" s="1282"/>
      <c r="AC387" s="1283"/>
      <c r="AD387" s="1287"/>
      <c r="AE387" s="1283"/>
    </row>
    <row r="388" spans="1:42">
      <c r="E388" s="1300">
        <v>52025</v>
      </c>
      <c r="F388" s="1300" t="s">
        <v>43</v>
      </c>
      <c r="G388" s="1301"/>
      <c r="H388" s="1301"/>
      <c r="I388" s="1301"/>
      <c r="J388" s="1301"/>
      <c r="K388" s="1301"/>
      <c r="L388" s="1301"/>
      <c r="M388" s="1301"/>
      <c r="N388" s="1301"/>
      <c r="O388" s="1301"/>
      <c r="P388" s="1301"/>
      <c r="Q388" s="1301"/>
      <c r="R388" s="1360">
        <f>+'2010_IS'!AE116</f>
        <v>115525.80000000002</v>
      </c>
      <c r="S388" s="1236"/>
    </row>
    <row r="389" spans="1:42">
      <c r="E389" s="1300">
        <v>52035</v>
      </c>
      <c r="F389" s="1303" t="s">
        <v>44</v>
      </c>
      <c r="G389" s="1301"/>
      <c r="H389" s="1301"/>
      <c r="I389" s="1301"/>
      <c r="J389" s="1301"/>
      <c r="K389" s="1301"/>
      <c r="L389" s="1301"/>
      <c r="M389" s="1301"/>
      <c r="N389" s="1301"/>
      <c r="O389" s="1301"/>
      <c r="P389" s="1301"/>
      <c r="Q389" s="1301"/>
      <c r="R389" s="1360">
        <f>+'2010_IS'!AE117</f>
        <v>31182.82</v>
      </c>
      <c r="S389" s="1236"/>
      <c r="T389" s="1236"/>
    </row>
    <row r="390" spans="1:42">
      <c r="E390" s="1300">
        <v>52036</v>
      </c>
      <c r="F390" s="1303" t="s">
        <v>2930</v>
      </c>
      <c r="G390" s="1301"/>
      <c r="H390" s="1301"/>
      <c r="I390" s="1301"/>
      <c r="J390" s="1301"/>
      <c r="K390" s="1301"/>
      <c r="L390" s="1301"/>
      <c r="M390" s="1301"/>
      <c r="N390" s="1301"/>
      <c r="O390" s="1301"/>
      <c r="P390" s="1301"/>
      <c r="Q390" s="1301"/>
      <c r="R390" s="1360">
        <f>+'2010_IS'!AE118</f>
        <v>351.47</v>
      </c>
      <c r="S390" s="1236"/>
      <c r="T390" s="1236"/>
    </row>
    <row r="391" spans="1:42">
      <c r="E391" s="1300">
        <v>52065</v>
      </c>
      <c r="F391" s="1300" t="s">
        <v>39</v>
      </c>
      <c r="G391" s="1301"/>
      <c r="H391" s="1301"/>
      <c r="I391" s="1301"/>
      <c r="J391" s="1301"/>
      <c r="K391" s="1301"/>
      <c r="L391" s="1301"/>
      <c r="M391" s="1301"/>
      <c r="N391" s="1301"/>
      <c r="O391" s="1301"/>
      <c r="P391" s="1301"/>
      <c r="Q391" s="1301"/>
      <c r="R391" s="1360">
        <f>+'2010_IS'!AE121</f>
        <v>47830.16</v>
      </c>
      <c r="S391" s="1236"/>
      <c r="T391" s="1236"/>
    </row>
    <row r="392" spans="1:42">
      <c r="E392" s="1300">
        <v>52070</v>
      </c>
      <c r="F392" s="1300" t="s">
        <v>40</v>
      </c>
      <c r="G392" s="1301"/>
      <c r="H392" s="1301"/>
      <c r="I392" s="1301"/>
      <c r="J392" s="1301"/>
      <c r="K392" s="1301"/>
      <c r="L392" s="1301"/>
      <c r="M392" s="1301"/>
      <c r="N392" s="1301"/>
      <c r="O392" s="1301"/>
      <c r="P392" s="1301"/>
      <c r="Q392" s="1301"/>
      <c r="R392" s="1361">
        <f>+'2010_IS'!AE122</f>
        <v>7945.65</v>
      </c>
      <c r="S392" s="1236"/>
      <c r="T392" s="1236"/>
    </row>
    <row r="393" spans="1:42">
      <c r="E393" s="1306"/>
      <c r="F393" s="1306"/>
      <c r="G393" s="1301"/>
      <c r="H393" s="1301"/>
      <c r="I393" s="1301"/>
      <c r="J393" s="1301"/>
      <c r="K393" s="1301"/>
      <c r="L393" s="1301"/>
      <c r="M393" s="1301"/>
      <c r="N393" s="1301"/>
      <c r="O393" s="1301"/>
      <c r="P393" s="1301"/>
      <c r="Q393" s="1301"/>
      <c r="R393" s="1236">
        <f>SUM(R386:R392)</f>
        <v>1121083.0899999999</v>
      </c>
      <c r="S393" s="1236"/>
      <c r="T393" s="1236"/>
    </row>
    <row r="394" spans="1:42">
      <c r="E394" s="1306"/>
      <c r="F394" s="1306"/>
      <c r="G394" s="1301"/>
      <c r="H394" s="1301"/>
      <c r="I394" s="1301"/>
      <c r="J394" s="1301"/>
      <c r="K394" s="1301"/>
      <c r="L394" s="1301"/>
      <c r="M394" s="1301"/>
      <c r="N394" s="1301"/>
      <c r="O394" s="1301"/>
      <c r="P394" s="1301"/>
      <c r="Q394" s="1301"/>
      <c r="R394" s="1308"/>
      <c r="S394" s="1236"/>
      <c r="T394" s="1236"/>
    </row>
    <row r="395" spans="1:42">
      <c r="E395" s="1306"/>
      <c r="F395" s="1322" t="s">
        <v>428</v>
      </c>
      <c r="G395" s="1310"/>
      <c r="H395" s="1310"/>
      <c r="I395" s="1310"/>
      <c r="J395" s="1310"/>
      <c r="K395" s="1310"/>
      <c r="L395" s="1310"/>
      <c r="M395" s="1310"/>
      <c r="N395" s="1310"/>
      <c r="O395" s="1310"/>
      <c r="P395" s="1310"/>
      <c r="Q395" s="1311" t="s">
        <v>2931</v>
      </c>
      <c r="R395" s="1308">
        <f>R380+R382-R393</f>
        <v>18452.179600000381</v>
      </c>
      <c r="S395" s="1296">
        <f>R395/R393</f>
        <v>1.64592435338583E-2</v>
      </c>
      <c r="T395" s="1323"/>
      <c r="AI395" s="1166"/>
    </row>
    <row r="396" spans="1:42" s="1156" customFormat="1">
      <c r="B396" s="1155"/>
      <c r="C396" s="1155"/>
      <c r="D396" s="1155"/>
      <c r="E396" s="1155"/>
      <c r="F396" s="1157"/>
      <c r="G396" s="1157"/>
      <c r="H396" s="1157"/>
      <c r="I396" s="1157"/>
      <c r="J396" s="1157"/>
      <c r="K396" s="1157"/>
      <c r="L396" s="1157"/>
      <c r="M396" s="1157"/>
      <c r="N396" s="1157"/>
      <c r="O396" s="1157"/>
      <c r="P396" s="1157"/>
      <c r="Q396" s="1157"/>
      <c r="R396" s="1158"/>
      <c r="S396" s="1236"/>
      <c r="T396" s="1236"/>
      <c r="U396" s="1236"/>
      <c r="V396" s="1282"/>
      <c r="W396" s="1283"/>
      <c r="X396" s="1283"/>
      <c r="Y396" s="1161"/>
      <c r="Z396" s="1162"/>
      <c r="AA396" s="1163"/>
      <c r="AB396" s="1160"/>
      <c r="AC396" s="1155"/>
      <c r="AD396" s="1164"/>
      <c r="AE396" s="1155"/>
      <c r="AF396" s="1155"/>
      <c r="AG396" s="1288"/>
    </row>
    <row r="397" spans="1:42">
      <c r="A397" s="1324"/>
      <c r="B397" s="1324"/>
      <c r="C397" s="1324"/>
      <c r="D397" s="1324"/>
      <c r="E397" s="1325" t="s">
        <v>2934</v>
      </c>
      <c r="F397" s="1326"/>
      <c r="G397" s="1326"/>
      <c r="H397" s="1326"/>
      <c r="I397" s="1326"/>
      <c r="J397" s="1326"/>
      <c r="K397" s="1326"/>
      <c r="L397" s="1326"/>
      <c r="M397" s="1326"/>
      <c r="N397" s="1326"/>
      <c r="O397" s="1326"/>
      <c r="P397" s="1326"/>
      <c r="Q397" s="1326"/>
      <c r="R397" s="1327">
        <f>+R253</f>
        <v>38804</v>
      </c>
      <c r="S397" s="1280"/>
      <c r="T397" s="1280"/>
      <c r="U397" s="1312"/>
      <c r="V397" s="1328"/>
      <c r="W397" s="1283"/>
      <c r="X397" s="1283"/>
      <c r="Y397" s="1329"/>
      <c r="Z397" s="1330"/>
      <c r="AA397" s="1331"/>
      <c r="AB397" s="1332"/>
      <c r="AC397" s="1186"/>
      <c r="AD397" s="1333"/>
      <c r="AE397" s="1186"/>
      <c r="AF397" s="1186"/>
      <c r="AG397" s="1186"/>
      <c r="AH397" s="1186"/>
      <c r="AI397" s="1186"/>
      <c r="AJ397" s="1186"/>
      <c r="AK397" s="1186"/>
      <c r="AL397" s="1186"/>
      <c r="AM397" s="1186"/>
      <c r="AN397" s="1186"/>
      <c r="AO397" s="1186"/>
      <c r="AP397" s="1186"/>
    </row>
    <row r="398" spans="1:42" hidden="1">
      <c r="A398" s="1315"/>
      <c r="B398" s="1315"/>
      <c r="C398" s="1315"/>
      <c r="D398" s="1315"/>
      <c r="E398" s="1316" t="s">
        <v>2935</v>
      </c>
      <c r="F398" s="1317"/>
      <c r="G398" s="1317"/>
      <c r="H398" s="1317"/>
      <c r="I398" s="1317"/>
      <c r="J398" s="1317"/>
      <c r="K398" s="1317"/>
      <c r="L398" s="1317"/>
      <c r="M398" s="1317"/>
      <c r="N398" s="1317"/>
      <c r="O398" s="1317"/>
      <c r="P398" s="1317"/>
      <c r="Q398" s="1317"/>
      <c r="R398" s="1334"/>
      <c r="S398" s="1319"/>
      <c r="T398" s="1319"/>
      <c r="U398" s="1319"/>
      <c r="V398" s="1335"/>
      <c r="W398" s="1336"/>
      <c r="X398" s="1336"/>
      <c r="Y398" s="1156"/>
      <c r="Z398" s="1337"/>
      <c r="AA398" s="1338"/>
      <c r="AB398" s="1339"/>
      <c r="AC398" s="1288"/>
      <c r="AD398" s="1288"/>
      <c r="AE398" s="1288"/>
      <c r="AF398" s="1288"/>
      <c r="AG398" s="1288"/>
    </row>
    <row r="399" spans="1:42" hidden="1">
      <c r="S399" s="1236"/>
      <c r="T399" s="1236"/>
      <c r="U399" s="1236"/>
      <c r="V399" s="1282"/>
      <c r="W399" s="1283"/>
      <c r="X399" s="1283"/>
      <c r="Z399" s="1337"/>
      <c r="AA399" s="1338"/>
      <c r="AB399" s="1339"/>
      <c r="AC399" s="1288"/>
      <c r="AD399" s="1288"/>
      <c r="AE399" s="1288"/>
      <c r="AF399" s="1288"/>
      <c r="AG399" s="1288"/>
    </row>
    <row r="400" spans="1:42" hidden="1">
      <c r="E400" s="1290" t="s">
        <v>2936</v>
      </c>
      <c r="S400" s="1236"/>
      <c r="T400" s="1236"/>
      <c r="U400" s="1236"/>
      <c r="V400" s="1282"/>
      <c r="W400" s="1283"/>
      <c r="X400" s="1283"/>
      <c r="Z400" s="1337"/>
      <c r="AA400" s="1338"/>
      <c r="AB400" s="1339"/>
      <c r="AC400" s="1288"/>
      <c r="AD400" s="1288"/>
      <c r="AE400" s="1288"/>
      <c r="AF400" s="1288"/>
      <c r="AG400" s="1288"/>
    </row>
    <row r="401" spans="2:33" hidden="1">
      <c r="E401" s="1290" t="s">
        <v>2937</v>
      </c>
      <c r="S401" s="1236"/>
      <c r="T401" s="1236"/>
      <c r="U401" s="1236"/>
      <c r="V401" s="1282"/>
      <c r="W401" s="1283"/>
      <c r="X401" s="1283"/>
      <c r="Z401" s="1337"/>
      <c r="AA401" s="1338"/>
      <c r="AB401" s="1339"/>
      <c r="AC401" s="1288"/>
      <c r="AD401" s="1288"/>
      <c r="AE401" s="1288"/>
      <c r="AF401" s="1288"/>
      <c r="AG401" s="1288"/>
    </row>
    <row r="402" spans="2:33" hidden="1">
      <c r="E402" s="1290" t="s">
        <v>2938</v>
      </c>
      <c r="S402" s="1236"/>
      <c r="T402" s="1236"/>
      <c r="U402" s="1236"/>
      <c r="V402" s="1282"/>
      <c r="W402" s="1283"/>
      <c r="X402" s="1283"/>
      <c r="Z402" s="1337"/>
      <c r="AA402" s="1338"/>
      <c r="AB402" s="1339"/>
      <c r="AC402" s="1288"/>
      <c r="AD402" s="1288"/>
      <c r="AE402" s="1288"/>
      <c r="AF402" s="1288"/>
      <c r="AG402" s="1288"/>
    </row>
    <row r="403" spans="2:33" hidden="1">
      <c r="E403" s="1290" t="s">
        <v>2939</v>
      </c>
      <c r="S403" s="1236"/>
      <c r="T403" s="1236"/>
      <c r="U403" s="1236"/>
      <c r="V403" s="1282"/>
      <c r="W403" s="1283"/>
      <c r="X403" s="1283"/>
      <c r="Z403" s="1337"/>
      <c r="AA403" s="1338"/>
      <c r="AB403" s="1339"/>
      <c r="AC403" s="1288"/>
      <c r="AD403" s="1288"/>
      <c r="AE403" s="1288"/>
      <c r="AF403" s="1288"/>
      <c r="AG403" s="1288"/>
    </row>
    <row r="404" spans="2:33" hidden="1">
      <c r="E404" s="1290" t="s">
        <v>2940</v>
      </c>
      <c r="S404" s="1236"/>
      <c r="T404" s="1236"/>
      <c r="U404" s="1236"/>
      <c r="V404" s="1282"/>
      <c r="W404" s="1283"/>
      <c r="X404" s="1283"/>
      <c r="Z404" s="1337"/>
      <c r="AA404" s="1338"/>
      <c r="AB404" s="1339"/>
      <c r="AC404" s="1288"/>
      <c r="AD404" s="1288"/>
      <c r="AE404" s="1288"/>
      <c r="AF404" s="1288"/>
    </row>
    <row r="405" spans="2:33" hidden="1">
      <c r="E405" s="1290" t="s">
        <v>2941</v>
      </c>
      <c r="S405" s="1236"/>
      <c r="T405" s="1236"/>
      <c r="U405" s="1236"/>
      <c r="V405" s="1282"/>
      <c r="W405" s="1283"/>
      <c r="X405" s="1283"/>
      <c r="Z405" s="1337"/>
      <c r="AA405" s="1338"/>
      <c r="AB405" s="1339"/>
      <c r="AC405" s="1288"/>
      <c r="AD405" s="1288"/>
      <c r="AE405" s="1288"/>
      <c r="AF405" s="1288"/>
    </row>
    <row r="406" spans="2:33" hidden="1">
      <c r="E406" s="1290" t="s">
        <v>2942</v>
      </c>
      <c r="S406" s="1236"/>
      <c r="T406" s="1236"/>
      <c r="U406" s="1236"/>
      <c r="V406" s="1282"/>
      <c r="W406" s="1283"/>
      <c r="X406" s="1283"/>
      <c r="AA406" s="1340"/>
      <c r="AB406" s="1161"/>
      <c r="AC406" s="1164"/>
      <c r="AD406" s="1160"/>
      <c r="AG406" s="1164"/>
    </row>
    <row r="407" spans="2:33" hidden="1">
      <c r="E407" s="1290" t="s">
        <v>2943</v>
      </c>
      <c r="S407" s="1236"/>
      <c r="T407" s="1236"/>
      <c r="U407" s="1236"/>
      <c r="V407" s="1282"/>
      <c r="W407" s="1283"/>
      <c r="X407" s="1283"/>
      <c r="AA407" s="1340"/>
      <c r="AB407" s="1161"/>
      <c r="AC407" s="1164"/>
      <c r="AD407" s="1160"/>
    </row>
    <row r="408" spans="2:33" hidden="1">
      <c r="E408" s="1290" t="s">
        <v>2944</v>
      </c>
      <c r="S408" s="1236"/>
      <c r="T408" s="1236"/>
      <c r="U408" s="1236"/>
      <c r="V408" s="1282"/>
      <c r="W408" s="1283"/>
      <c r="X408" s="1283"/>
      <c r="AA408" s="1340"/>
      <c r="AB408" s="1161"/>
      <c r="AC408" s="1164"/>
      <c r="AD408" s="1160"/>
      <c r="AF408" s="1164"/>
    </row>
    <row r="409" spans="2:33" hidden="1">
      <c r="E409" s="1290" t="s">
        <v>2945</v>
      </c>
      <c r="S409" s="1236"/>
      <c r="T409" s="1236"/>
      <c r="U409" s="1236"/>
      <c r="V409" s="1282"/>
      <c r="W409" s="1283"/>
      <c r="X409" s="1283"/>
    </row>
    <row r="410" spans="2:33" hidden="1">
      <c r="S410" s="1236"/>
      <c r="T410" s="1236"/>
      <c r="U410" s="1236"/>
      <c r="V410" s="1282"/>
      <c r="W410" s="1283"/>
      <c r="X410" s="1283"/>
    </row>
    <row r="411" spans="2:33" hidden="1">
      <c r="S411" s="1236"/>
      <c r="T411" s="1236"/>
      <c r="U411" s="1236"/>
      <c r="V411" s="1282"/>
      <c r="W411" s="1283"/>
      <c r="X411" s="1283"/>
    </row>
    <row r="412" spans="2:33" hidden="1">
      <c r="B412" s="1300">
        <v>55020</v>
      </c>
      <c r="C412" s="1300"/>
      <c r="D412" s="1300"/>
      <c r="E412" s="1300" t="s">
        <v>42</v>
      </c>
      <c r="F412" s="1306"/>
      <c r="G412" s="1306"/>
      <c r="H412" s="1306"/>
      <c r="I412" s="1306"/>
      <c r="J412" s="1306"/>
      <c r="K412" s="1306"/>
      <c r="L412" s="1306"/>
      <c r="M412" s="1306"/>
      <c r="N412" s="1306"/>
      <c r="O412" s="1306"/>
      <c r="P412" s="1306"/>
      <c r="Q412" s="1306"/>
      <c r="R412" s="1341"/>
      <c r="S412" s="1236"/>
      <c r="T412" s="1236"/>
      <c r="U412" s="1236"/>
      <c r="V412" s="1282"/>
      <c r="W412" s="1283"/>
      <c r="X412" s="1283"/>
    </row>
    <row r="413" spans="2:33" hidden="1">
      <c r="B413" s="1300">
        <v>55025</v>
      </c>
      <c r="C413" s="1300"/>
      <c r="D413" s="1300"/>
      <c r="E413" s="1300" t="s">
        <v>43</v>
      </c>
      <c r="F413" s="1306"/>
      <c r="G413" s="1306"/>
      <c r="H413" s="1306"/>
      <c r="I413" s="1306"/>
      <c r="J413" s="1306"/>
      <c r="K413" s="1306"/>
      <c r="L413" s="1306"/>
      <c r="M413" s="1306"/>
      <c r="N413" s="1306"/>
      <c r="O413" s="1306"/>
      <c r="P413" s="1306"/>
      <c r="Q413" s="1306"/>
      <c r="R413" s="1341"/>
      <c r="S413" s="1236"/>
      <c r="T413" s="1236"/>
      <c r="U413" s="1236"/>
      <c r="V413" s="1282"/>
      <c r="W413" s="1283"/>
      <c r="X413" s="1283"/>
    </row>
    <row r="414" spans="2:33" hidden="1">
      <c r="B414" s="1300">
        <v>55035</v>
      </c>
      <c r="C414" s="1300"/>
      <c r="D414" s="1300"/>
      <c r="E414" s="1303" t="s">
        <v>37</v>
      </c>
      <c r="F414" s="1306"/>
      <c r="G414" s="1306"/>
      <c r="H414" s="1306"/>
      <c r="I414" s="1306"/>
      <c r="J414" s="1306"/>
      <c r="K414" s="1306"/>
      <c r="L414" s="1306"/>
      <c r="M414" s="1306"/>
      <c r="N414" s="1306"/>
      <c r="O414" s="1306"/>
      <c r="P414" s="1306"/>
      <c r="Q414" s="1306"/>
      <c r="R414" s="1341"/>
      <c r="S414" s="1236"/>
      <c r="T414" s="1236"/>
      <c r="U414" s="1236"/>
      <c r="V414" s="1282"/>
      <c r="W414" s="1283"/>
      <c r="X414" s="1283"/>
    </row>
    <row r="415" spans="2:33" hidden="1">
      <c r="B415" s="1300">
        <v>50065</v>
      </c>
      <c r="C415" s="1300"/>
      <c r="D415" s="1300"/>
      <c r="E415" s="1300" t="s">
        <v>39</v>
      </c>
      <c r="F415" s="1306"/>
      <c r="G415" s="1306"/>
      <c r="H415" s="1306"/>
      <c r="I415" s="1306"/>
      <c r="J415" s="1306"/>
      <c r="K415" s="1306"/>
      <c r="L415" s="1306"/>
      <c r="M415" s="1306"/>
      <c r="N415" s="1306"/>
      <c r="O415" s="1306"/>
      <c r="P415" s="1306"/>
      <c r="Q415" s="1306"/>
      <c r="R415" s="1341"/>
      <c r="S415" s="1236"/>
      <c r="T415" s="1236"/>
      <c r="U415" s="1236"/>
      <c r="V415" s="1282"/>
      <c r="W415" s="1283"/>
      <c r="X415" s="1283"/>
    </row>
    <row r="416" spans="2:33" hidden="1">
      <c r="B416" s="1300">
        <v>55070</v>
      </c>
      <c r="C416" s="1300"/>
      <c r="D416" s="1300"/>
      <c r="E416" s="1300" t="s">
        <v>40</v>
      </c>
      <c r="F416" s="1306"/>
      <c r="G416" s="1306"/>
      <c r="H416" s="1306"/>
      <c r="I416" s="1306"/>
      <c r="J416" s="1306"/>
      <c r="K416" s="1306"/>
      <c r="L416" s="1306"/>
      <c r="M416" s="1306"/>
      <c r="N416" s="1306"/>
      <c r="O416" s="1306"/>
      <c r="P416" s="1306"/>
      <c r="Q416" s="1306"/>
      <c r="R416" s="1341"/>
      <c r="S416" s="1236"/>
      <c r="T416" s="1236"/>
      <c r="U416" s="1236"/>
      <c r="V416" s="1282"/>
      <c r="W416" s="1283"/>
      <c r="X416" s="1283"/>
    </row>
    <row r="417" spans="1:42" hidden="1">
      <c r="B417" s="1306"/>
      <c r="C417" s="1306"/>
      <c r="D417" s="1306"/>
      <c r="E417" s="1306"/>
      <c r="F417" s="1306"/>
      <c r="G417" s="1306"/>
      <c r="H417" s="1306"/>
      <c r="I417" s="1306"/>
      <c r="J417" s="1306"/>
      <c r="K417" s="1306"/>
      <c r="L417" s="1306"/>
      <c r="M417" s="1306"/>
      <c r="N417" s="1306"/>
      <c r="O417" s="1306"/>
      <c r="P417" s="1306"/>
      <c r="Q417" s="1306"/>
      <c r="R417" s="1341"/>
      <c r="S417" s="1236"/>
      <c r="T417" s="1236"/>
      <c r="U417" s="1236"/>
      <c r="V417" s="1282"/>
      <c r="W417" s="1283"/>
      <c r="X417" s="1283"/>
    </row>
    <row r="418" spans="1:42" hidden="1">
      <c r="B418" s="1306"/>
      <c r="C418" s="1306"/>
      <c r="D418" s="1306"/>
      <c r="E418" s="1306"/>
      <c r="F418" s="1306"/>
      <c r="G418" s="1306"/>
      <c r="H418" s="1306"/>
      <c r="I418" s="1306"/>
      <c r="J418" s="1306"/>
      <c r="K418" s="1306"/>
      <c r="L418" s="1306"/>
      <c r="M418" s="1306"/>
      <c r="N418" s="1306"/>
      <c r="O418" s="1306"/>
      <c r="P418" s="1306"/>
      <c r="Q418" s="1306"/>
      <c r="R418" s="1341"/>
      <c r="S418" s="1236"/>
      <c r="T418" s="1236"/>
      <c r="U418" s="1236"/>
      <c r="V418" s="1282"/>
      <c r="W418" s="1283"/>
      <c r="X418" s="1283"/>
    </row>
    <row r="419" spans="1:42" hidden="1">
      <c r="B419" s="1306"/>
      <c r="C419" s="1306"/>
      <c r="D419" s="1306"/>
      <c r="E419" s="1322" t="s">
        <v>428</v>
      </c>
      <c r="F419" s="1322"/>
      <c r="G419" s="1322"/>
      <c r="H419" s="1322"/>
      <c r="I419" s="1322"/>
      <c r="J419" s="1322"/>
      <c r="K419" s="1322"/>
      <c r="L419" s="1322"/>
      <c r="M419" s="1322"/>
      <c r="N419" s="1322"/>
      <c r="O419" s="1322"/>
      <c r="P419" s="1322"/>
      <c r="Q419" s="1322"/>
      <c r="R419" s="1342"/>
      <c r="S419" s="1236"/>
      <c r="T419" s="1280"/>
      <c r="U419" s="1236"/>
      <c r="V419" s="1282"/>
      <c r="W419" s="1283"/>
      <c r="X419" s="1283"/>
      <c r="AG419" s="1186"/>
      <c r="AH419" s="1186"/>
      <c r="AI419" s="1186"/>
      <c r="AJ419" s="1186"/>
      <c r="AK419" s="1186"/>
      <c r="AL419" s="1186"/>
      <c r="AM419" s="1186"/>
      <c r="AN419" s="1186"/>
      <c r="AO419" s="1186"/>
      <c r="AP419" s="1186"/>
    </row>
    <row r="420" spans="1:42" s="1343" customFormat="1" hidden="1">
      <c r="A420" s="1155"/>
      <c r="B420" s="1155"/>
      <c r="C420" s="1155"/>
      <c r="D420" s="1155"/>
      <c r="E420" s="1155"/>
      <c r="F420" s="1157"/>
      <c r="G420" s="1157"/>
      <c r="H420" s="1157"/>
      <c r="I420" s="1157"/>
      <c r="J420" s="1157"/>
      <c r="K420" s="1157"/>
      <c r="L420" s="1157"/>
      <c r="M420" s="1157"/>
      <c r="N420" s="1157"/>
      <c r="O420" s="1157"/>
      <c r="P420" s="1157"/>
      <c r="Q420" s="1157"/>
      <c r="R420" s="1158"/>
      <c r="S420" s="1236"/>
      <c r="T420" s="1236"/>
      <c r="U420" s="1236"/>
      <c r="V420" s="1282"/>
      <c r="W420" s="1283"/>
      <c r="X420" s="1283"/>
      <c r="Y420" s="1161"/>
      <c r="Z420" s="1162"/>
      <c r="AA420" s="1163"/>
      <c r="AB420" s="1160"/>
      <c r="AC420" s="1155"/>
      <c r="AD420" s="1164"/>
      <c r="AE420" s="1155"/>
      <c r="AF420" s="1155"/>
      <c r="AG420" s="1186"/>
      <c r="AH420" s="1186"/>
      <c r="AI420" s="1186"/>
      <c r="AJ420" s="1186"/>
      <c r="AK420" s="1186"/>
      <c r="AL420" s="1186"/>
      <c r="AM420" s="1186"/>
      <c r="AN420" s="1186"/>
      <c r="AO420" s="1186"/>
      <c r="AP420" s="1186"/>
    </row>
    <row r="421" spans="1:42">
      <c r="S421" s="1236"/>
      <c r="T421" s="1236"/>
      <c r="U421" s="1236"/>
      <c r="V421" s="1282"/>
      <c r="W421" s="1283"/>
      <c r="X421" s="1283"/>
      <c r="Y421" s="1329"/>
      <c r="Z421" s="1330"/>
      <c r="AA421" s="1331"/>
      <c r="AB421" s="1332"/>
      <c r="AC421" s="1186"/>
      <c r="AD421" s="1333"/>
      <c r="AE421" s="1186"/>
      <c r="AF421" s="1186"/>
      <c r="AG421" s="1186"/>
      <c r="AH421" s="1186"/>
      <c r="AI421" s="1186"/>
      <c r="AJ421" s="1186"/>
      <c r="AK421" s="1186"/>
      <c r="AL421" s="1186"/>
      <c r="AM421" s="1186"/>
      <c r="AN421" s="1186"/>
      <c r="AO421" s="1186"/>
      <c r="AP421" s="1186"/>
    </row>
    <row r="422" spans="1:42">
      <c r="F422" s="1290" t="s">
        <v>2928</v>
      </c>
      <c r="R422" s="1291">
        <v>35959.94</v>
      </c>
      <c r="S422" s="1236"/>
      <c r="T422" s="1236"/>
      <c r="U422" s="1236"/>
      <c r="V422" s="1282"/>
      <c r="W422" s="1283"/>
      <c r="X422" s="1283"/>
      <c r="Y422" s="1329"/>
      <c r="Z422" s="1330"/>
      <c r="AA422" s="1331"/>
      <c r="AB422" s="1332"/>
      <c r="AC422" s="1186"/>
      <c r="AD422" s="1333"/>
      <c r="AE422" s="1186"/>
      <c r="AF422" s="1186"/>
      <c r="AG422" s="1186"/>
      <c r="AH422" s="1186"/>
      <c r="AI422" s="1186"/>
      <c r="AJ422" s="1186"/>
      <c r="AK422" s="1186"/>
      <c r="AL422" s="1186"/>
      <c r="AM422" s="1186"/>
      <c r="AN422" s="1186"/>
      <c r="AO422" s="1186"/>
      <c r="AP422" s="1186"/>
    </row>
    <row r="423" spans="1:42">
      <c r="F423" s="1290" t="s">
        <v>2933</v>
      </c>
      <c r="R423" s="1155"/>
      <c r="S423" s="1236"/>
      <c r="T423" s="1236"/>
      <c r="U423" s="1236"/>
      <c r="V423" s="1282"/>
      <c r="W423" s="1283"/>
      <c r="X423" s="1283"/>
      <c r="Y423" s="1329"/>
      <c r="Z423" s="1330"/>
      <c r="AA423" s="1331"/>
      <c r="AB423" s="1332"/>
      <c r="AC423" s="1186"/>
      <c r="AD423" s="1333"/>
      <c r="AE423" s="1186"/>
      <c r="AF423" s="1186"/>
      <c r="AG423" s="1186"/>
      <c r="AH423" s="1186"/>
      <c r="AI423" s="1186"/>
      <c r="AJ423" s="1186"/>
      <c r="AK423" s="1186"/>
      <c r="AL423" s="1186"/>
      <c r="AM423" s="1186"/>
      <c r="AN423" s="1186"/>
      <c r="AO423" s="1186"/>
      <c r="AP423" s="1186"/>
    </row>
    <row r="424" spans="1:42">
      <c r="S424" s="1236"/>
      <c r="T424" s="1236"/>
      <c r="U424" s="1236"/>
      <c r="V424" s="1282"/>
      <c r="W424" s="1283"/>
      <c r="X424" s="1283"/>
      <c r="Y424" s="1329"/>
      <c r="Z424" s="1330"/>
      <c r="AA424" s="1331"/>
      <c r="AB424" s="1332"/>
      <c r="AC424" s="1186"/>
      <c r="AD424" s="1333"/>
      <c r="AE424" s="1186"/>
      <c r="AF424" s="1186"/>
      <c r="AG424" s="1186"/>
      <c r="AH424" s="1186"/>
      <c r="AI424" s="1186"/>
      <c r="AJ424" s="1186"/>
      <c r="AK424" s="1186"/>
      <c r="AL424" s="1186"/>
      <c r="AM424" s="1186"/>
      <c r="AN424" s="1186"/>
      <c r="AO424" s="1186"/>
      <c r="AP424" s="1186"/>
    </row>
    <row r="425" spans="1:42">
      <c r="R425" s="1298" t="s">
        <v>2929</v>
      </c>
      <c r="S425" s="1236"/>
      <c r="T425" s="1236"/>
      <c r="U425" s="1236"/>
      <c r="V425" s="1282"/>
      <c r="W425" s="1283"/>
      <c r="X425" s="1283"/>
      <c r="Y425" s="1329"/>
      <c r="Z425" s="1330"/>
      <c r="AA425" s="1331"/>
      <c r="AB425" s="1332"/>
      <c r="AC425" s="1186"/>
      <c r="AD425" s="1333"/>
      <c r="AE425" s="1186"/>
      <c r="AF425" s="1186"/>
      <c r="AG425" s="1186"/>
      <c r="AH425" s="1186"/>
      <c r="AI425" s="1186"/>
      <c r="AJ425" s="1186"/>
      <c r="AK425" s="1186"/>
      <c r="AL425" s="1186"/>
      <c r="AM425" s="1186"/>
      <c r="AN425" s="1186"/>
      <c r="AO425" s="1186"/>
      <c r="AP425" s="1186"/>
    </row>
    <row r="426" spans="1:42">
      <c r="E426" s="1300">
        <v>60010</v>
      </c>
      <c r="F426" s="1300" t="s">
        <v>33</v>
      </c>
      <c r="R426" s="1360">
        <f>+'2010_IS'!AE230</f>
        <v>64666.800000000017</v>
      </c>
      <c r="S426" s="1236"/>
      <c r="T426" s="1236"/>
      <c r="U426" s="1236"/>
      <c r="V426" s="1282"/>
      <c r="W426" s="1283"/>
      <c r="X426" s="1283"/>
      <c r="Y426" s="1329"/>
      <c r="Z426" s="1330"/>
      <c r="AA426" s="1331"/>
      <c r="AB426" s="1332"/>
      <c r="AC426" s="1186"/>
      <c r="AD426" s="1333"/>
      <c r="AE426" s="1186"/>
      <c r="AF426" s="1186"/>
      <c r="AG426" s="1186"/>
      <c r="AH426" s="1186"/>
      <c r="AI426" s="1186"/>
      <c r="AJ426" s="1186"/>
      <c r="AK426" s="1186"/>
      <c r="AL426" s="1186"/>
      <c r="AM426" s="1186"/>
      <c r="AN426" s="1186"/>
      <c r="AO426" s="1186"/>
      <c r="AP426" s="1186"/>
    </row>
    <row r="427" spans="1:42">
      <c r="E427" s="1300">
        <v>60030</v>
      </c>
      <c r="F427" s="1300" t="s">
        <v>42</v>
      </c>
      <c r="R427" s="1360">
        <f>+'2010_IS'!AE231</f>
        <v>706.45</v>
      </c>
      <c r="S427" s="1236"/>
      <c r="T427" s="1236"/>
      <c r="U427" s="1236"/>
      <c r="V427" s="1282"/>
      <c r="W427" s="1283"/>
      <c r="X427" s="1283"/>
      <c r="Y427" s="1329"/>
      <c r="Z427" s="1330"/>
      <c r="AA427" s="1331"/>
      <c r="AB427" s="1332"/>
      <c r="AC427" s="1186"/>
      <c r="AD427" s="1333"/>
      <c r="AE427" s="1186"/>
      <c r="AF427" s="1186"/>
      <c r="AG427" s="1186"/>
      <c r="AH427" s="1186"/>
      <c r="AI427" s="1186"/>
      <c r="AJ427" s="1186"/>
      <c r="AK427" s="1186"/>
      <c r="AL427" s="1186"/>
      <c r="AM427" s="1186"/>
      <c r="AN427" s="1186"/>
      <c r="AO427" s="1186"/>
      <c r="AP427" s="1186"/>
    </row>
    <row r="428" spans="1:42">
      <c r="E428" s="1300">
        <v>60065</v>
      </c>
      <c r="F428" s="1300" t="s">
        <v>39</v>
      </c>
      <c r="R428" s="1360">
        <f>+'2010_IS'!AE234</f>
        <v>1629.29</v>
      </c>
      <c r="S428" s="1236"/>
      <c r="T428" s="1236"/>
      <c r="U428" s="1236"/>
      <c r="V428" s="1282"/>
      <c r="W428" s="1283"/>
      <c r="X428" s="1283"/>
      <c r="Y428" s="1329"/>
      <c r="Z428" s="1330"/>
      <c r="AA428" s="1331"/>
      <c r="AB428" s="1332"/>
      <c r="AC428" s="1186"/>
      <c r="AD428" s="1333"/>
      <c r="AE428" s="1186"/>
      <c r="AF428" s="1186"/>
      <c r="AG428" s="1186"/>
      <c r="AH428" s="1186"/>
      <c r="AI428" s="1186"/>
      <c r="AJ428" s="1186"/>
      <c r="AK428" s="1186"/>
      <c r="AL428" s="1186"/>
      <c r="AM428" s="1186"/>
      <c r="AN428" s="1186"/>
      <c r="AO428" s="1186"/>
      <c r="AP428" s="1186"/>
    </row>
    <row r="429" spans="1:42">
      <c r="E429" s="1300">
        <v>60070</v>
      </c>
      <c r="F429" s="1303" t="s">
        <v>40</v>
      </c>
      <c r="R429" s="1361">
        <f>+'2010_IS'!AE235</f>
        <v>0</v>
      </c>
      <c r="S429" s="1236"/>
      <c r="T429" s="1236"/>
      <c r="U429" s="1236"/>
      <c r="V429" s="1282"/>
      <c r="W429" s="1283"/>
      <c r="X429" s="1283"/>
      <c r="Y429" s="1329"/>
      <c r="Z429" s="1330"/>
      <c r="AA429" s="1331"/>
      <c r="AB429" s="1332"/>
      <c r="AC429" s="1186"/>
      <c r="AD429" s="1333"/>
      <c r="AE429" s="1186"/>
      <c r="AF429" s="1186"/>
      <c r="AG429" s="1186"/>
      <c r="AH429" s="1186"/>
      <c r="AI429" s="1186"/>
      <c r="AJ429" s="1186"/>
      <c r="AK429" s="1186"/>
      <c r="AL429" s="1186"/>
      <c r="AM429" s="1186"/>
      <c r="AN429" s="1186"/>
      <c r="AO429" s="1186"/>
      <c r="AP429" s="1186"/>
    </row>
    <row r="430" spans="1:42">
      <c r="Q430" s="1301"/>
      <c r="R430" s="1236">
        <f>+SUM(R426:R429)</f>
        <v>67002.540000000008</v>
      </c>
      <c r="S430" s="1301"/>
      <c r="T430" s="1236"/>
      <c r="U430" s="1236"/>
      <c r="V430" s="1282"/>
      <c r="W430" s="1283"/>
      <c r="X430" s="1283"/>
      <c r="Y430" s="1329"/>
      <c r="Z430" s="1330"/>
      <c r="AA430" s="1331"/>
      <c r="AB430" s="1332"/>
      <c r="AC430" s="1186"/>
      <c r="AD430" s="1333"/>
      <c r="AE430" s="1186"/>
      <c r="AF430" s="1186"/>
      <c r="AG430" s="1186"/>
      <c r="AH430" s="1186"/>
      <c r="AI430" s="1186"/>
      <c r="AJ430" s="1186"/>
      <c r="AK430" s="1186"/>
      <c r="AL430" s="1186"/>
      <c r="AM430" s="1186"/>
      <c r="AN430" s="1186"/>
      <c r="AO430" s="1186"/>
      <c r="AP430" s="1186"/>
    </row>
    <row r="431" spans="1:42">
      <c r="Q431" s="1301"/>
      <c r="R431" s="1301"/>
      <c r="S431" s="1301"/>
      <c r="T431" s="1236"/>
      <c r="U431" s="1236"/>
      <c r="V431" s="1282"/>
      <c r="W431" s="1283"/>
      <c r="X431" s="1283"/>
      <c r="Y431" s="1329"/>
      <c r="Z431" s="1330"/>
      <c r="AA431" s="1331"/>
      <c r="AB431" s="1332"/>
      <c r="AC431" s="1186"/>
      <c r="AD431" s="1333"/>
      <c r="AE431" s="1186"/>
      <c r="AF431" s="1186"/>
      <c r="AG431" s="1186"/>
      <c r="AH431" s="1186"/>
      <c r="AI431" s="1186"/>
      <c r="AJ431" s="1186"/>
      <c r="AK431" s="1186"/>
      <c r="AL431" s="1186"/>
      <c r="AM431" s="1186"/>
      <c r="AN431" s="1186"/>
      <c r="AO431" s="1186"/>
      <c r="AP431" s="1186"/>
    </row>
    <row r="432" spans="1:42">
      <c r="F432" s="1322" t="s">
        <v>428</v>
      </c>
      <c r="G432" s="1310"/>
      <c r="H432" s="1310"/>
      <c r="I432" s="1310"/>
      <c r="J432" s="1310"/>
      <c r="K432" s="1310"/>
      <c r="L432" s="1310"/>
      <c r="M432" s="1310"/>
      <c r="N432" s="1310"/>
      <c r="O432" s="1310"/>
      <c r="P432" s="1310"/>
      <c r="Q432" s="1311" t="s">
        <v>2931</v>
      </c>
      <c r="R432" s="1308">
        <f>+R397+R422-R430</f>
        <v>7761.3999999999942</v>
      </c>
      <c r="S432" s="1296">
        <f>R432/R430</f>
        <v>0.1158373995970898</v>
      </c>
      <c r="T432" s="1236"/>
      <c r="U432" s="1236"/>
      <c r="V432" s="1282"/>
      <c r="W432" s="1283"/>
      <c r="X432" s="1283"/>
      <c r="Y432" s="1329"/>
      <c r="Z432" s="1330"/>
      <c r="AA432" s="1331"/>
      <c r="AB432" s="1332"/>
      <c r="AC432" s="1186"/>
      <c r="AD432" s="1333"/>
      <c r="AE432" s="1186"/>
      <c r="AF432" s="1186"/>
      <c r="AG432" s="1186"/>
      <c r="AH432" s="1186"/>
      <c r="AI432" s="1186"/>
      <c r="AJ432" s="1186"/>
      <c r="AK432" s="1186"/>
      <c r="AL432" s="1186"/>
      <c r="AM432" s="1186"/>
      <c r="AN432" s="1186"/>
      <c r="AO432" s="1186"/>
      <c r="AP432" s="1186"/>
    </row>
    <row r="433" spans="1:42">
      <c r="Q433" s="1301"/>
      <c r="R433" s="1301"/>
      <c r="S433" s="1301"/>
      <c r="T433" s="1236"/>
      <c r="U433" s="1236"/>
      <c r="V433" s="1282"/>
      <c r="W433" s="1283"/>
      <c r="X433" s="1283"/>
      <c r="Y433" s="1329"/>
      <c r="Z433" s="1330"/>
      <c r="AA433" s="1331"/>
      <c r="AB433" s="1332"/>
      <c r="AC433" s="1186"/>
      <c r="AD433" s="1333"/>
      <c r="AE433" s="1186"/>
      <c r="AF433" s="1186"/>
      <c r="AG433" s="1186"/>
      <c r="AH433" s="1186"/>
      <c r="AI433" s="1186"/>
      <c r="AJ433" s="1186"/>
      <c r="AK433" s="1186"/>
      <c r="AL433" s="1186"/>
      <c r="AM433" s="1186"/>
      <c r="AN433" s="1186"/>
      <c r="AO433" s="1186"/>
      <c r="AP433" s="1186"/>
    </row>
    <row r="434" spans="1:42">
      <c r="A434" s="1324"/>
      <c r="B434" s="1324"/>
      <c r="C434" s="1324"/>
      <c r="D434" s="1324"/>
      <c r="E434" s="1325" t="s">
        <v>2946</v>
      </c>
      <c r="F434" s="1326"/>
      <c r="G434" s="1326"/>
      <c r="H434" s="1326"/>
      <c r="I434" s="1326"/>
      <c r="J434" s="1326"/>
      <c r="K434" s="1326"/>
      <c r="L434" s="1326"/>
      <c r="M434" s="1326"/>
      <c r="N434" s="1326"/>
      <c r="O434" s="1326"/>
      <c r="P434" s="1326"/>
      <c r="Q434" s="1326"/>
      <c r="R434" s="1327">
        <f>+R355</f>
        <v>562238.92969999998</v>
      </c>
      <c r="S434" s="1280"/>
      <c r="T434" s="1280"/>
      <c r="U434" s="1312"/>
      <c r="V434" s="1328"/>
      <c r="W434" s="1283"/>
      <c r="X434" s="1283"/>
      <c r="Y434" s="1329"/>
      <c r="Z434" s="1330"/>
      <c r="AA434" s="1331"/>
      <c r="AB434" s="1332"/>
      <c r="AC434" s="1186"/>
      <c r="AD434" s="1333"/>
      <c r="AE434" s="1186"/>
      <c r="AF434" s="1186"/>
      <c r="AG434" s="1186"/>
      <c r="AH434" s="1186"/>
      <c r="AI434" s="1186"/>
      <c r="AJ434" s="1186"/>
      <c r="AK434" s="1186"/>
      <c r="AL434" s="1186"/>
      <c r="AM434" s="1186"/>
      <c r="AN434" s="1186"/>
      <c r="AO434" s="1186"/>
      <c r="AP434" s="1186"/>
    </row>
    <row r="435" spans="1:42">
      <c r="B435" s="1186"/>
      <c r="C435" s="1186"/>
      <c r="D435" s="1186"/>
      <c r="E435" s="1235"/>
      <c r="F435" s="1158"/>
      <c r="G435" s="1158"/>
      <c r="H435" s="1158"/>
      <c r="I435" s="1158"/>
      <c r="J435" s="1158"/>
      <c r="K435" s="1158"/>
      <c r="L435" s="1158"/>
      <c r="M435" s="1158"/>
      <c r="N435" s="1158"/>
      <c r="O435" s="1158"/>
      <c r="P435" s="1158"/>
      <c r="Q435" s="1158"/>
      <c r="S435" s="1280"/>
      <c r="T435" s="1280"/>
      <c r="U435" s="1280"/>
      <c r="V435" s="1328"/>
      <c r="W435" s="1283"/>
      <c r="X435" s="1283"/>
      <c r="Y435" s="1329"/>
      <c r="Z435" s="1330"/>
      <c r="AA435" s="1331"/>
      <c r="AB435" s="1332"/>
      <c r="AC435" s="1186"/>
      <c r="AD435" s="1333"/>
      <c r="AE435" s="1186"/>
      <c r="AF435" s="1186"/>
      <c r="AG435" s="1186"/>
      <c r="AH435" s="1186"/>
      <c r="AI435" s="1186"/>
      <c r="AJ435" s="1186"/>
      <c r="AK435" s="1186"/>
      <c r="AL435" s="1186"/>
      <c r="AM435" s="1186"/>
      <c r="AN435" s="1186"/>
      <c r="AO435" s="1186"/>
      <c r="AP435" s="1186"/>
    </row>
    <row r="436" spans="1:42">
      <c r="F436" s="1290" t="s">
        <v>2928</v>
      </c>
      <c r="R436" s="1291">
        <v>53673.580000000009</v>
      </c>
      <c r="S436" s="1236"/>
      <c r="T436" s="1236"/>
      <c r="U436" s="1236"/>
      <c r="V436" s="1282"/>
      <c r="W436" s="1283"/>
      <c r="X436" s="1283"/>
      <c r="Y436" s="1329"/>
      <c r="Z436" s="1330"/>
      <c r="AA436" s="1331"/>
      <c r="AB436" s="1332"/>
      <c r="AC436" s="1186"/>
      <c r="AD436" s="1333"/>
      <c r="AE436" s="1186"/>
      <c r="AF436" s="1186"/>
      <c r="AG436" s="1186"/>
      <c r="AH436" s="1186"/>
      <c r="AI436" s="1186"/>
      <c r="AJ436" s="1186"/>
      <c r="AK436" s="1186"/>
      <c r="AL436" s="1186"/>
      <c r="AM436" s="1186"/>
      <c r="AN436" s="1186"/>
      <c r="AO436" s="1186"/>
      <c r="AP436" s="1186"/>
    </row>
    <row r="437" spans="1:42">
      <c r="F437" s="1344" t="s">
        <v>2947</v>
      </c>
      <c r="S437" s="1236"/>
      <c r="T437" s="1236"/>
      <c r="U437" s="1236"/>
      <c r="V437" s="1282"/>
      <c r="W437" s="1283"/>
      <c r="X437" s="1283"/>
      <c r="Y437" s="1329"/>
      <c r="Z437" s="1330"/>
      <c r="AA437" s="1331"/>
      <c r="AB437" s="1332"/>
      <c r="AC437" s="1186"/>
      <c r="AD437" s="1333"/>
      <c r="AE437" s="1186"/>
      <c r="AF437" s="1186"/>
      <c r="AG437" s="1186"/>
      <c r="AH437" s="1186"/>
      <c r="AI437" s="1186"/>
      <c r="AJ437" s="1186"/>
      <c r="AK437" s="1186"/>
      <c r="AL437" s="1186"/>
      <c r="AM437" s="1186"/>
      <c r="AN437" s="1186"/>
      <c r="AO437" s="1186"/>
      <c r="AP437" s="1186"/>
    </row>
    <row r="438" spans="1:42">
      <c r="F438" s="1290"/>
      <c r="S438" s="1236"/>
      <c r="T438" s="1236"/>
      <c r="U438" s="1236"/>
      <c r="V438" s="1282"/>
      <c r="W438" s="1283"/>
      <c r="X438" s="1283"/>
      <c r="Y438" s="1329"/>
      <c r="Z438" s="1330"/>
      <c r="AA438" s="1331"/>
      <c r="AB438" s="1332"/>
      <c r="AC438" s="1186"/>
      <c r="AD438" s="1333"/>
      <c r="AE438" s="1186"/>
      <c r="AF438" s="1186"/>
      <c r="AG438" s="1186"/>
      <c r="AH438" s="1186"/>
      <c r="AI438" s="1186"/>
      <c r="AJ438" s="1186"/>
      <c r="AK438" s="1186"/>
      <c r="AL438" s="1186"/>
      <c r="AM438" s="1186"/>
      <c r="AN438" s="1186"/>
      <c r="AO438" s="1186"/>
      <c r="AP438" s="1186"/>
    </row>
    <row r="439" spans="1:42">
      <c r="B439" s="1345"/>
      <c r="C439" s="1345"/>
      <c r="D439" s="1345"/>
      <c r="F439" s="1345"/>
      <c r="R439" s="1298" t="s">
        <v>2929</v>
      </c>
      <c r="S439" s="1247"/>
      <c r="T439" s="1247"/>
      <c r="U439" s="1247"/>
      <c r="V439" s="1346"/>
      <c r="W439" s="1219"/>
      <c r="X439" s="1219"/>
      <c r="Y439" s="1347"/>
      <c r="Z439" s="1348"/>
      <c r="AA439" s="1331"/>
      <c r="AB439" s="1349"/>
      <c r="AC439" s="1185"/>
      <c r="AD439" s="1350"/>
      <c r="AE439" s="1185"/>
      <c r="AF439" s="1185"/>
      <c r="AG439" s="1186"/>
      <c r="AH439" s="1186"/>
      <c r="AI439" s="1186"/>
      <c r="AJ439" s="1186"/>
      <c r="AK439" s="1186"/>
      <c r="AL439" s="1186"/>
      <c r="AM439" s="1186"/>
      <c r="AN439" s="1186"/>
      <c r="AO439" s="1186"/>
      <c r="AP439" s="1186"/>
    </row>
    <row r="440" spans="1:42">
      <c r="E440" s="1290">
        <v>56010</v>
      </c>
      <c r="F440" s="1290" t="s">
        <v>33</v>
      </c>
      <c r="G440" s="1168"/>
      <c r="H440" s="1168"/>
      <c r="I440" s="1168"/>
      <c r="J440" s="1168"/>
      <c r="K440" s="1168"/>
      <c r="L440" s="1168"/>
      <c r="M440" s="1168"/>
      <c r="N440" s="1168"/>
      <c r="O440" s="1168"/>
      <c r="P440" s="1168"/>
      <c r="Q440" s="1168"/>
      <c r="R440" s="1360">
        <f>+'2010_IS'!AE168</f>
        <v>437297.9</v>
      </c>
      <c r="S440" s="1247"/>
      <c r="T440" s="1247"/>
      <c r="U440" s="1247"/>
      <c r="V440" s="1346"/>
      <c r="W440" s="1219"/>
      <c r="X440" s="1219"/>
      <c r="Y440" s="1347"/>
      <c r="Z440" s="1348"/>
      <c r="AA440" s="1331"/>
      <c r="AB440" s="1349"/>
      <c r="AC440" s="1185"/>
      <c r="AD440" s="1350"/>
      <c r="AE440" s="1185"/>
      <c r="AF440" s="1185"/>
      <c r="AG440" s="1186"/>
      <c r="AH440" s="1186"/>
      <c r="AI440" s="1186"/>
      <c r="AJ440" s="1186"/>
      <c r="AK440" s="1186"/>
      <c r="AL440" s="1186"/>
      <c r="AM440" s="1186"/>
      <c r="AN440" s="1186"/>
      <c r="AO440" s="1186"/>
      <c r="AP440" s="1186"/>
    </row>
    <row r="441" spans="1:42">
      <c r="E441" s="1290">
        <v>56020</v>
      </c>
      <c r="F441" s="1290" t="s">
        <v>42</v>
      </c>
      <c r="G441" s="1168"/>
      <c r="H441" s="1168"/>
      <c r="I441" s="1168"/>
      <c r="J441" s="1168"/>
      <c r="K441" s="1168"/>
      <c r="L441" s="1168"/>
      <c r="M441" s="1168"/>
      <c r="N441" s="1168"/>
      <c r="O441" s="1168"/>
      <c r="P441" s="1168"/>
      <c r="Q441" s="1168"/>
      <c r="R441" s="1360">
        <f>+'2010_IS'!AE169</f>
        <v>111222.65000000001</v>
      </c>
      <c r="S441" s="1247"/>
      <c r="T441" s="1247"/>
      <c r="U441" s="1247"/>
      <c r="V441" s="1346"/>
      <c r="W441" s="1219"/>
      <c r="X441" s="1219"/>
      <c r="Y441" s="1347"/>
      <c r="Z441" s="1348"/>
      <c r="AA441" s="1331"/>
      <c r="AB441" s="1349"/>
      <c r="AC441" s="1185"/>
      <c r="AD441" s="1350"/>
      <c r="AE441" s="1185"/>
      <c r="AF441" s="1185"/>
      <c r="AG441" s="1186"/>
      <c r="AH441" s="1186"/>
      <c r="AI441" s="1186"/>
      <c r="AJ441" s="1186"/>
      <c r="AK441" s="1186"/>
      <c r="AL441" s="1186"/>
      <c r="AM441" s="1186"/>
      <c r="AN441" s="1186"/>
      <c r="AO441" s="1186"/>
      <c r="AP441" s="1186"/>
    </row>
    <row r="442" spans="1:42">
      <c r="E442" s="1290">
        <v>56025</v>
      </c>
      <c r="F442" s="1300" t="s">
        <v>43</v>
      </c>
      <c r="G442" s="1168"/>
      <c r="H442" s="1168"/>
      <c r="I442" s="1168"/>
      <c r="J442" s="1168"/>
      <c r="K442" s="1168"/>
      <c r="L442" s="1168"/>
      <c r="M442" s="1168"/>
      <c r="N442" s="1168"/>
      <c r="O442" s="1168"/>
      <c r="P442" s="1168"/>
      <c r="Q442" s="1168"/>
      <c r="R442" s="1360">
        <f>+'2010_IS'!AE170</f>
        <v>9840.9599999999991</v>
      </c>
      <c r="S442" s="1236"/>
      <c r="T442" s="1236"/>
      <c r="U442" s="1236"/>
      <c r="V442" s="1282"/>
      <c r="W442" s="1283"/>
      <c r="X442" s="1283"/>
      <c r="Y442" s="1329"/>
      <c r="Z442" s="1330"/>
      <c r="AA442" s="1331"/>
      <c r="AB442" s="1332"/>
      <c r="AC442" s="1186"/>
      <c r="AD442" s="1333"/>
      <c r="AE442" s="1186"/>
      <c r="AF442" s="1186"/>
      <c r="AG442" s="1186"/>
      <c r="AH442" s="1186"/>
      <c r="AI442" s="1186"/>
      <c r="AJ442" s="1186"/>
      <c r="AK442" s="1186"/>
      <c r="AL442" s="1186"/>
      <c r="AM442" s="1186"/>
      <c r="AN442" s="1186"/>
      <c r="AO442" s="1186"/>
      <c r="AP442" s="1186"/>
    </row>
    <row r="443" spans="1:42">
      <c r="E443" s="1290">
        <v>56035</v>
      </c>
      <c r="F443" s="1300" t="s">
        <v>37</v>
      </c>
      <c r="G443" s="1168"/>
      <c r="H443" s="1168"/>
      <c r="I443" s="1168"/>
      <c r="J443" s="1168"/>
      <c r="K443" s="1168"/>
      <c r="L443" s="1168"/>
      <c r="M443" s="1168"/>
      <c r="N443" s="1168"/>
      <c r="O443" s="1168"/>
      <c r="P443" s="1168"/>
      <c r="Q443" s="1168"/>
      <c r="R443" s="1360">
        <f>+'2010_IS'!AE171</f>
        <v>0</v>
      </c>
      <c r="S443" s="1236"/>
      <c r="T443" s="1236"/>
      <c r="U443" s="1236"/>
      <c r="V443" s="1282"/>
      <c r="W443" s="1283"/>
      <c r="X443" s="1283"/>
      <c r="Y443" s="1329"/>
      <c r="Z443" s="1330"/>
      <c r="AA443" s="1331"/>
      <c r="AB443" s="1332"/>
      <c r="AC443" s="1186"/>
      <c r="AD443" s="1333"/>
      <c r="AE443" s="1186"/>
      <c r="AF443" s="1186"/>
      <c r="AG443" s="1186"/>
      <c r="AH443" s="1186"/>
      <c r="AI443" s="1186"/>
      <c r="AJ443" s="1186"/>
      <c r="AK443" s="1186"/>
      <c r="AL443" s="1186"/>
      <c r="AM443" s="1186"/>
      <c r="AN443" s="1186"/>
      <c r="AO443" s="1186"/>
      <c r="AP443" s="1186"/>
    </row>
    <row r="444" spans="1:42">
      <c r="E444" s="1290">
        <v>56036</v>
      </c>
      <c r="F444" s="1303" t="s">
        <v>38</v>
      </c>
      <c r="G444" s="1168"/>
      <c r="H444" s="1168"/>
      <c r="I444" s="1168"/>
      <c r="J444" s="1168"/>
      <c r="K444" s="1168"/>
      <c r="L444" s="1168"/>
      <c r="M444" s="1168"/>
      <c r="N444" s="1168"/>
      <c r="O444" s="1168"/>
      <c r="P444" s="1168"/>
      <c r="Q444" s="1168"/>
      <c r="R444" s="1360">
        <f>+'2010_IS'!AE172</f>
        <v>784.8</v>
      </c>
      <c r="S444" s="1236"/>
      <c r="T444" s="1236"/>
      <c r="U444" s="1236"/>
      <c r="V444" s="1282"/>
      <c r="W444" s="1283"/>
      <c r="X444" s="1283"/>
      <c r="Y444" s="1329"/>
      <c r="Z444" s="1330"/>
      <c r="AA444" s="1331"/>
      <c r="AB444" s="1332"/>
      <c r="AC444" s="1186"/>
      <c r="AD444" s="1333"/>
      <c r="AE444" s="1186"/>
      <c r="AF444" s="1186"/>
      <c r="AG444" s="1186"/>
      <c r="AH444" s="1186"/>
      <c r="AI444" s="1186"/>
      <c r="AJ444" s="1186"/>
      <c r="AK444" s="1186"/>
      <c r="AL444" s="1186"/>
      <c r="AM444" s="1186"/>
      <c r="AN444" s="1186"/>
      <c r="AO444" s="1186"/>
      <c r="AP444" s="1186"/>
    </row>
    <row r="445" spans="1:42">
      <c r="E445" s="1290">
        <v>56065</v>
      </c>
      <c r="F445" s="1303" t="s">
        <v>39</v>
      </c>
      <c r="G445" s="1168"/>
      <c r="H445" s="1168"/>
      <c r="I445" s="1168"/>
      <c r="J445" s="1168"/>
      <c r="K445" s="1168"/>
      <c r="L445" s="1168"/>
      <c r="M445" s="1168"/>
      <c r="N445" s="1168"/>
      <c r="O445" s="1168"/>
      <c r="P445" s="1168"/>
      <c r="Q445" s="1168"/>
      <c r="R445" s="1360">
        <f>+'2010_IS'!AE175</f>
        <v>26954.800000000003</v>
      </c>
      <c r="S445" s="1236"/>
      <c r="T445" s="1236"/>
      <c r="U445" s="1236"/>
      <c r="V445" s="1282"/>
      <c r="W445" s="1283"/>
      <c r="X445" s="1283"/>
      <c r="Y445" s="1329"/>
      <c r="Z445" s="1330"/>
      <c r="AA445" s="1331"/>
      <c r="AB445" s="1332"/>
      <c r="AC445" s="1186"/>
      <c r="AD445" s="1333"/>
      <c r="AE445" s="1186"/>
      <c r="AF445" s="1186"/>
      <c r="AG445" s="1186"/>
      <c r="AH445" s="1186"/>
      <c r="AI445" s="1186"/>
      <c r="AJ445" s="1186"/>
      <c r="AK445" s="1186"/>
      <c r="AL445" s="1186"/>
      <c r="AM445" s="1186"/>
      <c r="AN445" s="1186"/>
      <c r="AO445" s="1186"/>
      <c r="AP445" s="1186"/>
    </row>
    <row r="446" spans="1:42">
      <c r="E446" s="1290">
        <v>56070</v>
      </c>
      <c r="F446" s="1303" t="s">
        <v>40</v>
      </c>
      <c r="G446" s="1168"/>
      <c r="H446" s="1168"/>
      <c r="I446" s="1168"/>
      <c r="J446" s="1168"/>
      <c r="K446" s="1168"/>
      <c r="L446" s="1168"/>
      <c r="M446" s="1168"/>
      <c r="N446" s="1168"/>
      <c r="O446" s="1168"/>
      <c r="P446" s="1168"/>
      <c r="Q446" s="1168"/>
      <c r="R446" s="1361">
        <f>+'2010_IS'!AE176</f>
        <v>7573.4499999999989</v>
      </c>
      <c r="S446" s="1236"/>
      <c r="T446" s="1236"/>
      <c r="U446" s="1236"/>
      <c r="V446" s="1282"/>
      <c r="W446" s="1283"/>
      <c r="X446" s="1283"/>
      <c r="Y446" s="1329"/>
      <c r="Z446" s="1330"/>
      <c r="AA446" s="1331"/>
      <c r="AB446" s="1332"/>
      <c r="AC446" s="1186"/>
      <c r="AD446" s="1333"/>
      <c r="AE446" s="1186"/>
      <c r="AF446" s="1186"/>
      <c r="AG446" s="1186"/>
      <c r="AH446" s="1186"/>
      <c r="AI446" s="1186"/>
      <c r="AJ446" s="1186"/>
      <c r="AK446" s="1186"/>
      <c r="AL446" s="1186"/>
      <c r="AM446" s="1186"/>
      <c r="AN446" s="1186"/>
      <c r="AO446" s="1186"/>
      <c r="AP446" s="1186"/>
    </row>
    <row r="447" spans="1:42">
      <c r="F447" s="1155"/>
      <c r="R447" s="1236">
        <f>SUM(R440:R446)</f>
        <v>593674.56000000006</v>
      </c>
      <c r="S447" s="1280"/>
      <c r="T447" s="1351"/>
      <c r="U447" s="1236"/>
      <c r="V447" s="1282"/>
      <c r="W447" s="1283"/>
      <c r="X447" s="1283"/>
      <c r="Y447" s="1329"/>
      <c r="Z447" s="1330"/>
      <c r="AA447" s="1331"/>
      <c r="AB447" s="1332"/>
      <c r="AC447" s="1186"/>
      <c r="AD447" s="1333"/>
      <c r="AE447" s="1186"/>
      <c r="AF447" s="1186"/>
      <c r="AG447" s="1186"/>
      <c r="AH447" s="1186"/>
      <c r="AI447" s="1186"/>
      <c r="AJ447" s="1186"/>
      <c r="AK447" s="1186"/>
      <c r="AL447" s="1186"/>
      <c r="AM447" s="1186"/>
      <c r="AN447" s="1186"/>
      <c r="AO447" s="1186"/>
      <c r="AP447" s="1186"/>
    </row>
    <row r="448" spans="1:42" s="1343" customFormat="1">
      <c r="A448" s="1186"/>
      <c r="B448" s="1155"/>
      <c r="C448" s="1155"/>
      <c r="D448" s="1155"/>
      <c r="E448" s="1186"/>
      <c r="F448" s="1155"/>
      <c r="G448" s="1157"/>
      <c r="H448" s="1157"/>
      <c r="I448" s="1157"/>
      <c r="J448" s="1157"/>
      <c r="K448" s="1157"/>
      <c r="L448" s="1157"/>
      <c r="M448" s="1157"/>
      <c r="N448" s="1157"/>
      <c r="O448" s="1157"/>
      <c r="P448" s="1157"/>
      <c r="Q448" s="1157"/>
      <c r="R448" s="1308"/>
      <c r="S448" s="1236"/>
      <c r="T448" s="1236"/>
      <c r="U448" s="1236"/>
      <c r="V448" s="1282"/>
      <c r="W448" s="1283"/>
      <c r="X448" s="1283"/>
      <c r="Y448" s="1329"/>
      <c r="Z448" s="1330"/>
      <c r="AA448" s="1331"/>
      <c r="AB448" s="1332"/>
      <c r="AC448" s="1186"/>
      <c r="AD448" s="1333"/>
      <c r="AE448" s="1186"/>
      <c r="AF448" s="1186"/>
      <c r="AG448" s="1186"/>
      <c r="AH448" s="1186"/>
      <c r="AI448" s="1186"/>
      <c r="AJ448" s="1186"/>
      <c r="AK448" s="1186"/>
      <c r="AL448" s="1186"/>
      <c r="AM448" s="1186"/>
      <c r="AN448" s="1186"/>
      <c r="AO448" s="1186"/>
      <c r="AP448" s="1186"/>
    </row>
    <row r="449" spans="1:42">
      <c r="F449" s="1290" t="s">
        <v>428</v>
      </c>
      <c r="Q449" s="1311" t="s">
        <v>2931</v>
      </c>
      <c r="R449" s="1308">
        <f>R434+R436-R447</f>
        <v>22237.949699999881</v>
      </c>
      <c r="S449" s="1296">
        <f>R449/R447</f>
        <v>3.7458148282452725E-2</v>
      </c>
      <c r="T449" s="1236"/>
      <c r="U449" s="1236"/>
      <c r="V449" s="1282"/>
      <c r="W449" s="1283"/>
      <c r="X449" s="1283"/>
      <c r="Y449" s="1329"/>
      <c r="Z449" s="1330"/>
      <c r="AA449" s="1331"/>
      <c r="AB449" s="1332"/>
      <c r="AC449" s="1186"/>
      <c r="AD449" s="1333"/>
      <c r="AE449" s="1186"/>
      <c r="AF449" s="1186"/>
      <c r="AG449" s="1186"/>
      <c r="AH449" s="1186"/>
      <c r="AI449" s="1186"/>
      <c r="AJ449" s="1186"/>
      <c r="AK449" s="1186"/>
      <c r="AL449" s="1186"/>
      <c r="AM449" s="1186"/>
      <c r="AN449" s="1186"/>
      <c r="AO449" s="1186"/>
      <c r="AP449" s="1186"/>
    </row>
    <row r="450" spans="1:42">
      <c r="E450" s="1290"/>
      <c r="R450" s="1352"/>
      <c r="S450" s="1236"/>
      <c r="T450" s="1236"/>
      <c r="U450" s="1236"/>
      <c r="V450" s="1282"/>
      <c r="W450" s="1283"/>
      <c r="X450" s="1283"/>
      <c r="Y450" s="1329"/>
      <c r="Z450" s="1330"/>
      <c r="AA450" s="1331"/>
      <c r="AB450" s="1332"/>
      <c r="AC450" s="1186"/>
      <c r="AD450" s="1333"/>
      <c r="AE450" s="1186"/>
      <c r="AF450" s="1186"/>
      <c r="AG450" s="1186"/>
      <c r="AH450" s="1186"/>
      <c r="AI450" s="1186"/>
      <c r="AJ450" s="1186"/>
      <c r="AK450" s="1186"/>
      <c r="AL450" s="1186"/>
      <c r="AM450" s="1186"/>
      <c r="AN450" s="1186"/>
      <c r="AO450" s="1186"/>
      <c r="AP450" s="1186"/>
    </row>
    <row r="451" spans="1:42">
      <c r="A451" s="1324"/>
      <c r="B451" s="1324"/>
      <c r="C451" s="1324"/>
      <c r="D451" s="1324"/>
      <c r="E451" s="1325" t="s">
        <v>2948</v>
      </c>
      <c r="F451" s="1326"/>
      <c r="G451" s="1326"/>
      <c r="H451" s="1326"/>
      <c r="I451" s="1326"/>
      <c r="J451" s="1326"/>
      <c r="K451" s="1326"/>
      <c r="L451" s="1326"/>
      <c r="M451" s="1326"/>
      <c r="N451" s="1326"/>
      <c r="O451" s="1326"/>
      <c r="P451" s="1326"/>
      <c r="Q451" s="1326"/>
      <c r="R451" s="1327">
        <f>+R338</f>
        <v>2597726.0515000005</v>
      </c>
      <c r="S451" s="1280"/>
      <c r="T451" s="1280"/>
      <c r="U451" s="1312"/>
      <c r="V451" s="1328"/>
      <c r="W451" s="1283"/>
      <c r="X451" s="1283"/>
      <c r="Y451" s="1329"/>
      <c r="Z451" s="1330"/>
      <c r="AA451" s="1331"/>
      <c r="AB451" s="1332"/>
      <c r="AC451" s="1186"/>
      <c r="AD451" s="1333"/>
      <c r="AE451" s="1186"/>
      <c r="AF451" s="1186"/>
      <c r="AG451" s="1186"/>
      <c r="AH451" s="1186"/>
      <c r="AI451" s="1186"/>
      <c r="AJ451" s="1186"/>
      <c r="AK451" s="1186"/>
      <c r="AL451" s="1186"/>
      <c r="AM451" s="1186"/>
      <c r="AN451" s="1186"/>
      <c r="AO451" s="1186"/>
      <c r="AP451" s="1186"/>
    </row>
    <row r="452" spans="1:42">
      <c r="B452" s="1186"/>
      <c r="C452" s="1186"/>
      <c r="D452" s="1186"/>
      <c r="E452" s="1235"/>
      <c r="F452" s="1158"/>
      <c r="G452" s="1158"/>
      <c r="H452" s="1158"/>
      <c r="I452" s="1158"/>
      <c r="J452" s="1158"/>
      <c r="K452" s="1158"/>
      <c r="L452" s="1158"/>
      <c r="M452" s="1158"/>
      <c r="N452" s="1158"/>
      <c r="O452" s="1158"/>
      <c r="P452" s="1158"/>
      <c r="Q452" s="1158"/>
      <c r="S452" s="1280"/>
      <c r="T452" s="1280"/>
      <c r="U452" s="1280"/>
      <c r="V452" s="1328"/>
      <c r="W452" s="1283"/>
      <c r="X452" s="1283"/>
      <c r="Y452" s="1329"/>
      <c r="Z452" s="1330"/>
      <c r="AA452" s="1331"/>
      <c r="AB452" s="1332"/>
      <c r="AC452" s="1186"/>
      <c r="AD452" s="1333"/>
      <c r="AE452" s="1186"/>
      <c r="AF452" s="1186"/>
      <c r="AG452" s="1186"/>
      <c r="AH452" s="1186"/>
      <c r="AI452" s="1186"/>
      <c r="AJ452" s="1186"/>
      <c r="AK452" s="1186"/>
      <c r="AL452" s="1186"/>
      <c r="AM452" s="1186"/>
      <c r="AN452" s="1186"/>
      <c r="AO452" s="1186"/>
      <c r="AP452" s="1186"/>
    </row>
    <row r="453" spans="1:42">
      <c r="F453" s="1290" t="s">
        <v>2949</v>
      </c>
      <c r="R453" s="1291">
        <v>534245.77999999991</v>
      </c>
      <c r="S453" s="1236"/>
      <c r="T453" s="1236"/>
      <c r="U453" s="1236"/>
      <c r="V453" s="1282"/>
      <c r="W453" s="1283"/>
      <c r="X453" s="1283"/>
      <c r="Y453" s="1329"/>
      <c r="Z453" s="1330"/>
      <c r="AA453" s="1331"/>
      <c r="AB453" s="1332"/>
      <c r="AC453" s="1186"/>
      <c r="AD453" s="1333"/>
      <c r="AE453" s="1186"/>
      <c r="AF453" s="1186"/>
      <c r="AG453" s="1186"/>
      <c r="AH453" s="1186"/>
      <c r="AI453" s="1186"/>
      <c r="AJ453" s="1186"/>
      <c r="AK453" s="1186"/>
      <c r="AL453" s="1186"/>
      <c r="AM453" s="1186"/>
      <c r="AN453" s="1186"/>
      <c r="AO453" s="1186"/>
      <c r="AP453" s="1186"/>
    </row>
    <row r="454" spans="1:42">
      <c r="F454" s="1344" t="s">
        <v>2950</v>
      </c>
      <c r="S454" s="1236"/>
      <c r="T454" s="1236"/>
      <c r="U454" s="1236"/>
      <c r="V454" s="1282"/>
      <c r="W454" s="1283"/>
      <c r="X454" s="1283"/>
      <c r="Y454" s="1329"/>
      <c r="Z454" s="1330"/>
      <c r="AA454" s="1331"/>
      <c r="AB454" s="1332"/>
      <c r="AC454" s="1186"/>
      <c r="AD454" s="1333"/>
      <c r="AE454" s="1186"/>
      <c r="AF454" s="1186"/>
      <c r="AG454" s="1186"/>
      <c r="AH454" s="1186"/>
      <c r="AI454" s="1186"/>
      <c r="AJ454" s="1186"/>
      <c r="AK454" s="1186"/>
      <c r="AL454" s="1186"/>
      <c r="AM454" s="1186"/>
      <c r="AN454" s="1186"/>
      <c r="AO454" s="1186"/>
      <c r="AP454" s="1186"/>
    </row>
    <row r="455" spans="1:42">
      <c r="E455" s="1290"/>
      <c r="F455" s="1290"/>
      <c r="R455" s="1294"/>
      <c r="S455" s="1236"/>
      <c r="T455" s="1236"/>
      <c r="U455" s="1236"/>
      <c r="V455" s="1282"/>
      <c r="W455" s="1283"/>
      <c r="X455" s="1283"/>
      <c r="Y455" s="1329"/>
      <c r="Z455" s="1330"/>
      <c r="AA455" s="1331"/>
      <c r="AB455" s="1332"/>
      <c r="AC455" s="1186"/>
      <c r="AD455" s="1333"/>
      <c r="AE455" s="1186"/>
      <c r="AF455" s="1186"/>
      <c r="AG455" s="1186"/>
      <c r="AH455" s="1186"/>
      <c r="AI455" s="1186"/>
      <c r="AJ455" s="1186"/>
      <c r="AK455" s="1186"/>
      <c r="AL455" s="1186"/>
      <c r="AM455" s="1186"/>
      <c r="AN455" s="1186"/>
      <c r="AO455" s="1186"/>
      <c r="AP455" s="1186"/>
    </row>
    <row r="456" spans="1:42" s="1345" customFormat="1">
      <c r="F456" s="1157"/>
      <c r="G456" s="1157"/>
      <c r="H456" s="1157"/>
      <c r="I456" s="1157"/>
      <c r="J456" s="1157"/>
      <c r="K456" s="1157"/>
      <c r="L456" s="1157"/>
      <c r="M456" s="1157"/>
      <c r="N456" s="1157"/>
      <c r="O456" s="1157"/>
      <c r="P456" s="1157"/>
      <c r="Q456" s="1157"/>
      <c r="R456" s="1298" t="s">
        <v>2929</v>
      </c>
      <c r="T456" s="1247"/>
      <c r="U456" s="1247"/>
      <c r="V456" s="1346"/>
      <c r="W456" s="1219"/>
      <c r="X456" s="1219"/>
      <c r="Y456" s="1347"/>
      <c r="Z456" s="1348"/>
      <c r="AA456" s="1331"/>
      <c r="AB456" s="1349"/>
      <c r="AC456" s="1185"/>
      <c r="AD456" s="1350"/>
      <c r="AE456" s="1185"/>
      <c r="AF456" s="1185"/>
      <c r="AG456" s="1185"/>
      <c r="AH456" s="1185"/>
      <c r="AI456" s="1185"/>
      <c r="AJ456" s="1185"/>
      <c r="AK456" s="1185"/>
      <c r="AL456" s="1185"/>
      <c r="AM456" s="1185"/>
      <c r="AN456" s="1185"/>
      <c r="AO456" s="1185"/>
      <c r="AP456" s="1185"/>
    </row>
    <row r="457" spans="1:42">
      <c r="E457" s="1300">
        <v>70010</v>
      </c>
      <c r="F457" s="1290" t="s">
        <v>33</v>
      </c>
      <c r="G457" s="1168"/>
      <c r="H457" s="1168"/>
      <c r="I457" s="1168"/>
      <c r="J457" s="1168"/>
      <c r="K457" s="1168"/>
      <c r="L457" s="1168"/>
      <c r="M457" s="1168"/>
      <c r="N457" s="1168"/>
      <c r="O457" s="1168"/>
      <c r="P457" s="1168"/>
      <c r="Q457" s="1168"/>
      <c r="R457" s="1360">
        <f>+'2010_IS'!AE247</f>
        <v>1580855.14</v>
      </c>
      <c r="T457" s="1236"/>
      <c r="U457" s="1236"/>
      <c r="V457" s="1282"/>
      <c r="W457" s="1283"/>
      <c r="X457" s="1283"/>
      <c r="Y457" s="1329"/>
      <c r="Z457" s="1330"/>
      <c r="AA457" s="1331"/>
      <c r="AB457" s="1332"/>
      <c r="AC457" s="1186"/>
      <c r="AD457" s="1333"/>
      <c r="AE457" s="1186"/>
      <c r="AF457" s="1186"/>
      <c r="AG457" s="1186"/>
      <c r="AH457" s="1186"/>
      <c r="AI457" s="1186"/>
      <c r="AJ457" s="1186"/>
      <c r="AK457" s="1186"/>
      <c r="AL457" s="1186"/>
      <c r="AM457" s="1186"/>
      <c r="AN457" s="1186"/>
      <c r="AO457" s="1186"/>
      <c r="AP457" s="1186"/>
    </row>
    <row r="458" spans="1:42">
      <c r="E458" s="1300">
        <v>70020</v>
      </c>
      <c r="F458" s="1300" t="s">
        <v>42</v>
      </c>
      <c r="G458" s="1168"/>
      <c r="H458" s="1168"/>
      <c r="I458" s="1168"/>
      <c r="J458" s="1168"/>
      <c r="K458" s="1168"/>
      <c r="L458" s="1168"/>
      <c r="M458" s="1168"/>
      <c r="N458" s="1168"/>
      <c r="O458" s="1168"/>
      <c r="P458" s="1168"/>
      <c r="Q458" s="1168"/>
      <c r="R458" s="1360">
        <f>+'2010_IS'!AE248</f>
        <v>1313239.4000000001</v>
      </c>
      <c r="T458" s="1236"/>
      <c r="U458" s="1236"/>
      <c r="V458" s="1282"/>
      <c r="W458" s="1283"/>
      <c r="X458" s="1283"/>
      <c r="Y458" s="1329"/>
      <c r="Z458" s="1330"/>
      <c r="AA458" s="1331"/>
      <c r="AB458" s="1332"/>
      <c r="AC458" s="1186"/>
      <c r="AD458" s="1333"/>
      <c r="AE458" s="1186"/>
      <c r="AF458" s="1186"/>
      <c r="AG458" s="1186"/>
      <c r="AH458" s="1186"/>
      <c r="AI458" s="1186"/>
      <c r="AJ458" s="1186"/>
      <c r="AK458" s="1186"/>
      <c r="AL458" s="1186"/>
      <c r="AM458" s="1186"/>
      <c r="AN458" s="1186"/>
      <c r="AO458" s="1186"/>
      <c r="AP458" s="1186"/>
    </row>
    <row r="459" spans="1:42">
      <c r="E459" s="1300">
        <v>70025</v>
      </c>
      <c r="F459" s="1300" t="s">
        <v>43</v>
      </c>
      <c r="G459" s="1168"/>
      <c r="H459" s="1168"/>
      <c r="I459" s="1168"/>
      <c r="J459" s="1168"/>
      <c r="K459" s="1168"/>
      <c r="L459" s="1168"/>
      <c r="M459" s="1168"/>
      <c r="N459" s="1168"/>
      <c r="O459" s="1168"/>
      <c r="P459" s="1168"/>
      <c r="Q459" s="1168"/>
      <c r="R459" s="1360">
        <f>+'2010_IS'!AE249</f>
        <v>97757.919999999984</v>
      </c>
      <c r="T459" s="1236"/>
      <c r="U459" s="1236"/>
      <c r="V459" s="1282"/>
      <c r="W459" s="1283"/>
      <c r="X459" s="1283"/>
      <c r="Y459" s="1329"/>
      <c r="Z459" s="1330"/>
      <c r="AA459" s="1331"/>
      <c r="AB459" s="1332"/>
      <c r="AC459" s="1186"/>
      <c r="AD459" s="1333"/>
      <c r="AE459" s="1186"/>
      <c r="AF459" s="1186"/>
      <c r="AG459" s="1186"/>
      <c r="AH459" s="1186"/>
      <c r="AI459" s="1186"/>
      <c r="AJ459" s="1186"/>
      <c r="AK459" s="1186"/>
      <c r="AL459" s="1186"/>
      <c r="AM459" s="1186"/>
      <c r="AN459" s="1186"/>
      <c r="AO459" s="1186"/>
      <c r="AP459" s="1186"/>
    </row>
    <row r="460" spans="1:42">
      <c r="E460" s="1300">
        <v>70036</v>
      </c>
      <c r="F460" s="1303" t="s">
        <v>2951</v>
      </c>
      <c r="G460" s="1168"/>
      <c r="H460" s="1168"/>
      <c r="I460" s="1168"/>
      <c r="J460" s="1168"/>
      <c r="K460" s="1168"/>
      <c r="L460" s="1168"/>
      <c r="M460" s="1168"/>
      <c r="N460" s="1168"/>
      <c r="O460" s="1168"/>
      <c r="P460" s="1168"/>
      <c r="Q460" s="1168"/>
      <c r="R460" s="1360">
        <f>+'2010_IS'!AE250</f>
        <v>37224.39</v>
      </c>
      <c r="T460" s="1236"/>
      <c r="U460" s="1236"/>
      <c r="V460" s="1282"/>
      <c r="W460" s="1283"/>
      <c r="X460" s="1283"/>
      <c r="Y460" s="1329"/>
      <c r="Z460" s="1330"/>
      <c r="AA460" s="1331"/>
      <c r="AB460" s="1332"/>
      <c r="AC460" s="1186"/>
      <c r="AD460" s="1333"/>
      <c r="AE460" s="1186"/>
      <c r="AF460" s="1186"/>
      <c r="AG460" s="1186"/>
      <c r="AH460" s="1186"/>
      <c r="AI460" s="1186"/>
      <c r="AJ460" s="1186"/>
      <c r="AK460" s="1186"/>
      <c r="AL460" s="1186"/>
      <c r="AM460" s="1186"/>
      <c r="AN460" s="1186"/>
      <c r="AO460" s="1186"/>
      <c r="AP460" s="1186"/>
    </row>
    <row r="461" spans="1:42">
      <c r="E461" s="1300">
        <v>70065</v>
      </c>
      <c r="F461" s="1300" t="s">
        <v>39</v>
      </c>
      <c r="G461" s="1168"/>
      <c r="H461" s="1168"/>
      <c r="I461" s="1168"/>
      <c r="J461" s="1168"/>
      <c r="K461" s="1168"/>
      <c r="L461" s="1168"/>
      <c r="M461" s="1168"/>
      <c r="N461" s="1168"/>
      <c r="O461" s="1168"/>
      <c r="P461" s="1168"/>
      <c r="Q461" s="1168"/>
      <c r="R461" s="1362">
        <f>+'2010_IS'!AE253</f>
        <v>135400.85</v>
      </c>
      <c r="T461" s="1353"/>
      <c r="U461" s="1236"/>
      <c r="V461" s="1282"/>
      <c r="W461" s="1283"/>
      <c r="X461" s="1283"/>
      <c r="Y461" s="1329"/>
      <c r="Z461" s="1330"/>
      <c r="AA461" s="1331"/>
      <c r="AB461" s="1332"/>
      <c r="AC461" s="1186"/>
      <c r="AD461" s="1333"/>
      <c r="AE461" s="1186"/>
      <c r="AF461" s="1186"/>
      <c r="AG461" s="1186"/>
      <c r="AH461" s="1186"/>
      <c r="AI461" s="1186"/>
      <c r="AJ461" s="1186"/>
      <c r="AK461" s="1186"/>
      <c r="AL461" s="1186"/>
      <c r="AM461" s="1186"/>
      <c r="AN461" s="1186"/>
      <c r="AO461" s="1186"/>
      <c r="AP461" s="1186"/>
    </row>
    <row r="462" spans="1:42">
      <c r="E462" s="1300">
        <v>70070</v>
      </c>
      <c r="F462" s="1300" t="s">
        <v>40</v>
      </c>
      <c r="G462" s="1168"/>
      <c r="H462" s="1168"/>
      <c r="I462" s="1168"/>
      <c r="J462" s="1168"/>
      <c r="K462" s="1168"/>
      <c r="L462" s="1168"/>
      <c r="M462" s="1168"/>
      <c r="N462" s="1168"/>
      <c r="O462" s="1168"/>
      <c r="P462" s="1168"/>
      <c r="Q462" s="1168"/>
      <c r="R462" s="1363">
        <f>+'2010_IS'!AE254</f>
        <v>32538.19</v>
      </c>
      <c r="T462" s="1236"/>
      <c r="U462" s="1236"/>
      <c r="V462" s="1282"/>
      <c r="W462" s="1283"/>
      <c r="X462" s="1283"/>
      <c r="Y462" s="1329"/>
      <c r="Z462" s="1330"/>
      <c r="AA462" s="1331"/>
      <c r="AB462" s="1332"/>
      <c r="AC462" s="1186"/>
      <c r="AD462" s="1333"/>
      <c r="AE462" s="1186"/>
      <c r="AF462" s="1186"/>
      <c r="AG462" s="1186"/>
      <c r="AH462" s="1186"/>
      <c r="AI462" s="1186"/>
      <c r="AJ462" s="1186"/>
      <c r="AK462" s="1186"/>
      <c r="AL462" s="1186"/>
      <c r="AM462" s="1186"/>
      <c r="AN462" s="1186"/>
      <c r="AO462" s="1186"/>
      <c r="AP462" s="1186"/>
    </row>
    <row r="463" spans="1:42">
      <c r="F463" s="1155"/>
      <c r="G463" s="1168"/>
      <c r="H463" s="1168"/>
      <c r="I463" s="1168"/>
      <c r="J463" s="1168"/>
      <c r="K463" s="1168"/>
      <c r="L463" s="1168"/>
      <c r="M463" s="1168"/>
      <c r="N463" s="1168"/>
      <c r="O463" s="1168"/>
      <c r="P463" s="1168"/>
      <c r="Q463" s="1168"/>
      <c r="R463" s="1236">
        <f>SUM(R457:R462)</f>
        <v>3197015.89</v>
      </c>
      <c r="T463" s="1236"/>
      <c r="U463" s="1236"/>
      <c r="V463" s="1282"/>
      <c r="W463" s="1283"/>
      <c r="X463" s="1283"/>
      <c r="Y463" s="1329"/>
      <c r="Z463" s="1330"/>
      <c r="AA463" s="1331"/>
      <c r="AB463" s="1332"/>
      <c r="AC463" s="1186"/>
      <c r="AD463" s="1333"/>
      <c r="AE463" s="1186"/>
      <c r="AF463" s="1186"/>
      <c r="AG463" s="1186"/>
      <c r="AH463" s="1186"/>
      <c r="AI463" s="1186"/>
      <c r="AJ463" s="1186"/>
      <c r="AK463" s="1186"/>
      <c r="AL463" s="1186"/>
      <c r="AM463" s="1186"/>
      <c r="AN463" s="1186"/>
      <c r="AO463" s="1186"/>
      <c r="AP463" s="1186"/>
    </row>
    <row r="464" spans="1:42">
      <c r="E464" s="1290"/>
      <c r="F464" s="1290"/>
      <c r="G464" s="1168"/>
      <c r="H464" s="1168"/>
      <c r="I464" s="1168"/>
      <c r="J464" s="1168"/>
      <c r="K464" s="1168"/>
      <c r="L464" s="1168"/>
      <c r="M464" s="1168"/>
      <c r="N464" s="1168"/>
      <c r="O464" s="1168"/>
      <c r="P464" s="1168"/>
      <c r="Q464" s="1168"/>
      <c r="R464" s="1169"/>
      <c r="S464" s="1236"/>
      <c r="T464" s="1236"/>
      <c r="U464" s="1236"/>
      <c r="V464" s="1282"/>
      <c r="W464" s="1283"/>
      <c r="X464" s="1283"/>
      <c r="Y464" s="1329"/>
      <c r="Z464" s="1330"/>
      <c r="AA464" s="1331"/>
      <c r="AB464" s="1332"/>
      <c r="AC464" s="1186"/>
      <c r="AD464" s="1333"/>
      <c r="AE464" s="1186"/>
      <c r="AF464" s="1186"/>
      <c r="AG464" s="1186"/>
      <c r="AH464" s="1186"/>
      <c r="AI464" s="1186"/>
      <c r="AJ464" s="1186"/>
      <c r="AK464" s="1186"/>
      <c r="AL464" s="1186"/>
      <c r="AM464" s="1186"/>
      <c r="AN464" s="1186"/>
      <c r="AO464" s="1186"/>
      <c r="AP464" s="1186"/>
    </row>
    <row r="465" spans="1:42">
      <c r="F465" s="1290"/>
      <c r="G465" s="1168"/>
      <c r="H465" s="1168"/>
      <c r="I465" s="1168"/>
      <c r="J465" s="1168"/>
      <c r="K465" s="1168"/>
      <c r="L465" s="1168"/>
      <c r="M465" s="1168"/>
      <c r="N465" s="1168"/>
      <c r="O465" s="1168"/>
      <c r="P465" s="1168"/>
      <c r="Q465" s="1168"/>
      <c r="R465" s="1169"/>
      <c r="S465" s="1236"/>
      <c r="T465" s="1236"/>
      <c r="U465" s="1236"/>
      <c r="V465" s="1282"/>
      <c r="W465" s="1283"/>
      <c r="X465" s="1283"/>
      <c r="Y465" s="1329"/>
      <c r="Z465" s="1330"/>
      <c r="AA465" s="1331"/>
      <c r="AB465" s="1332"/>
      <c r="AC465" s="1186"/>
      <c r="AD465" s="1333"/>
      <c r="AE465" s="1186"/>
      <c r="AF465" s="1186"/>
      <c r="AG465" s="1186"/>
      <c r="AH465" s="1186"/>
      <c r="AI465" s="1186"/>
      <c r="AJ465" s="1186"/>
      <c r="AK465" s="1186"/>
      <c r="AL465" s="1186"/>
      <c r="AM465" s="1186"/>
      <c r="AN465" s="1186"/>
      <c r="AO465" s="1186"/>
      <c r="AP465" s="1186"/>
    </row>
    <row r="466" spans="1:42">
      <c r="F466" s="1290" t="s">
        <v>428</v>
      </c>
      <c r="Q466" s="1311" t="s">
        <v>2931</v>
      </c>
      <c r="R466" s="1294">
        <f>R451+R453-R463</f>
        <v>-65044.05849999981</v>
      </c>
      <c r="S466" s="1296">
        <f>R466/R463</f>
        <v>-2.034524091777342E-2</v>
      </c>
      <c r="T466" s="1280"/>
      <c r="U466" s="1236"/>
      <c r="V466" s="1282"/>
      <c r="W466" s="1283"/>
      <c r="X466" s="1283"/>
      <c r="Y466" s="1329"/>
      <c r="Z466" s="1330"/>
      <c r="AA466" s="1331"/>
      <c r="AB466" s="1332"/>
      <c r="AC466" s="1186"/>
      <c r="AD466" s="1333"/>
      <c r="AE466" s="1186"/>
      <c r="AF466" s="1186"/>
      <c r="AG466" s="1186"/>
      <c r="AH466" s="1186"/>
      <c r="AI466" s="1186"/>
      <c r="AJ466" s="1186"/>
      <c r="AK466" s="1186"/>
      <c r="AL466" s="1186"/>
      <c r="AM466" s="1186"/>
      <c r="AN466" s="1186"/>
      <c r="AO466" s="1186"/>
      <c r="AP466" s="1186"/>
    </row>
    <row r="467" spans="1:42">
      <c r="R467" s="1352"/>
      <c r="S467" s="1236"/>
      <c r="T467" s="1236"/>
      <c r="U467" s="1236"/>
      <c r="V467" s="1282"/>
      <c r="W467" s="1283"/>
      <c r="X467" s="1283"/>
      <c r="Y467" s="1329"/>
      <c r="Z467" s="1330"/>
      <c r="AA467" s="1331"/>
      <c r="AB467" s="1332"/>
      <c r="AC467" s="1186"/>
      <c r="AD467" s="1333"/>
      <c r="AE467" s="1186"/>
      <c r="AF467" s="1186"/>
      <c r="AG467" s="1186"/>
      <c r="AH467" s="1186"/>
      <c r="AI467" s="1186"/>
      <c r="AJ467" s="1186"/>
      <c r="AK467" s="1186"/>
      <c r="AL467" s="1186"/>
      <c r="AM467" s="1186"/>
      <c r="AN467" s="1186"/>
      <c r="AO467" s="1186"/>
      <c r="AP467" s="1186"/>
    </row>
    <row r="468" spans="1:42">
      <c r="F468" s="1155"/>
      <c r="G468" s="1155"/>
      <c r="H468" s="1155"/>
      <c r="I468" s="1155"/>
      <c r="J468" s="1155"/>
      <c r="K468" s="1155"/>
      <c r="L468" s="1155"/>
      <c r="M468" s="1155"/>
      <c r="N468" s="1155"/>
      <c r="O468" s="1155"/>
      <c r="P468" s="1155"/>
      <c r="Q468" s="1155"/>
      <c r="R468" s="1186"/>
      <c r="S468" s="1236"/>
      <c r="Y468" s="1329"/>
      <c r="Z468" s="1330"/>
      <c r="AA468" s="1331"/>
      <c r="AB468" s="1332"/>
      <c r="AC468" s="1186"/>
      <c r="AD468" s="1333"/>
      <c r="AE468" s="1186"/>
      <c r="AF468" s="1186"/>
      <c r="AG468" s="1186"/>
      <c r="AH468" s="1186"/>
      <c r="AI468" s="1186"/>
      <c r="AJ468" s="1186"/>
      <c r="AK468" s="1186"/>
      <c r="AL468" s="1186"/>
      <c r="AM468" s="1186"/>
      <c r="AN468" s="1186"/>
      <c r="AO468" s="1186"/>
      <c r="AP468" s="1186"/>
    </row>
    <row r="469" spans="1:42">
      <c r="A469" s="1315"/>
      <c r="B469" s="1315"/>
      <c r="C469" s="1315"/>
      <c r="D469" s="1315"/>
      <c r="E469" s="1316" t="s">
        <v>2952</v>
      </c>
      <c r="F469" s="1317"/>
      <c r="G469" s="1317"/>
      <c r="H469" s="1317"/>
      <c r="I469" s="1317"/>
      <c r="J469" s="1317"/>
      <c r="K469" s="1317"/>
      <c r="L469" s="1317"/>
      <c r="M469" s="1317"/>
      <c r="N469" s="1317"/>
      <c r="O469" s="1317"/>
      <c r="P469" s="1317"/>
      <c r="Q469" s="1317"/>
      <c r="R469" s="1318">
        <f>+R271</f>
        <v>342196.14980000001</v>
      </c>
      <c r="S469" s="1319"/>
      <c r="T469" s="1320"/>
      <c r="U469" s="1312"/>
      <c r="V469" s="1312"/>
      <c r="W469" s="1312"/>
      <c r="X469" s="1354"/>
      <c r="Y469" s="1236"/>
      <c r="Z469" s="1299"/>
      <c r="AA469" s="1286"/>
      <c r="AB469" s="1282"/>
      <c r="AC469" s="1236"/>
      <c r="AD469" s="1282"/>
      <c r="AE469" s="1282"/>
      <c r="AF469" s="1288"/>
      <c r="AG469" s="1288"/>
    </row>
    <row r="470" spans="1:42">
      <c r="F470" s="1155"/>
      <c r="G470" s="1155"/>
      <c r="H470" s="1155"/>
      <c r="I470" s="1155"/>
      <c r="J470" s="1155"/>
      <c r="K470" s="1155"/>
      <c r="L470" s="1155"/>
      <c r="M470" s="1155"/>
      <c r="N470" s="1155"/>
      <c r="O470" s="1155"/>
      <c r="P470" s="1155"/>
      <c r="Q470" s="1155"/>
      <c r="S470" s="1280"/>
      <c r="Y470" s="1329"/>
      <c r="Z470" s="1330"/>
      <c r="AA470" s="1331"/>
      <c r="AB470" s="1332"/>
      <c r="AC470" s="1186"/>
      <c r="AD470" s="1333"/>
      <c r="AE470" s="1186"/>
      <c r="AF470" s="1186"/>
      <c r="AG470" s="1186"/>
      <c r="AH470" s="1186"/>
      <c r="AI470" s="1186"/>
      <c r="AJ470" s="1186"/>
      <c r="AK470" s="1186"/>
      <c r="AL470" s="1186"/>
      <c r="AM470" s="1186"/>
      <c r="AN470" s="1186"/>
      <c r="AO470" s="1186"/>
      <c r="AP470" s="1186"/>
    </row>
    <row r="471" spans="1:42">
      <c r="F471" s="1290" t="s">
        <v>2928</v>
      </c>
      <c r="G471" s="1155"/>
      <c r="H471" s="1155"/>
      <c r="I471" s="1155"/>
      <c r="J471" s="1155"/>
      <c r="K471" s="1155"/>
      <c r="L471" s="1155"/>
      <c r="M471" s="1155"/>
      <c r="N471" s="1155"/>
      <c r="O471" s="1155"/>
      <c r="P471" s="1155"/>
      <c r="Q471" s="1155"/>
      <c r="R471" s="1291">
        <v>-7018.2000000000025</v>
      </c>
      <c r="S471" s="1236"/>
      <c r="Y471" s="1329"/>
      <c r="Z471" s="1330"/>
      <c r="AA471" s="1331"/>
      <c r="AB471" s="1332"/>
      <c r="AC471" s="1186"/>
      <c r="AD471" s="1333"/>
      <c r="AE471" s="1186"/>
      <c r="AF471" s="1186"/>
      <c r="AG471" s="1186"/>
      <c r="AH471" s="1186"/>
      <c r="AI471" s="1186"/>
      <c r="AJ471" s="1186"/>
      <c r="AK471" s="1186"/>
      <c r="AL471" s="1186"/>
      <c r="AM471" s="1186"/>
      <c r="AN471" s="1186"/>
      <c r="AO471" s="1186"/>
      <c r="AP471" s="1186"/>
    </row>
    <row r="472" spans="1:42">
      <c r="F472" s="1290" t="s">
        <v>2933</v>
      </c>
      <c r="G472" s="1155"/>
      <c r="H472" s="1155"/>
      <c r="I472" s="1155"/>
      <c r="J472" s="1155"/>
      <c r="K472" s="1155"/>
      <c r="L472" s="1155"/>
      <c r="M472" s="1155"/>
      <c r="N472" s="1155"/>
      <c r="O472" s="1155"/>
      <c r="P472" s="1155"/>
      <c r="Q472" s="1155"/>
      <c r="S472" s="1236"/>
      <c r="Y472" s="1329"/>
      <c r="Z472" s="1330"/>
      <c r="AA472" s="1331"/>
      <c r="AB472" s="1332"/>
      <c r="AC472" s="1186"/>
      <c r="AD472" s="1333"/>
      <c r="AE472" s="1186"/>
      <c r="AF472" s="1186"/>
      <c r="AG472" s="1186"/>
      <c r="AH472" s="1186"/>
      <c r="AI472" s="1186"/>
      <c r="AJ472" s="1186"/>
      <c r="AK472" s="1186"/>
      <c r="AL472" s="1186"/>
      <c r="AM472" s="1186"/>
      <c r="AN472" s="1186"/>
      <c r="AO472" s="1186"/>
      <c r="AP472" s="1186"/>
    </row>
    <row r="473" spans="1:42">
      <c r="F473" s="1290"/>
      <c r="G473" s="1155"/>
      <c r="H473" s="1155"/>
      <c r="I473" s="1155"/>
      <c r="J473" s="1155"/>
      <c r="K473" s="1155"/>
      <c r="L473" s="1155"/>
      <c r="M473" s="1155"/>
      <c r="N473" s="1155"/>
      <c r="O473" s="1155"/>
      <c r="P473" s="1155"/>
      <c r="Q473" s="1155"/>
      <c r="R473" s="1294"/>
      <c r="S473" s="1236"/>
      <c r="Y473" s="1329"/>
      <c r="Z473" s="1330"/>
      <c r="AA473" s="1331"/>
      <c r="AB473" s="1332"/>
      <c r="AC473" s="1186"/>
      <c r="AD473" s="1333"/>
      <c r="AE473" s="1186"/>
      <c r="AF473" s="1186"/>
      <c r="AG473" s="1186"/>
      <c r="AH473" s="1186"/>
      <c r="AI473" s="1186"/>
      <c r="AJ473" s="1186"/>
      <c r="AK473" s="1186"/>
      <c r="AL473" s="1186"/>
      <c r="AM473" s="1186"/>
      <c r="AN473" s="1186"/>
      <c r="AO473" s="1186"/>
      <c r="AP473" s="1186"/>
    </row>
    <row r="474" spans="1:42">
      <c r="F474" s="1155"/>
      <c r="G474" s="1155"/>
      <c r="H474" s="1155"/>
      <c r="I474" s="1155"/>
      <c r="J474" s="1155"/>
      <c r="K474" s="1155"/>
      <c r="L474" s="1155"/>
      <c r="M474" s="1155"/>
      <c r="N474" s="1155"/>
      <c r="O474" s="1155"/>
      <c r="P474" s="1155"/>
      <c r="Q474" s="1155"/>
      <c r="R474" s="1294"/>
      <c r="S474" s="1236"/>
      <c r="Y474" s="1329"/>
      <c r="Z474" s="1330"/>
      <c r="AA474" s="1331"/>
      <c r="AB474" s="1332"/>
      <c r="AC474" s="1186"/>
      <c r="AD474" s="1333"/>
      <c r="AE474" s="1186"/>
      <c r="AF474" s="1186"/>
      <c r="AG474" s="1186"/>
      <c r="AH474" s="1186"/>
      <c r="AI474" s="1186"/>
      <c r="AJ474" s="1186"/>
      <c r="AK474" s="1186"/>
      <c r="AL474" s="1186"/>
      <c r="AM474" s="1186"/>
      <c r="AN474" s="1186"/>
      <c r="AO474" s="1186"/>
      <c r="AP474" s="1186"/>
    </row>
    <row r="475" spans="1:42">
      <c r="E475" s="1300"/>
      <c r="F475" s="1300"/>
      <c r="G475" s="1155"/>
      <c r="H475" s="1155"/>
      <c r="I475" s="1155"/>
      <c r="J475" s="1155"/>
      <c r="K475" s="1155"/>
      <c r="L475" s="1155"/>
      <c r="M475" s="1155"/>
      <c r="N475" s="1155"/>
      <c r="O475" s="1155"/>
      <c r="P475" s="1155"/>
      <c r="Q475" s="1155"/>
      <c r="R475" s="1298" t="s">
        <v>2929</v>
      </c>
      <c r="S475" s="1345"/>
      <c r="Y475" s="1329"/>
      <c r="Z475" s="1330"/>
      <c r="AA475" s="1331"/>
      <c r="AB475" s="1332"/>
      <c r="AC475" s="1186"/>
      <c r="AD475" s="1333"/>
      <c r="AE475" s="1186"/>
      <c r="AF475" s="1186"/>
      <c r="AG475" s="1186"/>
      <c r="AH475" s="1186"/>
      <c r="AI475" s="1186"/>
      <c r="AJ475" s="1186"/>
      <c r="AK475" s="1186"/>
      <c r="AL475" s="1186"/>
      <c r="AM475" s="1186"/>
      <c r="AN475" s="1186"/>
      <c r="AO475" s="1186"/>
      <c r="AP475" s="1186"/>
    </row>
    <row r="476" spans="1:42">
      <c r="E476" s="1300">
        <v>55020</v>
      </c>
      <c r="F476" s="1300" t="s">
        <v>42</v>
      </c>
      <c r="G476" s="1155"/>
      <c r="H476" s="1155"/>
      <c r="I476" s="1155"/>
      <c r="J476" s="1155"/>
      <c r="K476" s="1155"/>
      <c r="L476" s="1155"/>
      <c r="M476" s="1155"/>
      <c r="N476" s="1155"/>
      <c r="O476" s="1155"/>
      <c r="P476" s="1155"/>
      <c r="Q476" s="1155"/>
      <c r="R476" s="1364">
        <f>+'2010_IS'!AE149</f>
        <v>297856.31000000006</v>
      </c>
      <c r="Y476" s="1329"/>
      <c r="Z476" s="1330"/>
      <c r="AA476" s="1331"/>
      <c r="AB476" s="1332"/>
      <c r="AC476" s="1186"/>
      <c r="AD476" s="1333"/>
      <c r="AE476" s="1186"/>
      <c r="AF476" s="1186"/>
      <c r="AG476" s="1186"/>
      <c r="AH476" s="1186"/>
      <c r="AI476" s="1186"/>
      <c r="AJ476" s="1186"/>
      <c r="AK476" s="1186"/>
      <c r="AL476" s="1186"/>
      <c r="AM476" s="1186"/>
      <c r="AN476" s="1186"/>
      <c r="AO476" s="1186"/>
      <c r="AP476" s="1186"/>
    </row>
    <row r="477" spans="1:42">
      <c r="E477" s="1300">
        <v>55025</v>
      </c>
      <c r="F477" s="1300" t="s">
        <v>43</v>
      </c>
      <c r="G477" s="1155"/>
      <c r="H477" s="1155"/>
      <c r="I477" s="1155"/>
      <c r="J477" s="1155"/>
      <c r="K477" s="1155"/>
      <c r="L477" s="1155"/>
      <c r="M477" s="1155"/>
      <c r="N477" s="1155"/>
      <c r="O477" s="1155"/>
      <c r="P477" s="1155"/>
      <c r="Q477" s="1155"/>
      <c r="R477" s="1360">
        <f>+'2010_IS'!AE150</f>
        <v>20357.72</v>
      </c>
      <c r="Y477" s="1329"/>
      <c r="Z477" s="1330"/>
      <c r="AA477" s="1331"/>
      <c r="AB477" s="1332"/>
      <c r="AC477" s="1186"/>
      <c r="AD477" s="1333"/>
      <c r="AE477" s="1186"/>
      <c r="AF477" s="1186"/>
      <c r="AG477" s="1186"/>
      <c r="AH477" s="1186"/>
      <c r="AI477" s="1186"/>
      <c r="AJ477" s="1186"/>
      <c r="AK477" s="1186"/>
      <c r="AL477" s="1186"/>
      <c r="AM477" s="1186"/>
      <c r="AN477" s="1186"/>
      <c r="AO477" s="1186"/>
      <c r="AP477" s="1186"/>
    </row>
    <row r="478" spans="1:42">
      <c r="E478" s="1300">
        <v>55035</v>
      </c>
      <c r="F478" s="1303" t="s">
        <v>44</v>
      </c>
      <c r="G478" s="1155"/>
      <c r="H478" s="1155"/>
      <c r="I478" s="1155"/>
      <c r="J478" s="1155"/>
      <c r="K478" s="1155"/>
      <c r="L478" s="1155"/>
      <c r="M478" s="1155"/>
      <c r="N478" s="1155"/>
      <c r="O478" s="1155"/>
      <c r="P478" s="1155"/>
      <c r="Q478" s="1155"/>
      <c r="R478" s="1360">
        <f>+'2010_IS'!AE151</f>
        <v>0</v>
      </c>
      <c r="Y478" s="1329"/>
      <c r="Z478" s="1330"/>
      <c r="AA478" s="1331"/>
      <c r="AB478" s="1332"/>
      <c r="AC478" s="1186"/>
      <c r="AD478" s="1333"/>
      <c r="AE478" s="1186"/>
      <c r="AF478" s="1186"/>
      <c r="AG478" s="1186"/>
      <c r="AH478" s="1186"/>
      <c r="AI478" s="1186"/>
      <c r="AJ478" s="1186"/>
      <c r="AK478" s="1186"/>
      <c r="AL478" s="1186"/>
      <c r="AM478" s="1186"/>
      <c r="AN478" s="1186"/>
      <c r="AO478" s="1186"/>
      <c r="AP478" s="1186"/>
    </row>
    <row r="479" spans="1:42">
      <c r="E479" s="1300">
        <v>55036</v>
      </c>
      <c r="F479" s="1303" t="s">
        <v>2930</v>
      </c>
      <c r="G479" s="1155"/>
      <c r="H479" s="1155"/>
      <c r="I479" s="1155"/>
      <c r="J479" s="1155"/>
      <c r="K479" s="1155"/>
      <c r="L479" s="1155"/>
      <c r="M479" s="1155"/>
      <c r="N479" s="1155"/>
      <c r="O479" s="1155"/>
      <c r="P479" s="1155"/>
      <c r="Q479" s="1155"/>
      <c r="R479" s="1360">
        <f>+'2010_IS'!AE152</f>
        <v>490.77</v>
      </c>
      <c r="Y479" s="1329"/>
      <c r="Z479" s="1330"/>
      <c r="AA479" s="1331"/>
      <c r="AB479" s="1332"/>
      <c r="AC479" s="1186"/>
      <c r="AD479" s="1333"/>
      <c r="AE479" s="1186"/>
      <c r="AF479" s="1186"/>
      <c r="AG479" s="1186"/>
      <c r="AH479" s="1186"/>
      <c r="AI479" s="1186"/>
      <c r="AJ479" s="1186"/>
      <c r="AK479" s="1186"/>
      <c r="AL479" s="1186"/>
      <c r="AM479" s="1186"/>
      <c r="AN479" s="1186"/>
      <c r="AO479" s="1186"/>
      <c r="AP479" s="1186"/>
    </row>
    <row r="480" spans="1:42">
      <c r="E480" s="1300">
        <v>55065</v>
      </c>
      <c r="F480" s="1300" t="s">
        <v>39</v>
      </c>
      <c r="R480" s="1362">
        <f>+'2010_IS'!AE155</f>
        <v>14202.990000000002</v>
      </c>
      <c r="Y480" s="1329"/>
      <c r="Z480" s="1330"/>
      <c r="AA480" s="1331"/>
      <c r="AB480" s="1332"/>
      <c r="AC480" s="1186"/>
      <c r="AD480" s="1333"/>
      <c r="AE480" s="1186"/>
      <c r="AF480" s="1186"/>
      <c r="AG480" s="1186"/>
      <c r="AH480" s="1186"/>
      <c r="AI480" s="1186"/>
      <c r="AJ480" s="1186"/>
      <c r="AK480" s="1186"/>
      <c r="AL480" s="1186"/>
      <c r="AM480" s="1186"/>
      <c r="AN480" s="1186"/>
      <c r="AO480" s="1186"/>
      <c r="AP480" s="1186"/>
    </row>
    <row r="481" spans="1:42">
      <c r="E481" s="1300">
        <v>52070</v>
      </c>
      <c r="F481" s="1300" t="s">
        <v>40</v>
      </c>
      <c r="R481" s="1363">
        <f>+'2010_IS'!AE156</f>
        <v>3481.3199999999997</v>
      </c>
      <c r="Y481" s="1329"/>
      <c r="Z481" s="1330"/>
      <c r="AA481" s="1331"/>
      <c r="AB481" s="1332"/>
      <c r="AC481" s="1186"/>
      <c r="AD481" s="1333"/>
      <c r="AE481" s="1186"/>
      <c r="AF481" s="1186"/>
      <c r="AG481" s="1186"/>
      <c r="AH481" s="1186"/>
      <c r="AI481" s="1186"/>
      <c r="AJ481" s="1186"/>
      <c r="AK481" s="1186"/>
      <c r="AL481" s="1186"/>
      <c r="AM481" s="1186"/>
      <c r="AN481" s="1186"/>
      <c r="AO481" s="1186"/>
      <c r="AP481" s="1186"/>
    </row>
    <row r="482" spans="1:42">
      <c r="E482" s="1306"/>
      <c r="F482" s="1306"/>
      <c r="R482" s="1236">
        <f>SUM(R476:R481)</f>
        <v>336389.11000000004</v>
      </c>
      <c r="Y482" s="1329"/>
      <c r="Z482" s="1330"/>
      <c r="AA482" s="1331"/>
      <c r="AB482" s="1332"/>
      <c r="AC482" s="1186"/>
      <c r="AD482" s="1333"/>
      <c r="AE482" s="1186"/>
      <c r="AF482" s="1186"/>
      <c r="AG482" s="1186"/>
      <c r="AH482" s="1186"/>
      <c r="AI482" s="1186"/>
      <c r="AJ482" s="1186"/>
      <c r="AK482" s="1186"/>
      <c r="AL482" s="1186"/>
      <c r="AM482" s="1186"/>
      <c r="AN482" s="1186"/>
      <c r="AO482" s="1186"/>
      <c r="AP482" s="1186"/>
    </row>
    <row r="483" spans="1:42">
      <c r="E483" s="1306"/>
      <c r="F483" s="1306"/>
      <c r="R483" s="1169"/>
      <c r="S483" s="1236"/>
      <c r="Y483" s="1329"/>
      <c r="Z483" s="1330"/>
      <c r="AA483" s="1331"/>
      <c r="AB483" s="1332"/>
      <c r="AC483" s="1186"/>
      <c r="AD483" s="1333"/>
      <c r="AE483" s="1186"/>
      <c r="AF483" s="1186"/>
      <c r="AG483" s="1186"/>
      <c r="AH483" s="1186"/>
      <c r="AI483" s="1186"/>
      <c r="AJ483" s="1186"/>
      <c r="AK483" s="1186"/>
      <c r="AL483" s="1186"/>
      <c r="AM483" s="1186"/>
      <c r="AN483" s="1186"/>
      <c r="AO483" s="1186"/>
      <c r="AP483" s="1186"/>
    </row>
    <row r="484" spans="1:42">
      <c r="E484" s="1306"/>
      <c r="F484" s="1322" t="s">
        <v>428</v>
      </c>
      <c r="R484" s="1169"/>
      <c r="S484" s="1236"/>
      <c r="Y484" s="1329"/>
      <c r="Z484" s="1330"/>
      <c r="AA484" s="1331"/>
      <c r="AB484" s="1332"/>
      <c r="AC484" s="1186"/>
      <c r="AD484" s="1333"/>
      <c r="AE484" s="1186"/>
      <c r="AF484" s="1186"/>
      <c r="AG484" s="1186"/>
      <c r="AH484" s="1186"/>
      <c r="AI484" s="1186"/>
      <c r="AJ484" s="1186"/>
      <c r="AK484" s="1186"/>
      <c r="AL484" s="1186"/>
      <c r="AM484" s="1186"/>
      <c r="AN484" s="1186"/>
      <c r="AO484" s="1186"/>
      <c r="AP484" s="1186"/>
    </row>
    <row r="485" spans="1:42">
      <c r="F485" s="1155"/>
      <c r="G485" s="1155"/>
      <c r="H485" s="1155"/>
      <c r="I485" s="1155"/>
      <c r="J485" s="1155"/>
      <c r="K485" s="1155"/>
      <c r="L485" s="1155"/>
      <c r="M485" s="1155"/>
      <c r="N485" s="1155"/>
      <c r="O485" s="1155"/>
      <c r="P485" s="1155"/>
      <c r="Q485" s="1311" t="s">
        <v>2931</v>
      </c>
      <c r="R485" s="1294">
        <f>R469+R471-R482</f>
        <v>-1211.1602000000421</v>
      </c>
      <c r="S485" s="1296">
        <f>R485/R482</f>
        <v>-3.60047386789674E-3</v>
      </c>
      <c r="Y485" s="1329"/>
      <c r="Z485" s="1330"/>
      <c r="AA485" s="1331"/>
      <c r="AB485" s="1332"/>
      <c r="AC485" s="1186"/>
      <c r="AD485" s="1333"/>
      <c r="AE485" s="1186"/>
      <c r="AF485" s="1186"/>
      <c r="AG485" s="1186"/>
      <c r="AH485" s="1186"/>
      <c r="AI485" s="1186"/>
      <c r="AJ485" s="1186"/>
      <c r="AK485" s="1186"/>
      <c r="AL485" s="1186"/>
      <c r="AM485" s="1186"/>
      <c r="AN485" s="1186"/>
      <c r="AO485" s="1186"/>
      <c r="AP485" s="1186"/>
    </row>
    <row r="486" spans="1:42">
      <c r="F486" s="1155"/>
      <c r="G486" s="1155"/>
      <c r="H486" s="1155"/>
      <c r="I486" s="1155"/>
      <c r="J486" s="1155"/>
      <c r="K486" s="1155"/>
      <c r="L486" s="1155"/>
      <c r="M486" s="1155"/>
      <c r="N486" s="1155"/>
      <c r="O486" s="1155"/>
      <c r="P486" s="1155"/>
      <c r="Q486" s="1155"/>
      <c r="R486" s="1186"/>
      <c r="Y486" s="1329"/>
      <c r="Z486" s="1330"/>
      <c r="AA486" s="1331"/>
      <c r="AB486" s="1332"/>
      <c r="AC486" s="1186"/>
      <c r="AD486" s="1333"/>
      <c r="AE486" s="1186"/>
      <c r="AF486" s="1186"/>
      <c r="AG486" s="1186"/>
      <c r="AH486" s="1186"/>
      <c r="AI486" s="1186"/>
      <c r="AJ486" s="1186"/>
      <c r="AK486" s="1186"/>
      <c r="AL486" s="1186"/>
      <c r="AM486" s="1186"/>
      <c r="AN486" s="1186"/>
      <c r="AO486" s="1186"/>
      <c r="AP486" s="1186"/>
    </row>
    <row r="487" spans="1:42">
      <c r="F487" s="1155"/>
      <c r="G487" s="1155"/>
      <c r="H487" s="1155"/>
      <c r="I487" s="1155"/>
      <c r="J487" s="1155"/>
      <c r="K487" s="1155"/>
      <c r="L487" s="1155"/>
      <c r="M487" s="1155"/>
      <c r="N487" s="1155"/>
      <c r="O487" s="1155"/>
      <c r="P487" s="1155"/>
      <c r="Q487" s="1155"/>
      <c r="R487" s="1186"/>
      <c r="V487" s="1355"/>
      <c r="Y487" s="1329"/>
      <c r="Z487" s="1330"/>
      <c r="AA487" s="1331"/>
      <c r="AB487" s="1332"/>
      <c r="AC487" s="1186"/>
      <c r="AD487" s="1333"/>
      <c r="AE487" s="1186"/>
      <c r="AF487" s="1186"/>
      <c r="AG487" s="1186"/>
      <c r="AH487" s="1186"/>
      <c r="AI487" s="1186"/>
      <c r="AJ487" s="1186"/>
      <c r="AK487" s="1186"/>
      <c r="AL487" s="1186"/>
      <c r="AM487" s="1186"/>
      <c r="AN487" s="1186"/>
      <c r="AO487" s="1186"/>
      <c r="AP487" s="1186"/>
    </row>
    <row r="488" spans="1:42">
      <c r="F488" s="1155"/>
      <c r="G488" s="1155"/>
      <c r="H488" s="1155"/>
      <c r="I488" s="1155"/>
      <c r="J488" s="1155"/>
      <c r="K488" s="1155"/>
      <c r="L488" s="1155"/>
      <c r="M488" s="1155"/>
      <c r="N488" s="1155"/>
      <c r="O488" s="1155"/>
      <c r="P488" s="1155"/>
      <c r="Q488" s="1155"/>
      <c r="R488" s="1186"/>
      <c r="Y488" s="1329"/>
      <c r="Z488" s="1330"/>
      <c r="AA488" s="1331"/>
      <c r="AB488" s="1332"/>
      <c r="AC488" s="1186"/>
      <c r="AD488" s="1333"/>
      <c r="AE488" s="1186"/>
      <c r="AF488" s="1186"/>
      <c r="AG488" s="1186"/>
      <c r="AH488" s="1186"/>
      <c r="AI488" s="1186"/>
      <c r="AJ488" s="1186"/>
      <c r="AK488" s="1186"/>
      <c r="AL488" s="1186"/>
      <c r="AM488" s="1186"/>
      <c r="AN488" s="1186"/>
      <c r="AO488" s="1186"/>
      <c r="AP488" s="1186"/>
    </row>
    <row r="489" spans="1:42">
      <c r="F489" s="1155"/>
      <c r="G489" s="1155"/>
      <c r="H489" s="1155"/>
      <c r="I489" s="1155"/>
      <c r="J489" s="1155"/>
      <c r="K489" s="1155"/>
      <c r="L489" s="1155"/>
      <c r="M489" s="1155"/>
      <c r="N489" s="1155"/>
      <c r="O489" s="1155"/>
      <c r="P489" s="1155"/>
      <c r="Q489" s="1155"/>
      <c r="R489" s="1186"/>
      <c r="Y489" s="1329"/>
      <c r="Z489" s="1330"/>
      <c r="AA489" s="1331"/>
      <c r="AB489" s="1332"/>
      <c r="AC489" s="1186"/>
      <c r="AD489" s="1333"/>
      <c r="AE489" s="1186"/>
      <c r="AF489" s="1186"/>
      <c r="AG489" s="1186"/>
      <c r="AH489" s="1186"/>
      <c r="AI489" s="1186"/>
      <c r="AJ489" s="1186"/>
      <c r="AK489" s="1186"/>
      <c r="AL489" s="1186"/>
      <c r="AM489" s="1186"/>
      <c r="AN489" s="1186"/>
      <c r="AO489" s="1186"/>
      <c r="AP489" s="1186"/>
    </row>
    <row r="490" spans="1:42">
      <c r="F490" s="1155"/>
      <c r="G490" s="1155"/>
      <c r="H490" s="1155"/>
      <c r="I490" s="1155"/>
      <c r="J490" s="1155"/>
      <c r="K490" s="1155"/>
      <c r="L490" s="1155"/>
      <c r="M490" s="1155"/>
      <c r="N490" s="1155"/>
      <c r="O490" s="1155"/>
      <c r="P490" s="1155"/>
      <c r="Q490" s="1356" t="s">
        <v>2953</v>
      </c>
      <c r="R490" s="1357">
        <f>+R485+R466+R449+R395+R377+R432</f>
        <v>-27404.034100000776</v>
      </c>
      <c r="Y490" s="1329"/>
      <c r="Z490" s="1330"/>
      <c r="AA490" s="1331"/>
      <c r="AB490" s="1332"/>
      <c r="AC490" s="1186"/>
      <c r="AD490" s="1333"/>
      <c r="AE490" s="1186"/>
      <c r="AF490" s="1186"/>
      <c r="AG490" s="1186"/>
      <c r="AH490" s="1186"/>
      <c r="AI490" s="1186"/>
      <c r="AJ490" s="1186"/>
      <c r="AK490" s="1186"/>
      <c r="AL490" s="1186"/>
      <c r="AM490" s="1186"/>
      <c r="AN490" s="1186"/>
      <c r="AO490" s="1186"/>
      <c r="AP490" s="1186"/>
    </row>
    <row r="491" spans="1:42">
      <c r="F491" s="1155"/>
      <c r="G491" s="1155"/>
      <c r="H491" s="1155"/>
      <c r="I491" s="1155"/>
      <c r="J491" s="1155"/>
      <c r="K491" s="1155"/>
      <c r="L491" s="1155"/>
      <c r="M491" s="1155"/>
      <c r="N491" s="1155"/>
      <c r="O491" s="1155"/>
      <c r="P491" s="1155"/>
      <c r="Q491" s="1155"/>
      <c r="R491" s="1358">
        <f>+R490/R357</f>
        <v>-2.3465465035202599E-3</v>
      </c>
      <c r="Y491" s="1329"/>
      <c r="Z491" s="1330"/>
      <c r="AA491" s="1331"/>
      <c r="AB491" s="1332"/>
      <c r="AC491" s="1186"/>
      <c r="AD491" s="1333"/>
      <c r="AE491" s="1186"/>
      <c r="AF491" s="1186"/>
      <c r="AG491" s="1186"/>
      <c r="AH491" s="1186"/>
      <c r="AI491" s="1186"/>
      <c r="AJ491" s="1186"/>
      <c r="AK491" s="1186"/>
      <c r="AL491" s="1186"/>
      <c r="AM491" s="1186"/>
      <c r="AN491" s="1186"/>
      <c r="AO491" s="1186"/>
      <c r="AP491" s="1186"/>
    </row>
    <row r="492" spans="1:42">
      <c r="F492" s="1155"/>
      <c r="G492" s="1155"/>
      <c r="H492" s="1155"/>
      <c r="I492" s="1155"/>
      <c r="J492" s="1155"/>
      <c r="K492" s="1155"/>
      <c r="L492" s="1155"/>
      <c r="M492" s="1155"/>
      <c r="N492" s="1155"/>
      <c r="O492" s="1155"/>
      <c r="P492" s="1155"/>
      <c r="Q492" s="1155"/>
      <c r="R492" s="1352" t="s">
        <v>2954</v>
      </c>
      <c r="Y492" s="1329"/>
      <c r="Z492" s="1330"/>
      <c r="AA492" s="1331"/>
      <c r="AB492" s="1332"/>
      <c r="AC492" s="1186"/>
      <c r="AD492" s="1333"/>
      <c r="AE492" s="1186"/>
      <c r="AF492" s="1186"/>
      <c r="AG492" s="1186"/>
      <c r="AH492" s="1186"/>
      <c r="AI492" s="1186"/>
      <c r="AJ492" s="1186"/>
      <c r="AK492" s="1186"/>
      <c r="AL492" s="1186"/>
      <c r="AM492" s="1186"/>
      <c r="AN492" s="1186"/>
      <c r="AO492" s="1186"/>
      <c r="AP492" s="1186"/>
    </row>
    <row r="493" spans="1:42">
      <c r="F493" s="1155"/>
      <c r="G493" s="1155"/>
      <c r="H493" s="1155"/>
      <c r="I493" s="1155"/>
      <c r="J493" s="1155"/>
      <c r="K493" s="1155"/>
      <c r="L493" s="1155"/>
      <c r="M493" s="1155"/>
      <c r="N493" s="1155"/>
      <c r="O493" s="1155"/>
      <c r="P493" s="1155"/>
      <c r="Q493" s="1155"/>
      <c r="R493" s="1186"/>
      <c r="Y493" s="1329"/>
      <c r="Z493" s="1330"/>
      <c r="AA493" s="1331"/>
      <c r="AB493" s="1332"/>
      <c r="AC493" s="1186"/>
      <c r="AD493" s="1333"/>
      <c r="AE493" s="1186"/>
      <c r="AF493" s="1186"/>
      <c r="AG493" s="1186"/>
      <c r="AH493" s="1186"/>
      <c r="AI493" s="1186"/>
      <c r="AJ493" s="1186"/>
      <c r="AK493" s="1186"/>
      <c r="AL493" s="1186"/>
      <c r="AM493" s="1186"/>
      <c r="AN493" s="1186"/>
      <c r="AO493" s="1186"/>
      <c r="AP493" s="1186"/>
    </row>
    <row r="494" spans="1:42">
      <c r="A494" s="1156" t="s">
        <v>2955</v>
      </c>
      <c r="F494" s="1155"/>
      <c r="G494" s="1155"/>
      <c r="H494" s="1155"/>
      <c r="I494" s="1155"/>
      <c r="J494" s="1155"/>
      <c r="K494" s="1155"/>
      <c r="L494" s="1155"/>
      <c r="M494" s="1155"/>
      <c r="N494" s="1155"/>
      <c r="O494" s="1155"/>
      <c r="P494" s="1155"/>
      <c r="Q494" s="1155"/>
      <c r="R494" s="1186"/>
    </row>
    <row r="495" spans="1:42">
      <c r="A495" s="1359" t="s">
        <v>2931</v>
      </c>
      <c r="B495" s="1155" t="s">
        <v>2956</v>
      </c>
      <c r="F495" s="1155"/>
      <c r="G495" s="1155"/>
      <c r="H495" s="1155"/>
      <c r="I495" s="1155"/>
      <c r="J495" s="1155"/>
      <c r="K495" s="1155"/>
      <c r="L495" s="1155"/>
      <c r="M495" s="1155"/>
      <c r="N495" s="1155"/>
      <c r="O495" s="1155"/>
      <c r="P495" s="1155"/>
      <c r="Q495" s="1155"/>
      <c r="R495" s="1186"/>
    </row>
    <row r="496" spans="1:42">
      <c r="F496" s="1155"/>
      <c r="G496" s="1155"/>
      <c r="H496" s="1155"/>
      <c r="I496" s="1155"/>
      <c r="J496" s="1155"/>
      <c r="K496" s="1155"/>
      <c r="L496" s="1155"/>
      <c r="M496" s="1155"/>
      <c r="N496" s="1155"/>
      <c r="O496" s="1155"/>
      <c r="P496" s="1155"/>
      <c r="Q496" s="1155"/>
      <c r="R496" s="1186"/>
    </row>
    <row r="497" spans="6:18">
      <c r="F497" s="1155"/>
      <c r="G497" s="1155"/>
      <c r="H497" s="1155"/>
      <c r="I497" s="1155"/>
      <c r="J497" s="1155"/>
      <c r="K497" s="1155"/>
      <c r="L497" s="1155"/>
      <c r="M497" s="1155"/>
      <c r="N497" s="1155"/>
      <c r="O497" s="1155"/>
      <c r="P497" s="1155"/>
      <c r="Q497" s="1155"/>
      <c r="R497" s="1186"/>
    </row>
  </sheetData>
  <autoFilter ref="A8:AF342">
    <sortState ref="A9:AD82">
      <sortCondition sortBy="cellColor" ref="A8:A82" dxfId="5"/>
    </sortState>
  </autoFilter>
  <mergeCells count="3">
    <mergeCell ref="X2:AG2"/>
    <mergeCell ref="X359:AF359"/>
    <mergeCell ref="A361:F361"/>
  </mergeCells>
  <pageMargins left="0.75" right="0.75" top="1" bottom="1" header="0.5" footer="0.5"/>
  <pageSetup scale="49" pageOrder="overThenDown" orientation="landscape" r:id="rId1"/>
  <headerFooter alignWithMargins="0">
    <oddFooter xml:space="preserve">&amp;L&amp;F - &amp;A
&amp;RPage &amp;P of &amp;N
</oddFooter>
  </headerFooter>
  <colBreaks count="2" manualBreakCount="2">
    <brk id="25" min="359" max="495" man="1"/>
    <brk id="25" max="357"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62"/>
  <sheetViews>
    <sheetView view="pageBreakPreview" zoomScale="85" zoomScaleNormal="85" zoomScaleSheetLayoutView="85" workbookViewId="0">
      <selection activeCell="AI26" sqref="AI26"/>
    </sheetView>
  </sheetViews>
  <sheetFormatPr defaultColWidth="11.42578125" defaultRowHeight="15"/>
  <cols>
    <col min="1" max="1" width="40" style="406" customWidth="1"/>
    <col min="2" max="2" width="11.5703125" style="406" bestFit="1" customWidth="1"/>
    <col min="3" max="3" width="10.5703125" style="406" bestFit="1" customWidth="1"/>
    <col min="4" max="4" width="11.5703125" style="406" bestFit="1" customWidth="1"/>
    <col min="5" max="5" width="10.5703125" style="406" bestFit="1" customWidth="1"/>
    <col min="6" max="6" width="11.5703125" style="406" customWidth="1"/>
    <col min="7" max="8" width="11.5703125" style="406" bestFit="1" customWidth="1"/>
    <col min="9" max="10" width="11.42578125" style="406"/>
    <col min="11" max="11" width="11.85546875" style="406" customWidth="1"/>
    <col min="12" max="12" width="4" style="406" customWidth="1"/>
    <col min="13" max="13" width="10.5703125" style="406" bestFit="1" customWidth="1"/>
    <col min="14" max="14" width="4" style="406" customWidth="1"/>
    <col min="15" max="15" width="14.5703125" style="406" bestFit="1" customWidth="1"/>
    <col min="16" max="16" width="4" style="406" customWidth="1"/>
    <col min="17" max="17" width="12" style="406" customWidth="1"/>
    <col min="18" max="18" width="5.5703125" style="406" customWidth="1"/>
    <col min="19" max="19" width="11.5703125" style="406" bestFit="1" customWidth="1"/>
    <col min="20" max="20" width="4" style="406" customWidth="1"/>
    <col min="21" max="21" width="10.5703125" style="406" bestFit="1" customWidth="1"/>
    <col min="22" max="22" width="4" style="406" customWidth="1"/>
    <col min="23" max="23" width="13.28515625" style="406" customWidth="1"/>
    <col min="24" max="24" width="4" style="406" customWidth="1"/>
    <col min="25" max="25" width="17" style="406" bestFit="1" customWidth="1"/>
    <col min="26" max="26" width="11.42578125" style="406"/>
    <col min="27" max="27" width="11.28515625" style="406" customWidth="1"/>
    <col min="28" max="28" width="4" style="406" customWidth="1"/>
    <col min="29" max="29" width="9" style="406" bestFit="1" customWidth="1"/>
    <col min="30" max="30" width="4" style="406" customWidth="1"/>
    <col min="31" max="31" width="9" style="406" bestFit="1" customWidth="1"/>
    <col min="32" max="32" width="4" style="406" customWidth="1"/>
    <col min="33" max="33" width="12.7109375" style="406" customWidth="1"/>
    <col min="34" max="34" width="6.85546875" style="406" customWidth="1"/>
    <col min="35" max="35" width="10.5703125" style="406" bestFit="1" customWidth="1"/>
    <col min="36" max="36" width="4" style="406" customWidth="1"/>
    <col min="37" max="37" width="10.5703125" style="406" bestFit="1" customWidth="1"/>
    <col min="38" max="38" width="4" style="406" customWidth="1"/>
    <col min="39" max="39" width="10.5703125" style="406" bestFit="1" customWidth="1"/>
    <col min="40" max="40" width="4" style="406" customWidth="1"/>
    <col min="41" max="252" width="11.42578125" style="406"/>
    <col min="253" max="253" width="23.28515625" style="406" customWidth="1"/>
    <col min="254" max="254" width="15" style="406" bestFit="1" customWidth="1"/>
    <col min="255" max="255" width="14.28515625" style="406" bestFit="1" customWidth="1"/>
    <col min="256" max="256" width="14.42578125" style="406" bestFit="1" customWidth="1"/>
    <col min="257" max="257" width="28.42578125" style="406" bestFit="1" customWidth="1"/>
    <col min="258" max="258" width="11.5703125" style="406" customWidth="1"/>
    <col min="259" max="260" width="11.5703125" style="406" bestFit="1" customWidth="1"/>
    <col min="261" max="261" width="11.42578125" style="406"/>
    <col min="262" max="263" width="13.28515625" style="406" bestFit="1" customWidth="1"/>
    <col min="264" max="266" width="14.28515625" style="406" bestFit="1" customWidth="1"/>
    <col min="267" max="267" width="14" style="406" bestFit="1" customWidth="1"/>
    <col min="268" max="508" width="11.42578125" style="406"/>
    <col min="509" max="509" width="23.28515625" style="406" customWidth="1"/>
    <col min="510" max="510" width="15" style="406" bestFit="1" customWidth="1"/>
    <col min="511" max="511" width="14.28515625" style="406" bestFit="1" customWidth="1"/>
    <col min="512" max="512" width="14.42578125" style="406" bestFit="1" customWidth="1"/>
    <col min="513" max="513" width="28.42578125" style="406" bestFit="1" customWidth="1"/>
    <col min="514" max="514" width="11.5703125" style="406" customWidth="1"/>
    <col min="515" max="516" width="11.5703125" style="406" bestFit="1" customWidth="1"/>
    <col min="517" max="517" width="11.42578125" style="406"/>
    <col min="518" max="519" width="13.28515625" style="406" bestFit="1" customWidth="1"/>
    <col min="520" max="522" width="14.28515625" style="406" bestFit="1" customWidth="1"/>
    <col min="523" max="523" width="14" style="406" bestFit="1" customWidth="1"/>
    <col min="524" max="764" width="11.42578125" style="406"/>
    <col min="765" max="765" width="23.28515625" style="406" customWidth="1"/>
    <col min="766" max="766" width="15" style="406" bestFit="1" customWidth="1"/>
    <col min="767" max="767" width="14.28515625" style="406" bestFit="1" customWidth="1"/>
    <col min="768" max="768" width="14.42578125" style="406" bestFit="1" customWidth="1"/>
    <col min="769" max="769" width="28.42578125" style="406" bestFit="1" customWidth="1"/>
    <col min="770" max="770" width="11.5703125" style="406" customWidth="1"/>
    <col min="771" max="772" width="11.5703125" style="406" bestFit="1" customWidth="1"/>
    <col min="773" max="773" width="11.42578125" style="406"/>
    <col min="774" max="775" width="13.28515625" style="406" bestFit="1" customWidth="1"/>
    <col min="776" max="778" width="14.28515625" style="406" bestFit="1" customWidth="1"/>
    <col min="779" max="779" width="14" style="406" bestFit="1" customWidth="1"/>
    <col min="780" max="1020" width="11.42578125" style="406"/>
    <col min="1021" max="1021" width="23.28515625" style="406" customWidth="1"/>
    <col min="1022" max="1022" width="15" style="406" bestFit="1" customWidth="1"/>
    <col min="1023" max="1023" width="14.28515625" style="406" bestFit="1" customWidth="1"/>
    <col min="1024" max="1024" width="14.42578125" style="406" bestFit="1" customWidth="1"/>
    <col min="1025" max="1025" width="28.42578125" style="406" bestFit="1" customWidth="1"/>
    <col min="1026" max="1026" width="11.5703125" style="406" customWidth="1"/>
    <col min="1027" max="1028" width="11.5703125" style="406" bestFit="1" customWidth="1"/>
    <col min="1029" max="1029" width="11.42578125" style="406"/>
    <col min="1030" max="1031" width="13.28515625" style="406" bestFit="1" customWidth="1"/>
    <col min="1032" max="1034" width="14.28515625" style="406" bestFit="1" customWidth="1"/>
    <col min="1035" max="1035" width="14" style="406" bestFit="1" customWidth="1"/>
    <col min="1036" max="1276" width="11.42578125" style="406"/>
    <col min="1277" max="1277" width="23.28515625" style="406" customWidth="1"/>
    <col min="1278" max="1278" width="15" style="406" bestFit="1" customWidth="1"/>
    <col min="1279" max="1279" width="14.28515625" style="406" bestFit="1" customWidth="1"/>
    <col min="1280" max="1280" width="14.42578125" style="406" bestFit="1" customWidth="1"/>
    <col min="1281" max="1281" width="28.42578125" style="406" bestFit="1" customWidth="1"/>
    <col min="1282" max="1282" width="11.5703125" style="406" customWidth="1"/>
    <col min="1283" max="1284" width="11.5703125" style="406" bestFit="1" customWidth="1"/>
    <col min="1285" max="1285" width="11.42578125" style="406"/>
    <col min="1286" max="1287" width="13.28515625" style="406" bestFit="1" customWidth="1"/>
    <col min="1288" max="1290" width="14.28515625" style="406" bestFit="1" customWidth="1"/>
    <col min="1291" max="1291" width="14" style="406" bestFit="1" customWidth="1"/>
    <col min="1292" max="1532" width="11.42578125" style="406"/>
    <col min="1533" max="1533" width="23.28515625" style="406" customWidth="1"/>
    <col min="1534" max="1534" width="15" style="406" bestFit="1" customWidth="1"/>
    <col min="1535" max="1535" width="14.28515625" style="406" bestFit="1" customWidth="1"/>
    <col min="1536" max="1536" width="14.42578125" style="406" bestFit="1" customWidth="1"/>
    <col min="1537" max="1537" width="28.42578125" style="406" bestFit="1" customWidth="1"/>
    <col min="1538" max="1538" width="11.5703125" style="406" customWidth="1"/>
    <col min="1539" max="1540" width="11.5703125" style="406" bestFit="1" customWidth="1"/>
    <col min="1541" max="1541" width="11.42578125" style="406"/>
    <col min="1542" max="1543" width="13.28515625" style="406" bestFit="1" customWidth="1"/>
    <col min="1544" max="1546" width="14.28515625" style="406" bestFit="1" customWidth="1"/>
    <col min="1547" max="1547" width="14" style="406" bestFit="1" customWidth="1"/>
    <col min="1548" max="1788" width="11.42578125" style="406"/>
    <col min="1789" max="1789" width="23.28515625" style="406" customWidth="1"/>
    <col min="1790" max="1790" width="15" style="406" bestFit="1" customWidth="1"/>
    <col min="1791" max="1791" width="14.28515625" style="406" bestFit="1" customWidth="1"/>
    <col min="1792" max="1792" width="14.42578125" style="406" bestFit="1" customWidth="1"/>
    <col min="1793" max="1793" width="28.42578125" style="406" bestFit="1" customWidth="1"/>
    <col min="1794" max="1794" width="11.5703125" style="406" customWidth="1"/>
    <col min="1795" max="1796" width="11.5703125" style="406" bestFit="1" customWidth="1"/>
    <col min="1797" max="1797" width="11.42578125" style="406"/>
    <col min="1798" max="1799" width="13.28515625" style="406" bestFit="1" customWidth="1"/>
    <col min="1800" max="1802" width="14.28515625" style="406" bestFit="1" customWidth="1"/>
    <col min="1803" max="1803" width="14" style="406" bestFit="1" customWidth="1"/>
    <col min="1804" max="2044" width="11.42578125" style="406"/>
    <col min="2045" max="2045" width="23.28515625" style="406" customWidth="1"/>
    <col min="2046" max="2046" width="15" style="406" bestFit="1" customWidth="1"/>
    <col min="2047" max="2047" width="14.28515625" style="406" bestFit="1" customWidth="1"/>
    <col min="2048" max="2048" width="14.42578125" style="406" bestFit="1" customWidth="1"/>
    <col min="2049" max="2049" width="28.42578125" style="406" bestFit="1" customWidth="1"/>
    <col min="2050" max="2050" width="11.5703125" style="406" customWidth="1"/>
    <col min="2051" max="2052" width="11.5703125" style="406" bestFit="1" customWidth="1"/>
    <col min="2053" max="2053" width="11.42578125" style="406"/>
    <col min="2054" max="2055" width="13.28515625" style="406" bestFit="1" customWidth="1"/>
    <col min="2056" max="2058" width="14.28515625" style="406" bestFit="1" customWidth="1"/>
    <col min="2059" max="2059" width="14" style="406" bestFit="1" customWidth="1"/>
    <col min="2060" max="2300" width="11.42578125" style="406"/>
    <col min="2301" max="2301" width="23.28515625" style="406" customWidth="1"/>
    <col min="2302" max="2302" width="15" style="406" bestFit="1" customWidth="1"/>
    <col min="2303" max="2303" width="14.28515625" style="406" bestFit="1" customWidth="1"/>
    <col min="2304" max="2304" width="14.42578125" style="406" bestFit="1" customWidth="1"/>
    <col min="2305" max="2305" width="28.42578125" style="406" bestFit="1" customWidth="1"/>
    <col min="2306" max="2306" width="11.5703125" style="406" customWidth="1"/>
    <col min="2307" max="2308" width="11.5703125" style="406" bestFit="1" customWidth="1"/>
    <col min="2309" max="2309" width="11.42578125" style="406"/>
    <col min="2310" max="2311" width="13.28515625" style="406" bestFit="1" customWidth="1"/>
    <col min="2312" max="2314" width="14.28515625" style="406" bestFit="1" customWidth="1"/>
    <col min="2315" max="2315" width="14" style="406" bestFit="1" customWidth="1"/>
    <col min="2316" max="2556" width="11.42578125" style="406"/>
    <col min="2557" max="2557" width="23.28515625" style="406" customWidth="1"/>
    <col min="2558" max="2558" width="15" style="406" bestFit="1" customWidth="1"/>
    <col min="2559" max="2559" width="14.28515625" style="406" bestFit="1" customWidth="1"/>
    <col min="2560" max="2560" width="14.42578125" style="406" bestFit="1" customWidth="1"/>
    <col min="2561" max="2561" width="28.42578125" style="406" bestFit="1" customWidth="1"/>
    <col min="2562" max="2562" width="11.5703125" style="406" customWidth="1"/>
    <col min="2563" max="2564" width="11.5703125" style="406" bestFit="1" customWidth="1"/>
    <col min="2565" max="2565" width="11.42578125" style="406"/>
    <col min="2566" max="2567" width="13.28515625" style="406" bestFit="1" customWidth="1"/>
    <col min="2568" max="2570" width="14.28515625" style="406" bestFit="1" customWidth="1"/>
    <col min="2571" max="2571" width="14" style="406" bestFit="1" customWidth="1"/>
    <col min="2572" max="2812" width="11.42578125" style="406"/>
    <col min="2813" max="2813" width="23.28515625" style="406" customWidth="1"/>
    <col min="2814" max="2814" width="15" style="406" bestFit="1" customWidth="1"/>
    <col min="2815" max="2815" width="14.28515625" style="406" bestFit="1" customWidth="1"/>
    <col min="2816" max="2816" width="14.42578125" style="406" bestFit="1" customWidth="1"/>
    <col min="2817" max="2817" width="28.42578125" style="406" bestFit="1" customWidth="1"/>
    <col min="2818" max="2818" width="11.5703125" style="406" customWidth="1"/>
    <col min="2819" max="2820" width="11.5703125" style="406" bestFit="1" customWidth="1"/>
    <col min="2821" max="2821" width="11.42578125" style="406"/>
    <col min="2822" max="2823" width="13.28515625" style="406" bestFit="1" customWidth="1"/>
    <col min="2824" max="2826" width="14.28515625" style="406" bestFit="1" customWidth="1"/>
    <col min="2827" max="2827" width="14" style="406" bestFit="1" customWidth="1"/>
    <col min="2828" max="3068" width="11.42578125" style="406"/>
    <col min="3069" max="3069" width="23.28515625" style="406" customWidth="1"/>
    <col min="3070" max="3070" width="15" style="406" bestFit="1" customWidth="1"/>
    <col min="3071" max="3071" width="14.28515625" style="406" bestFit="1" customWidth="1"/>
    <col min="3072" max="3072" width="14.42578125" style="406" bestFit="1" customWidth="1"/>
    <col min="3073" max="3073" width="28.42578125" style="406" bestFit="1" customWidth="1"/>
    <col min="3074" max="3074" width="11.5703125" style="406" customWidth="1"/>
    <col min="3075" max="3076" width="11.5703125" style="406" bestFit="1" customWidth="1"/>
    <col min="3077" max="3077" width="11.42578125" style="406"/>
    <col min="3078" max="3079" width="13.28515625" style="406" bestFit="1" customWidth="1"/>
    <col min="3080" max="3082" width="14.28515625" style="406" bestFit="1" customWidth="1"/>
    <col min="3083" max="3083" width="14" style="406" bestFit="1" customWidth="1"/>
    <col min="3084" max="3324" width="11.42578125" style="406"/>
    <col min="3325" max="3325" width="23.28515625" style="406" customWidth="1"/>
    <col min="3326" max="3326" width="15" style="406" bestFit="1" customWidth="1"/>
    <col min="3327" max="3327" width="14.28515625" style="406" bestFit="1" customWidth="1"/>
    <col min="3328" max="3328" width="14.42578125" style="406" bestFit="1" customWidth="1"/>
    <col min="3329" max="3329" width="28.42578125" style="406" bestFit="1" customWidth="1"/>
    <col min="3330" max="3330" width="11.5703125" style="406" customWidth="1"/>
    <col min="3331" max="3332" width="11.5703125" style="406" bestFit="1" customWidth="1"/>
    <col min="3333" max="3333" width="11.42578125" style="406"/>
    <col min="3334" max="3335" width="13.28515625" style="406" bestFit="1" customWidth="1"/>
    <col min="3336" max="3338" width="14.28515625" style="406" bestFit="1" customWidth="1"/>
    <col min="3339" max="3339" width="14" style="406" bestFit="1" customWidth="1"/>
    <col min="3340" max="3580" width="11.42578125" style="406"/>
    <col min="3581" max="3581" width="23.28515625" style="406" customWidth="1"/>
    <col min="3582" max="3582" width="15" style="406" bestFit="1" customWidth="1"/>
    <col min="3583" max="3583" width="14.28515625" style="406" bestFit="1" customWidth="1"/>
    <col min="3584" max="3584" width="14.42578125" style="406" bestFit="1" customWidth="1"/>
    <col min="3585" max="3585" width="28.42578125" style="406" bestFit="1" customWidth="1"/>
    <col min="3586" max="3586" width="11.5703125" style="406" customWidth="1"/>
    <col min="3587" max="3588" width="11.5703125" style="406" bestFit="1" customWidth="1"/>
    <col min="3589" max="3589" width="11.42578125" style="406"/>
    <col min="3590" max="3591" width="13.28515625" style="406" bestFit="1" customWidth="1"/>
    <col min="3592" max="3594" width="14.28515625" style="406" bestFit="1" customWidth="1"/>
    <col min="3595" max="3595" width="14" style="406" bestFit="1" customWidth="1"/>
    <col min="3596" max="3836" width="11.42578125" style="406"/>
    <col min="3837" max="3837" width="23.28515625" style="406" customWidth="1"/>
    <col min="3838" max="3838" width="15" style="406" bestFit="1" customWidth="1"/>
    <col min="3839" max="3839" width="14.28515625" style="406" bestFit="1" customWidth="1"/>
    <col min="3840" max="3840" width="14.42578125" style="406" bestFit="1" customWidth="1"/>
    <col min="3841" max="3841" width="28.42578125" style="406" bestFit="1" customWidth="1"/>
    <col min="3842" max="3842" width="11.5703125" style="406" customWidth="1"/>
    <col min="3843" max="3844" width="11.5703125" style="406" bestFit="1" customWidth="1"/>
    <col min="3845" max="3845" width="11.42578125" style="406"/>
    <col min="3846" max="3847" width="13.28515625" style="406" bestFit="1" customWidth="1"/>
    <col min="3848" max="3850" width="14.28515625" style="406" bestFit="1" customWidth="1"/>
    <col min="3851" max="3851" width="14" style="406" bestFit="1" customWidth="1"/>
    <col min="3852" max="4092" width="11.42578125" style="406"/>
    <col min="4093" max="4093" width="23.28515625" style="406" customWidth="1"/>
    <col min="4094" max="4094" width="15" style="406" bestFit="1" customWidth="1"/>
    <col min="4095" max="4095" width="14.28515625" style="406" bestFit="1" customWidth="1"/>
    <col min="4096" max="4096" width="14.42578125" style="406" bestFit="1" customWidth="1"/>
    <col min="4097" max="4097" width="28.42578125" style="406" bestFit="1" customWidth="1"/>
    <col min="4098" max="4098" width="11.5703125" style="406" customWidth="1"/>
    <col min="4099" max="4100" width="11.5703125" style="406" bestFit="1" customWidth="1"/>
    <col min="4101" max="4101" width="11.42578125" style="406"/>
    <col min="4102" max="4103" width="13.28515625" style="406" bestFit="1" customWidth="1"/>
    <col min="4104" max="4106" width="14.28515625" style="406" bestFit="1" customWidth="1"/>
    <col min="4107" max="4107" width="14" style="406" bestFit="1" customWidth="1"/>
    <col min="4108" max="4348" width="11.42578125" style="406"/>
    <col min="4349" max="4349" width="23.28515625" style="406" customWidth="1"/>
    <col min="4350" max="4350" width="15" style="406" bestFit="1" customWidth="1"/>
    <col min="4351" max="4351" width="14.28515625" style="406" bestFit="1" customWidth="1"/>
    <col min="4352" max="4352" width="14.42578125" style="406" bestFit="1" customWidth="1"/>
    <col min="4353" max="4353" width="28.42578125" style="406" bestFit="1" customWidth="1"/>
    <col min="4354" max="4354" width="11.5703125" style="406" customWidth="1"/>
    <col min="4355" max="4356" width="11.5703125" style="406" bestFit="1" customWidth="1"/>
    <col min="4357" max="4357" width="11.42578125" style="406"/>
    <col min="4358" max="4359" width="13.28515625" style="406" bestFit="1" customWidth="1"/>
    <col min="4360" max="4362" width="14.28515625" style="406" bestFit="1" customWidth="1"/>
    <col min="4363" max="4363" width="14" style="406" bestFit="1" customWidth="1"/>
    <col min="4364" max="4604" width="11.42578125" style="406"/>
    <col min="4605" max="4605" width="23.28515625" style="406" customWidth="1"/>
    <col min="4606" max="4606" width="15" style="406" bestFit="1" customWidth="1"/>
    <col min="4607" max="4607" width="14.28515625" style="406" bestFit="1" customWidth="1"/>
    <col min="4608" max="4608" width="14.42578125" style="406" bestFit="1" customWidth="1"/>
    <col min="4609" max="4609" width="28.42578125" style="406" bestFit="1" customWidth="1"/>
    <col min="4610" max="4610" width="11.5703125" style="406" customWidth="1"/>
    <col min="4611" max="4612" width="11.5703125" style="406" bestFit="1" customWidth="1"/>
    <col min="4613" max="4613" width="11.42578125" style="406"/>
    <col min="4614" max="4615" width="13.28515625" style="406" bestFit="1" customWidth="1"/>
    <col min="4616" max="4618" width="14.28515625" style="406" bestFit="1" customWidth="1"/>
    <col min="4619" max="4619" width="14" style="406" bestFit="1" customWidth="1"/>
    <col min="4620" max="4860" width="11.42578125" style="406"/>
    <col min="4861" max="4861" width="23.28515625" style="406" customWidth="1"/>
    <col min="4862" max="4862" width="15" style="406" bestFit="1" customWidth="1"/>
    <col min="4863" max="4863" width="14.28515625" style="406" bestFit="1" customWidth="1"/>
    <col min="4864" max="4864" width="14.42578125" style="406" bestFit="1" customWidth="1"/>
    <col min="4865" max="4865" width="28.42578125" style="406" bestFit="1" customWidth="1"/>
    <col min="4866" max="4866" width="11.5703125" style="406" customWidth="1"/>
    <col min="4867" max="4868" width="11.5703125" style="406" bestFit="1" customWidth="1"/>
    <col min="4869" max="4869" width="11.42578125" style="406"/>
    <col min="4870" max="4871" width="13.28515625" style="406" bestFit="1" customWidth="1"/>
    <col min="4872" max="4874" width="14.28515625" style="406" bestFit="1" customWidth="1"/>
    <col min="4875" max="4875" width="14" style="406" bestFit="1" customWidth="1"/>
    <col min="4876" max="5116" width="11.42578125" style="406"/>
    <col min="5117" max="5117" width="23.28515625" style="406" customWidth="1"/>
    <col min="5118" max="5118" width="15" style="406" bestFit="1" customWidth="1"/>
    <col min="5119" max="5119" width="14.28515625" style="406" bestFit="1" customWidth="1"/>
    <col min="5120" max="5120" width="14.42578125" style="406" bestFit="1" customWidth="1"/>
    <col min="5121" max="5121" width="28.42578125" style="406" bestFit="1" customWidth="1"/>
    <col min="5122" max="5122" width="11.5703125" style="406" customWidth="1"/>
    <col min="5123" max="5124" width="11.5703125" style="406" bestFit="1" customWidth="1"/>
    <col min="5125" max="5125" width="11.42578125" style="406"/>
    <col min="5126" max="5127" width="13.28515625" style="406" bestFit="1" customWidth="1"/>
    <col min="5128" max="5130" width="14.28515625" style="406" bestFit="1" customWidth="1"/>
    <col min="5131" max="5131" width="14" style="406" bestFit="1" customWidth="1"/>
    <col min="5132" max="5372" width="11.42578125" style="406"/>
    <col min="5373" max="5373" width="23.28515625" style="406" customWidth="1"/>
    <col min="5374" max="5374" width="15" style="406" bestFit="1" customWidth="1"/>
    <col min="5375" max="5375" width="14.28515625" style="406" bestFit="1" customWidth="1"/>
    <col min="5376" max="5376" width="14.42578125" style="406" bestFit="1" customWidth="1"/>
    <col min="5377" max="5377" width="28.42578125" style="406" bestFit="1" customWidth="1"/>
    <col min="5378" max="5378" width="11.5703125" style="406" customWidth="1"/>
    <col min="5379" max="5380" width="11.5703125" style="406" bestFit="1" customWidth="1"/>
    <col min="5381" max="5381" width="11.42578125" style="406"/>
    <col min="5382" max="5383" width="13.28515625" style="406" bestFit="1" customWidth="1"/>
    <col min="5384" max="5386" width="14.28515625" style="406" bestFit="1" customWidth="1"/>
    <col min="5387" max="5387" width="14" style="406" bestFit="1" customWidth="1"/>
    <col min="5388" max="5628" width="11.42578125" style="406"/>
    <col min="5629" max="5629" width="23.28515625" style="406" customWidth="1"/>
    <col min="5630" max="5630" width="15" style="406" bestFit="1" customWidth="1"/>
    <col min="5631" max="5631" width="14.28515625" style="406" bestFit="1" customWidth="1"/>
    <col min="5632" max="5632" width="14.42578125" style="406" bestFit="1" customWidth="1"/>
    <col min="5633" max="5633" width="28.42578125" style="406" bestFit="1" customWidth="1"/>
    <col min="5634" max="5634" width="11.5703125" style="406" customWidth="1"/>
    <col min="5635" max="5636" width="11.5703125" style="406" bestFit="1" customWidth="1"/>
    <col min="5637" max="5637" width="11.42578125" style="406"/>
    <col min="5638" max="5639" width="13.28515625" style="406" bestFit="1" customWidth="1"/>
    <col min="5640" max="5642" width="14.28515625" style="406" bestFit="1" customWidth="1"/>
    <col min="5643" max="5643" width="14" style="406" bestFit="1" customWidth="1"/>
    <col min="5644" max="5884" width="11.42578125" style="406"/>
    <col min="5885" max="5885" width="23.28515625" style="406" customWidth="1"/>
    <col min="5886" max="5886" width="15" style="406" bestFit="1" customWidth="1"/>
    <col min="5887" max="5887" width="14.28515625" style="406" bestFit="1" customWidth="1"/>
    <col min="5888" max="5888" width="14.42578125" style="406" bestFit="1" customWidth="1"/>
    <col min="5889" max="5889" width="28.42578125" style="406" bestFit="1" customWidth="1"/>
    <col min="5890" max="5890" width="11.5703125" style="406" customWidth="1"/>
    <col min="5891" max="5892" width="11.5703125" style="406" bestFit="1" customWidth="1"/>
    <col min="5893" max="5893" width="11.42578125" style="406"/>
    <col min="5894" max="5895" width="13.28515625" style="406" bestFit="1" customWidth="1"/>
    <col min="5896" max="5898" width="14.28515625" style="406" bestFit="1" customWidth="1"/>
    <col min="5899" max="5899" width="14" style="406" bestFit="1" customWidth="1"/>
    <col min="5900" max="6140" width="11.42578125" style="406"/>
    <col min="6141" max="6141" width="23.28515625" style="406" customWidth="1"/>
    <col min="6142" max="6142" width="15" style="406" bestFit="1" customWidth="1"/>
    <col min="6143" max="6143" width="14.28515625" style="406" bestFit="1" customWidth="1"/>
    <col min="6144" max="6144" width="14.42578125" style="406" bestFit="1" customWidth="1"/>
    <col min="6145" max="6145" width="28.42578125" style="406" bestFit="1" customWidth="1"/>
    <col min="6146" max="6146" width="11.5703125" style="406" customWidth="1"/>
    <col min="6147" max="6148" width="11.5703125" style="406" bestFit="1" customWidth="1"/>
    <col min="6149" max="6149" width="11.42578125" style="406"/>
    <col min="6150" max="6151" width="13.28515625" style="406" bestFit="1" customWidth="1"/>
    <col min="6152" max="6154" width="14.28515625" style="406" bestFit="1" customWidth="1"/>
    <col min="6155" max="6155" width="14" style="406" bestFit="1" customWidth="1"/>
    <col min="6156" max="6396" width="11.42578125" style="406"/>
    <col min="6397" max="6397" width="23.28515625" style="406" customWidth="1"/>
    <col min="6398" max="6398" width="15" style="406" bestFit="1" customWidth="1"/>
    <col min="6399" max="6399" width="14.28515625" style="406" bestFit="1" customWidth="1"/>
    <col min="6400" max="6400" width="14.42578125" style="406" bestFit="1" customWidth="1"/>
    <col min="6401" max="6401" width="28.42578125" style="406" bestFit="1" customWidth="1"/>
    <col min="6402" max="6402" width="11.5703125" style="406" customWidth="1"/>
    <col min="6403" max="6404" width="11.5703125" style="406" bestFit="1" customWidth="1"/>
    <col min="6405" max="6405" width="11.42578125" style="406"/>
    <col min="6406" max="6407" width="13.28515625" style="406" bestFit="1" customWidth="1"/>
    <col min="6408" max="6410" width="14.28515625" style="406" bestFit="1" customWidth="1"/>
    <col min="6411" max="6411" width="14" style="406" bestFit="1" customWidth="1"/>
    <col min="6412" max="6652" width="11.42578125" style="406"/>
    <col min="6653" max="6653" width="23.28515625" style="406" customWidth="1"/>
    <col min="6654" max="6654" width="15" style="406" bestFit="1" customWidth="1"/>
    <col min="6655" max="6655" width="14.28515625" style="406" bestFit="1" customWidth="1"/>
    <col min="6656" max="6656" width="14.42578125" style="406" bestFit="1" customWidth="1"/>
    <col min="6657" max="6657" width="28.42578125" style="406" bestFit="1" customWidth="1"/>
    <col min="6658" max="6658" width="11.5703125" style="406" customWidth="1"/>
    <col min="6659" max="6660" width="11.5703125" style="406" bestFit="1" customWidth="1"/>
    <col min="6661" max="6661" width="11.42578125" style="406"/>
    <col min="6662" max="6663" width="13.28515625" style="406" bestFit="1" customWidth="1"/>
    <col min="6664" max="6666" width="14.28515625" style="406" bestFit="1" customWidth="1"/>
    <col min="6667" max="6667" width="14" style="406" bestFit="1" customWidth="1"/>
    <col min="6668" max="6908" width="11.42578125" style="406"/>
    <col min="6909" max="6909" width="23.28515625" style="406" customWidth="1"/>
    <col min="6910" max="6910" width="15" style="406" bestFit="1" customWidth="1"/>
    <col min="6911" max="6911" width="14.28515625" style="406" bestFit="1" customWidth="1"/>
    <col min="6912" max="6912" width="14.42578125" style="406" bestFit="1" customWidth="1"/>
    <col min="6913" max="6913" width="28.42578125" style="406" bestFit="1" customWidth="1"/>
    <col min="6914" max="6914" width="11.5703125" style="406" customWidth="1"/>
    <col min="6915" max="6916" width="11.5703125" style="406" bestFit="1" customWidth="1"/>
    <col min="6917" max="6917" width="11.42578125" style="406"/>
    <col min="6918" max="6919" width="13.28515625" style="406" bestFit="1" customWidth="1"/>
    <col min="6920" max="6922" width="14.28515625" style="406" bestFit="1" customWidth="1"/>
    <col min="6923" max="6923" width="14" style="406" bestFit="1" customWidth="1"/>
    <col min="6924" max="7164" width="11.42578125" style="406"/>
    <col min="7165" max="7165" width="23.28515625" style="406" customWidth="1"/>
    <col min="7166" max="7166" width="15" style="406" bestFit="1" customWidth="1"/>
    <col min="7167" max="7167" width="14.28515625" style="406" bestFit="1" customWidth="1"/>
    <col min="7168" max="7168" width="14.42578125" style="406" bestFit="1" customWidth="1"/>
    <col min="7169" max="7169" width="28.42578125" style="406" bestFit="1" customWidth="1"/>
    <col min="7170" max="7170" width="11.5703125" style="406" customWidth="1"/>
    <col min="7171" max="7172" width="11.5703125" style="406" bestFit="1" customWidth="1"/>
    <col min="7173" max="7173" width="11.42578125" style="406"/>
    <col min="7174" max="7175" width="13.28515625" style="406" bestFit="1" customWidth="1"/>
    <col min="7176" max="7178" width="14.28515625" style="406" bestFit="1" customWidth="1"/>
    <col min="7179" max="7179" width="14" style="406" bestFit="1" customWidth="1"/>
    <col min="7180" max="7420" width="11.42578125" style="406"/>
    <col min="7421" max="7421" width="23.28515625" style="406" customWidth="1"/>
    <col min="7422" max="7422" width="15" style="406" bestFit="1" customWidth="1"/>
    <col min="7423" max="7423" width="14.28515625" style="406" bestFit="1" customWidth="1"/>
    <col min="7424" max="7424" width="14.42578125" style="406" bestFit="1" customWidth="1"/>
    <col min="7425" max="7425" width="28.42578125" style="406" bestFit="1" customWidth="1"/>
    <col min="7426" max="7426" width="11.5703125" style="406" customWidth="1"/>
    <col min="7427" max="7428" width="11.5703125" style="406" bestFit="1" customWidth="1"/>
    <col min="7429" max="7429" width="11.42578125" style="406"/>
    <col min="7430" max="7431" width="13.28515625" style="406" bestFit="1" customWidth="1"/>
    <col min="7432" max="7434" width="14.28515625" style="406" bestFit="1" customWidth="1"/>
    <col min="7435" max="7435" width="14" style="406" bestFit="1" customWidth="1"/>
    <col min="7436" max="7676" width="11.42578125" style="406"/>
    <col min="7677" max="7677" width="23.28515625" style="406" customWidth="1"/>
    <col min="7678" max="7678" width="15" style="406" bestFit="1" customWidth="1"/>
    <col min="7679" max="7679" width="14.28515625" style="406" bestFit="1" customWidth="1"/>
    <col min="7680" max="7680" width="14.42578125" style="406" bestFit="1" customWidth="1"/>
    <col min="7681" max="7681" width="28.42578125" style="406" bestFit="1" customWidth="1"/>
    <col min="7682" max="7682" width="11.5703125" style="406" customWidth="1"/>
    <col min="7683" max="7684" width="11.5703125" style="406" bestFit="1" customWidth="1"/>
    <col min="7685" max="7685" width="11.42578125" style="406"/>
    <col min="7686" max="7687" width="13.28515625" style="406" bestFit="1" customWidth="1"/>
    <col min="7688" max="7690" width="14.28515625" style="406" bestFit="1" customWidth="1"/>
    <col min="7691" max="7691" width="14" style="406" bestFit="1" customWidth="1"/>
    <col min="7692" max="7932" width="11.42578125" style="406"/>
    <col min="7933" max="7933" width="23.28515625" style="406" customWidth="1"/>
    <col min="7934" max="7934" width="15" style="406" bestFit="1" customWidth="1"/>
    <col min="7935" max="7935" width="14.28515625" style="406" bestFit="1" customWidth="1"/>
    <col min="7936" max="7936" width="14.42578125" style="406" bestFit="1" customWidth="1"/>
    <col min="7937" max="7937" width="28.42578125" style="406" bestFit="1" customWidth="1"/>
    <col min="7938" max="7938" width="11.5703125" style="406" customWidth="1"/>
    <col min="7939" max="7940" width="11.5703125" style="406" bestFit="1" customWidth="1"/>
    <col min="7941" max="7941" width="11.42578125" style="406"/>
    <col min="7942" max="7943" width="13.28515625" style="406" bestFit="1" customWidth="1"/>
    <col min="7944" max="7946" width="14.28515625" style="406" bestFit="1" customWidth="1"/>
    <col min="7947" max="7947" width="14" style="406" bestFit="1" customWidth="1"/>
    <col min="7948" max="8188" width="11.42578125" style="406"/>
    <col min="8189" max="8189" width="23.28515625" style="406" customWidth="1"/>
    <col min="8190" max="8190" width="15" style="406" bestFit="1" customWidth="1"/>
    <col min="8191" max="8191" width="14.28515625" style="406" bestFit="1" customWidth="1"/>
    <col min="8192" max="8192" width="14.42578125" style="406" bestFit="1" customWidth="1"/>
    <col min="8193" max="8193" width="28.42578125" style="406" bestFit="1" customWidth="1"/>
    <col min="8194" max="8194" width="11.5703125" style="406" customWidth="1"/>
    <col min="8195" max="8196" width="11.5703125" style="406" bestFit="1" customWidth="1"/>
    <col min="8197" max="8197" width="11.42578125" style="406"/>
    <col min="8198" max="8199" width="13.28515625" style="406" bestFit="1" customWidth="1"/>
    <col min="8200" max="8202" width="14.28515625" style="406" bestFit="1" customWidth="1"/>
    <col min="8203" max="8203" width="14" style="406" bestFit="1" customWidth="1"/>
    <col min="8204" max="8444" width="11.42578125" style="406"/>
    <col min="8445" max="8445" width="23.28515625" style="406" customWidth="1"/>
    <col min="8446" max="8446" width="15" style="406" bestFit="1" customWidth="1"/>
    <col min="8447" max="8447" width="14.28515625" style="406" bestFit="1" customWidth="1"/>
    <col min="8448" max="8448" width="14.42578125" style="406" bestFit="1" customWidth="1"/>
    <col min="8449" max="8449" width="28.42578125" style="406" bestFit="1" customWidth="1"/>
    <col min="8450" max="8450" width="11.5703125" style="406" customWidth="1"/>
    <col min="8451" max="8452" width="11.5703125" style="406" bestFit="1" customWidth="1"/>
    <col min="8453" max="8453" width="11.42578125" style="406"/>
    <col min="8454" max="8455" width="13.28515625" style="406" bestFit="1" customWidth="1"/>
    <col min="8456" max="8458" width="14.28515625" style="406" bestFit="1" customWidth="1"/>
    <col min="8459" max="8459" width="14" style="406" bestFit="1" customWidth="1"/>
    <col min="8460" max="8700" width="11.42578125" style="406"/>
    <col min="8701" max="8701" width="23.28515625" style="406" customWidth="1"/>
    <col min="8702" max="8702" width="15" style="406" bestFit="1" customWidth="1"/>
    <col min="8703" max="8703" width="14.28515625" style="406" bestFit="1" customWidth="1"/>
    <col min="8704" max="8704" width="14.42578125" style="406" bestFit="1" customWidth="1"/>
    <col min="8705" max="8705" width="28.42578125" style="406" bestFit="1" customWidth="1"/>
    <col min="8706" max="8706" width="11.5703125" style="406" customWidth="1"/>
    <col min="8707" max="8708" width="11.5703125" style="406" bestFit="1" customWidth="1"/>
    <col min="8709" max="8709" width="11.42578125" style="406"/>
    <col min="8710" max="8711" width="13.28515625" style="406" bestFit="1" customWidth="1"/>
    <col min="8712" max="8714" width="14.28515625" style="406" bestFit="1" customWidth="1"/>
    <col min="8715" max="8715" width="14" style="406" bestFit="1" customWidth="1"/>
    <col min="8716" max="8956" width="11.42578125" style="406"/>
    <col min="8957" max="8957" width="23.28515625" style="406" customWidth="1"/>
    <col min="8958" max="8958" width="15" style="406" bestFit="1" customWidth="1"/>
    <col min="8959" max="8959" width="14.28515625" style="406" bestFit="1" customWidth="1"/>
    <col min="8960" max="8960" width="14.42578125" style="406" bestFit="1" customWidth="1"/>
    <col min="8961" max="8961" width="28.42578125" style="406" bestFit="1" customWidth="1"/>
    <col min="8962" max="8962" width="11.5703125" style="406" customWidth="1"/>
    <col min="8963" max="8964" width="11.5703125" style="406" bestFit="1" customWidth="1"/>
    <col min="8965" max="8965" width="11.42578125" style="406"/>
    <col min="8966" max="8967" width="13.28515625" style="406" bestFit="1" customWidth="1"/>
    <col min="8968" max="8970" width="14.28515625" style="406" bestFit="1" customWidth="1"/>
    <col min="8971" max="8971" width="14" style="406" bestFit="1" customWidth="1"/>
    <col min="8972" max="9212" width="11.42578125" style="406"/>
    <col min="9213" max="9213" width="23.28515625" style="406" customWidth="1"/>
    <col min="9214" max="9214" width="15" style="406" bestFit="1" customWidth="1"/>
    <col min="9215" max="9215" width="14.28515625" style="406" bestFit="1" customWidth="1"/>
    <col min="9216" max="9216" width="14.42578125" style="406" bestFit="1" customWidth="1"/>
    <col min="9217" max="9217" width="28.42578125" style="406" bestFit="1" customWidth="1"/>
    <col min="9218" max="9218" width="11.5703125" style="406" customWidth="1"/>
    <col min="9219" max="9220" width="11.5703125" style="406" bestFit="1" customWidth="1"/>
    <col min="9221" max="9221" width="11.42578125" style="406"/>
    <col min="9222" max="9223" width="13.28515625" style="406" bestFit="1" customWidth="1"/>
    <col min="9224" max="9226" width="14.28515625" style="406" bestFit="1" customWidth="1"/>
    <col min="9227" max="9227" width="14" style="406" bestFit="1" customWidth="1"/>
    <col min="9228" max="9468" width="11.42578125" style="406"/>
    <col min="9469" max="9469" width="23.28515625" style="406" customWidth="1"/>
    <col min="9470" max="9470" width="15" style="406" bestFit="1" customWidth="1"/>
    <col min="9471" max="9471" width="14.28515625" style="406" bestFit="1" customWidth="1"/>
    <col min="9472" max="9472" width="14.42578125" style="406" bestFit="1" customWidth="1"/>
    <col min="9473" max="9473" width="28.42578125" style="406" bestFit="1" customWidth="1"/>
    <col min="9474" max="9474" width="11.5703125" style="406" customWidth="1"/>
    <col min="9475" max="9476" width="11.5703125" style="406" bestFit="1" customWidth="1"/>
    <col min="9477" max="9477" width="11.42578125" style="406"/>
    <col min="9478" max="9479" width="13.28515625" style="406" bestFit="1" customWidth="1"/>
    <col min="9480" max="9482" width="14.28515625" style="406" bestFit="1" customWidth="1"/>
    <col min="9483" max="9483" width="14" style="406" bestFit="1" customWidth="1"/>
    <col min="9484" max="9724" width="11.42578125" style="406"/>
    <col min="9725" max="9725" width="23.28515625" style="406" customWidth="1"/>
    <col min="9726" max="9726" width="15" style="406" bestFit="1" customWidth="1"/>
    <col min="9727" max="9727" width="14.28515625" style="406" bestFit="1" customWidth="1"/>
    <col min="9728" max="9728" width="14.42578125" style="406" bestFit="1" customWidth="1"/>
    <col min="9729" max="9729" width="28.42578125" style="406" bestFit="1" customWidth="1"/>
    <col min="9730" max="9730" width="11.5703125" style="406" customWidth="1"/>
    <col min="9731" max="9732" width="11.5703125" style="406" bestFit="1" customWidth="1"/>
    <col min="9733" max="9733" width="11.42578125" style="406"/>
    <col min="9734" max="9735" width="13.28515625" style="406" bestFit="1" customWidth="1"/>
    <col min="9736" max="9738" width="14.28515625" style="406" bestFit="1" customWidth="1"/>
    <col min="9739" max="9739" width="14" style="406" bestFit="1" customWidth="1"/>
    <col min="9740" max="9980" width="11.42578125" style="406"/>
    <col min="9981" max="9981" width="23.28515625" style="406" customWidth="1"/>
    <col min="9982" max="9982" width="15" style="406" bestFit="1" customWidth="1"/>
    <col min="9983" max="9983" width="14.28515625" style="406" bestFit="1" customWidth="1"/>
    <col min="9984" max="9984" width="14.42578125" style="406" bestFit="1" customWidth="1"/>
    <col min="9985" max="9985" width="28.42578125" style="406" bestFit="1" customWidth="1"/>
    <col min="9986" max="9986" width="11.5703125" style="406" customWidth="1"/>
    <col min="9987" max="9988" width="11.5703125" style="406" bestFit="1" customWidth="1"/>
    <col min="9989" max="9989" width="11.42578125" style="406"/>
    <col min="9990" max="9991" width="13.28515625" style="406" bestFit="1" customWidth="1"/>
    <col min="9992" max="9994" width="14.28515625" style="406" bestFit="1" customWidth="1"/>
    <col min="9995" max="9995" width="14" style="406" bestFit="1" customWidth="1"/>
    <col min="9996" max="10236" width="11.42578125" style="406"/>
    <col min="10237" max="10237" width="23.28515625" style="406" customWidth="1"/>
    <col min="10238" max="10238" width="15" style="406" bestFit="1" customWidth="1"/>
    <col min="10239" max="10239" width="14.28515625" style="406" bestFit="1" customWidth="1"/>
    <col min="10240" max="10240" width="14.42578125" style="406" bestFit="1" customWidth="1"/>
    <col min="10241" max="10241" width="28.42578125" style="406" bestFit="1" customWidth="1"/>
    <col min="10242" max="10242" width="11.5703125" style="406" customWidth="1"/>
    <col min="10243" max="10244" width="11.5703125" style="406" bestFit="1" customWidth="1"/>
    <col min="10245" max="10245" width="11.42578125" style="406"/>
    <col min="10246" max="10247" width="13.28515625" style="406" bestFit="1" customWidth="1"/>
    <col min="10248" max="10250" width="14.28515625" style="406" bestFit="1" customWidth="1"/>
    <col min="10251" max="10251" width="14" style="406" bestFit="1" customWidth="1"/>
    <col min="10252" max="10492" width="11.42578125" style="406"/>
    <col min="10493" max="10493" width="23.28515625" style="406" customWidth="1"/>
    <col min="10494" max="10494" width="15" style="406" bestFit="1" customWidth="1"/>
    <col min="10495" max="10495" width="14.28515625" style="406" bestFit="1" customWidth="1"/>
    <col min="10496" max="10496" width="14.42578125" style="406" bestFit="1" customWidth="1"/>
    <col min="10497" max="10497" width="28.42578125" style="406" bestFit="1" customWidth="1"/>
    <col min="10498" max="10498" width="11.5703125" style="406" customWidth="1"/>
    <col min="10499" max="10500" width="11.5703125" style="406" bestFit="1" customWidth="1"/>
    <col min="10501" max="10501" width="11.42578125" style="406"/>
    <col min="10502" max="10503" width="13.28515625" style="406" bestFit="1" customWidth="1"/>
    <col min="10504" max="10506" width="14.28515625" style="406" bestFit="1" customWidth="1"/>
    <col min="10507" max="10507" width="14" style="406" bestFit="1" customWidth="1"/>
    <col min="10508" max="10748" width="11.42578125" style="406"/>
    <col min="10749" max="10749" width="23.28515625" style="406" customWidth="1"/>
    <col min="10750" max="10750" width="15" style="406" bestFit="1" customWidth="1"/>
    <col min="10751" max="10751" width="14.28515625" style="406" bestFit="1" customWidth="1"/>
    <col min="10752" max="10752" width="14.42578125" style="406" bestFit="1" customWidth="1"/>
    <col min="10753" max="10753" width="28.42578125" style="406" bestFit="1" customWidth="1"/>
    <col min="10754" max="10754" width="11.5703125" style="406" customWidth="1"/>
    <col min="10755" max="10756" width="11.5703125" style="406" bestFit="1" customWidth="1"/>
    <col min="10757" max="10757" width="11.42578125" style="406"/>
    <col min="10758" max="10759" width="13.28515625" style="406" bestFit="1" customWidth="1"/>
    <col min="10760" max="10762" width="14.28515625" style="406" bestFit="1" customWidth="1"/>
    <col min="10763" max="10763" width="14" style="406" bestFit="1" customWidth="1"/>
    <col min="10764" max="11004" width="11.42578125" style="406"/>
    <col min="11005" max="11005" width="23.28515625" style="406" customWidth="1"/>
    <col min="11006" max="11006" width="15" style="406" bestFit="1" customWidth="1"/>
    <col min="11007" max="11007" width="14.28515625" style="406" bestFit="1" customWidth="1"/>
    <col min="11008" max="11008" width="14.42578125" style="406" bestFit="1" customWidth="1"/>
    <col min="11009" max="11009" width="28.42578125" style="406" bestFit="1" customWidth="1"/>
    <col min="11010" max="11010" width="11.5703125" style="406" customWidth="1"/>
    <col min="11011" max="11012" width="11.5703125" style="406" bestFit="1" customWidth="1"/>
    <col min="11013" max="11013" width="11.42578125" style="406"/>
    <col min="11014" max="11015" width="13.28515625" style="406" bestFit="1" customWidth="1"/>
    <col min="11016" max="11018" width="14.28515625" style="406" bestFit="1" customWidth="1"/>
    <col min="11019" max="11019" width="14" style="406" bestFit="1" customWidth="1"/>
    <col min="11020" max="11260" width="11.42578125" style="406"/>
    <col min="11261" max="11261" width="23.28515625" style="406" customWidth="1"/>
    <col min="11262" max="11262" width="15" style="406" bestFit="1" customWidth="1"/>
    <col min="11263" max="11263" width="14.28515625" style="406" bestFit="1" customWidth="1"/>
    <col min="11264" max="11264" width="14.42578125" style="406" bestFit="1" customWidth="1"/>
    <col min="11265" max="11265" width="28.42578125" style="406" bestFit="1" customWidth="1"/>
    <col min="11266" max="11266" width="11.5703125" style="406" customWidth="1"/>
    <col min="11267" max="11268" width="11.5703125" style="406" bestFit="1" customWidth="1"/>
    <col min="11269" max="11269" width="11.42578125" style="406"/>
    <col min="11270" max="11271" width="13.28515625" style="406" bestFit="1" customWidth="1"/>
    <col min="11272" max="11274" width="14.28515625" style="406" bestFit="1" customWidth="1"/>
    <col min="11275" max="11275" width="14" style="406" bestFit="1" customWidth="1"/>
    <col min="11276" max="11516" width="11.42578125" style="406"/>
    <col min="11517" max="11517" width="23.28515625" style="406" customWidth="1"/>
    <col min="11518" max="11518" width="15" style="406" bestFit="1" customWidth="1"/>
    <col min="11519" max="11519" width="14.28515625" style="406" bestFit="1" customWidth="1"/>
    <col min="11520" max="11520" width="14.42578125" style="406" bestFit="1" customWidth="1"/>
    <col min="11521" max="11521" width="28.42578125" style="406" bestFit="1" customWidth="1"/>
    <col min="11522" max="11522" width="11.5703125" style="406" customWidth="1"/>
    <col min="11523" max="11524" width="11.5703125" style="406" bestFit="1" customWidth="1"/>
    <col min="11525" max="11525" width="11.42578125" style="406"/>
    <col min="11526" max="11527" width="13.28515625" style="406" bestFit="1" customWidth="1"/>
    <col min="11528" max="11530" width="14.28515625" style="406" bestFit="1" customWidth="1"/>
    <col min="11531" max="11531" width="14" style="406" bestFit="1" customWidth="1"/>
    <col min="11532" max="11772" width="11.42578125" style="406"/>
    <col min="11773" max="11773" width="23.28515625" style="406" customWidth="1"/>
    <col min="11774" max="11774" width="15" style="406" bestFit="1" customWidth="1"/>
    <col min="11775" max="11775" width="14.28515625" style="406" bestFit="1" customWidth="1"/>
    <col min="11776" max="11776" width="14.42578125" style="406" bestFit="1" customWidth="1"/>
    <col min="11777" max="11777" width="28.42578125" style="406" bestFit="1" customWidth="1"/>
    <col min="11778" max="11778" width="11.5703125" style="406" customWidth="1"/>
    <col min="11779" max="11780" width="11.5703125" style="406" bestFit="1" customWidth="1"/>
    <col min="11781" max="11781" width="11.42578125" style="406"/>
    <col min="11782" max="11783" width="13.28515625" style="406" bestFit="1" customWidth="1"/>
    <col min="11784" max="11786" width="14.28515625" style="406" bestFit="1" customWidth="1"/>
    <col min="11787" max="11787" width="14" style="406" bestFit="1" customWidth="1"/>
    <col min="11788" max="12028" width="11.42578125" style="406"/>
    <col min="12029" max="12029" width="23.28515625" style="406" customWidth="1"/>
    <col min="12030" max="12030" width="15" style="406" bestFit="1" customWidth="1"/>
    <col min="12031" max="12031" width="14.28515625" style="406" bestFit="1" customWidth="1"/>
    <col min="12032" max="12032" width="14.42578125" style="406" bestFit="1" customWidth="1"/>
    <col min="12033" max="12033" width="28.42578125" style="406" bestFit="1" customWidth="1"/>
    <col min="12034" max="12034" width="11.5703125" style="406" customWidth="1"/>
    <col min="12035" max="12036" width="11.5703125" style="406" bestFit="1" customWidth="1"/>
    <col min="12037" max="12037" width="11.42578125" style="406"/>
    <col min="12038" max="12039" width="13.28515625" style="406" bestFit="1" customWidth="1"/>
    <col min="12040" max="12042" width="14.28515625" style="406" bestFit="1" customWidth="1"/>
    <col min="12043" max="12043" width="14" style="406" bestFit="1" customWidth="1"/>
    <col min="12044" max="12284" width="11.42578125" style="406"/>
    <col min="12285" max="12285" width="23.28515625" style="406" customWidth="1"/>
    <col min="12286" max="12286" width="15" style="406" bestFit="1" customWidth="1"/>
    <col min="12287" max="12287" width="14.28515625" style="406" bestFit="1" customWidth="1"/>
    <col min="12288" max="12288" width="14.42578125" style="406" bestFit="1" customWidth="1"/>
    <col min="12289" max="12289" width="28.42578125" style="406" bestFit="1" customWidth="1"/>
    <col min="12290" max="12290" width="11.5703125" style="406" customWidth="1"/>
    <col min="12291" max="12292" width="11.5703125" style="406" bestFit="1" customWidth="1"/>
    <col min="12293" max="12293" width="11.42578125" style="406"/>
    <col min="12294" max="12295" width="13.28515625" style="406" bestFit="1" customWidth="1"/>
    <col min="12296" max="12298" width="14.28515625" style="406" bestFit="1" customWidth="1"/>
    <col min="12299" max="12299" width="14" style="406" bestFit="1" customWidth="1"/>
    <col min="12300" max="12540" width="11.42578125" style="406"/>
    <col min="12541" max="12541" width="23.28515625" style="406" customWidth="1"/>
    <col min="12542" max="12542" width="15" style="406" bestFit="1" customWidth="1"/>
    <col min="12543" max="12543" width="14.28515625" style="406" bestFit="1" customWidth="1"/>
    <col min="12544" max="12544" width="14.42578125" style="406" bestFit="1" customWidth="1"/>
    <col min="12545" max="12545" width="28.42578125" style="406" bestFit="1" customWidth="1"/>
    <col min="12546" max="12546" width="11.5703125" style="406" customWidth="1"/>
    <col min="12547" max="12548" width="11.5703125" style="406" bestFit="1" customWidth="1"/>
    <col min="12549" max="12549" width="11.42578125" style="406"/>
    <col min="12550" max="12551" width="13.28515625" style="406" bestFit="1" customWidth="1"/>
    <col min="12552" max="12554" width="14.28515625" style="406" bestFit="1" customWidth="1"/>
    <col min="12555" max="12555" width="14" style="406" bestFit="1" customWidth="1"/>
    <col min="12556" max="12796" width="11.42578125" style="406"/>
    <col min="12797" max="12797" width="23.28515625" style="406" customWidth="1"/>
    <col min="12798" max="12798" width="15" style="406" bestFit="1" customWidth="1"/>
    <col min="12799" max="12799" width="14.28515625" style="406" bestFit="1" customWidth="1"/>
    <col min="12800" max="12800" width="14.42578125" style="406" bestFit="1" customWidth="1"/>
    <col min="12801" max="12801" width="28.42578125" style="406" bestFit="1" customWidth="1"/>
    <col min="12802" max="12802" width="11.5703125" style="406" customWidth="1"/>
    <col min="12803" max="12804" width="11.5703125" style="406" bestFit="1" customWidth="1"/>
    <col min="12805" max="12805" width="11.42578125" style="406"/>
    <col min="12806" max="12807" width="13.28515625" style="406" bestFit="1" customWidth="1"/>
    <col min="12808" max="12810" width="14.28515625" style="406" bestFit="1" customWidth="1"/>
    <col min="12811" max="12811" width="14" style="406" bestFit="1" customWidth="1"/>
    <col min="12812" max="13052" width="11.42578125" style="406"/>
    <col min="13053" max="13053" width="23.28515625" style="406" customWidth="1"/>
    <col min="13054" max="13054" width="15" style="406" bestFit="1" customWidth="1"/>
    <col min="13055" max="13055" width="14.28515625" style="406" bestFit="1" customWidth="1"/>
    <col min="13056" max="13056" width="14.42578125" style="406" bestFit="1" customWidth="1"/>
    <col min="13057" max="13057" width="28.42578125" style="406" bestFit="1" customWidth="1"/>
    <col min="13058" max="13058" width="11.5703125" style="406" customWidth="1"/>
    <col min="13059" max="13060" width="11.5703125" style="406" bestFit="1" customWidth="1"/>
    <col min="13061" max="13061" width="11.42578125" style="406"/>
    <col min="13062" max="13063" width="13.28515625" style="406" bestFit="1" customWidth="1"/>
    <col min="13064" max="13066" width="14.28515625" style="406" bestFit="1" customWidth="1"/>
    <col min="13067" max="13067" width="14" style="406" bestFit="1" customWidth="1"/>
    <col min="13068" max="13308" width="11.42578125" style="406"/>
    <col min="13309" max="13309" width="23.28515625" style="406" customWidth="1"/>
    <col min="13310" max="13310" width="15" style="406" bestFit="1" customWidth="1"/>
    <col min="13311" max="13311" width="14.28515625" style="406" bestFit="1" customWidth="1"/>
    <col min="13312" max="13312" width="14.42578125" style="406" bestFit="1" customWidth="1"/>
    <col min="13313" max="13313" width="28.42578125" style="406" bestFit="1" customWidth="1"/>
    <col min="13314" max="13314" width="11.5703125" style="406" customWidth="1"/>
    <col min="13315" max="13316" width="11.5703125" style="406" bestFit="1" customWidth="1"/>
    <col min="13317" max="13317" width="11.42578125" style="406"/>
    <col min="13318" max="13319" width="13.28515625" style="406" bestFit="1" customWidth="1"/>
    <col min="13320" max="13322" width="14.28515625" style="406" bestFit="1" customWidth="1"/>
    <col min="13323" max="13323" width="14" style="406" bestFit="1" customWidth="1"/>
    <col min="13324" max="13564" width="11.42578125" style="406"/>
    <col min="13565" max="13565" width="23.28515625" style="406" customWidth="1"/>
    <col min="13566" max="13566" width="15" style="406" bestFit="1" customWidth="1"/>
    <col min="13567" max="13567" width="14.28515625" style="406" bestFit="1" customWidth="1"/>
    <col min="13568" max="13568" width="14.42578125" style="406" bestFit="1" customWidth="1"/>
    <col min="13569" max="13569" width="28.42578125" style="406" bestFit="1" customWidth="1"/>
    <col min="13570" max="13570" width="11.5703125" style="406" customWidth="1"/>
    <col min="13571" max="13572" width="11.5703125" style="406" bestFit="1" customWidth="1"/>
    <col min="13573" max="13573" width="11.42578125" style="406"/>
    <col min="13574" max="13575" width="13.28515625" style="406" bestFit="1" customWidth="1"/>
    <col min="13576" max="13578" width="14.28515625" style="406" bestFit="1" customWidth="1"/>
    <col min="13579" max="13579" width="14" style="406" bestFit="1" customWidth="1"/>
    <col min="13580" max="13820" width="11.42578125" style="406"/>
    <col min="13821" max="13821" width="23.28515625" style="406" customWidth="1"/>
    <col min="13822" max="13822" width="15" style="406" bestFit="1" customWidth="1"/>
    <col min="13823" max="13823" width="14.28515625" style="406" bestFit="1" customWidth="1"/>
    <col min="13824" max="13824" width="14.42578125" style="406" bestFit="1" customWidth="1"/>
    <col min="13825" max="13825" width="28.42578125" style="406" bestFit="1" customWidth="1"/>
    <col min="13826" max="13826" width="11.5703125" style="406" customWidth="1"/>
    <col min="13827" max="13828" width="11.5703125" style="406" bestFit="1" customWidth="1"/>
    <col min="13829" max="13829" width="11.42578125" style="406"/>
    <col min="13830" max="13831" width="13.28515625" style="406" bestFit="1" customWidth="1"/>
    <col min="13832" max="13834" width="14.28515625" style="406" bestFit="1" customWidth="1"/>
    <col min="13835" max="13835" width="14" style="406" bestFit="1" customWidth="1"/>
    <col min="13836" max="14076" width="11.42578125" style="406"/>
    <col min="14077" max="14077" width="23.28515625" style="406" customWidth="1"/>
    <col min="14078" max="14078" width="15" style="406" bestFit="1" customWidth="1"/>
    <col min="14079" max="14079" width="14.28515625" style="406" bestFit="1" customWidth="1"/>
    <col min="14080" max="14080" width="14.42578125" style="406" bestFit="1" customWidth="1"/>
    <col min="14081" max="14081" width="28.42578125" style="406" bestFit="1" customWidth="1"/>
    <col min="14082" max="14082" width="11.5703125" style="406" customWidth="1"/>
    <col min="14083" max="14084" width="11.5703125" style="406" bestFit="1" customWidth="1"/>
    <col min="14085" max="14085" width="11.42578125" style="406"/>
    <col min="14086" max="14087" width="13.28515625" style="406" bestFit="1" customWidth="1"/>
    <col min="14088" max="14090" width="14.28515625" style="406" bestFit="1" customWidth="1"/>
    <col min="14091" max="14091" width="14" style="406" bestFit="1" customWidth="1"/>
    <col min="14092" max="14332" width="11.42578125" style="406"/>
    <col min="14333" max="14333" width="23.28515625" style="406" customWidth="1"/>
    <col min="14334" max="14334" width="15" style="406" bestFit="1" customWidth="1"/>
    <col min="14335" max="14335" width="14.28515625" style="406" bestFit="1" customWidth="1"/>
    <col min="14336" max="14336" width="14.42578125" style="406" bestFit="1" customWidth="1"/>
    <col min="14337" max="14337" width="28.42578125" style="406" bestFit="1" customWidth="1"/>
    <col min="14338" max="14338" width="11.5703125" style="406" customWidth="1"/>
    <col min="14339" max="14340" width="11.5703125" style="406" bestFit="1" customWidth="1"/>
    <col min="14341" max="14341" width="11.42578125" style="406"/>
    <col min="14342" max="14343" width="13.28515625" style="406" bestFit="1" customWidth="1"/>
    <col min="14344" max="14346" width="14.28515625" style="406" bestFit="1" customWidth="1"/>
    <col min="14347" max="14347" width="14" style="406" bestFit="1" customWidth="1"/>
    <col min="14348" max="14588" width="11.42578125" style="406"/>
    <col min="14589" max="14589" width="23.28515625" style="406" customWidth="1"/>
    <col min="14590" max="14590" width="15" style="406" bestFit="1" customWidth="1"/>
    <col min="14591" max="14591" width="14.28515625" style="406" bestFit="1" customWidth="1"/>
    <col min="14592" max="14592" width="14.42578125" style="406" bestFit="1" customWidth="1"/>
    <col min="14593" max="14593" width="28.42578125" style="406" bestFit="1" customWidth="1"/>
    <col min="14594" max="14594" width="11.5703125" style="406" customWidth="1"/>
    <col min="14595" max="14596" width="11.5703125" style="406" bestFit="1" customWidth="1"/>
    <col min="14597" max="14597" width="11.42578125" style="406"/>
    <col min="14598" max="14599" width="13.28515625" style="406" bestFit="1" customWidth="1"/>
    <col min="14600" max="14602" width="14.28515625" style="406" bestFit="1" customWidth="1"/>
    <col min="14603" max="14603" width="14" style="406" bestFit="1" customWidth="1"/>
    <col min="14604" max="14844" width="11.42578125" style="406"/>
    <col min="14845" max="14845" width="23.28515625" style="406" customWidth="1"/>
    <col min="14846" max="14846" width="15" style="406" bestFit="1" customWidth="1"/>
    <col min="14847" max="14847" width="14.28515625" style="406" bestFit="1" customWidth="1"/>
    <col min="14848" max="14848" width="14.42578125" style="406" bestFit="1" customWidth="1"/>
    <col min="14849" max="14849" width="28.42578125" style="406" bestFit="1" customWidth="1"/>
    <col min="14850" max="14850" width="11.5703125" style="406" customWidth="1"/>
    <col min="14851" max="14852" width="11.5703125" style="406" bestFit="1" customWidth="1"/>
    <col min="14853" max="14853" width="11.42578125" style="406"/>
    <col min="14854" max="14855" width="13.28515625" style="406" bestFit="1" customWidth="1"/>
    <col min="14856" max="14858" width="14.28515625" style="406" bestFit="1" customWidth="1"/>
    <col min="14859" max="14859" width="14" style="406" bestFit="1" customWidth="1"/>
    <col min="14860" max="15100" width="11.42578125" style="406"/>
    <col min="15101" max="15101" width="23.28515625" style="406" customWidth="1"/>
    <col min="15102" max="15102" width="15" style="406" bestFit="1" customWidth="1"/>
    <col min="15103" max="15103" width="14.28515625" style="406" bestFit="1" customWidth="1"/>
    <col min="15104" max="15104" width="14.42578125" style="406" bestFit="1" customWidth="1"/>
    <col min="15105" max="15105" width="28.42578125" style="406" bestFit="1" customWidth="1"/>
    <col min="15106" max="15106" width="11.5703125" style="406" customWidth="1"/>
    <col min="15107" max="15108" width="11.5703125" style="406" bestFit="1" customWidth="1"/>
    <col min="15109" max="15109" width="11.42578125" style="406"/>
    <col min="15110" max="15111" width="13.28515625" style="406" bestFit="1" customWidth="1"/>
    <col min="15112" max="15114" width="14.28515625" style="406" bestFit="1" customWidth="1"/>
    <col min="15115" max="15115" width="14" style="406" bestFit="1" customWidth="1"/>
    <col min="15116" max="15356" width="11.42578125" style="406"/>
    <col min="15357" max="15357" width="23.28515625" style="406" customWidth="1"/>
    <col min="15358" max="15358" width="15" style="406" bestFit="1" customWidth="1"/>
    <col min="15359" max="15359" width="14.28515625" style="406" bestFit="1" customWidth="1"/>
    <col min="15360" max="15360" width="14.42578125" style="406" bestFit="1" customWidth="1"/>
    <col min="15361" max="15361" width="28.42578125" style="406" bestFit="1" customWidth="1"/>
    <col min="15362" max="15362" width="11.5703125" style="406" customWidth="1"/>
    <col min="15363" max="15364" width="11.5703125" style="406" bestFit="1" customWidth="1"/>
    <col min="15365" max="15365" width="11.42578125" style="406"/>
    <col min="15366" max="15367" width="13.28515625" style="406" bestFit="1" customWidth="1"/>
    <col min="15368" max="15370" width="14.28515625" style="406" bestFit="1" customWidth="1"/>
    <col min="15371" max="15371" width="14" style="406" bestFit="1" customWidth="1"/>
    <col min="15372" max="15612" width="11.42578125" style="406"/>
    <col min="15613" max="15613" width="23.28515625" style="406" customWidth="1"/>
    <col min="15614" max="15614" width="15" style="406" bestFit="1" customWidth="1"/>
    <col min="15615" max="15615" width="14.28515625" style="406" bestFit="1" customWidth="1"/>
    <col min="15616" max="15616" width="14.42578125" style="406" bestFit="1" customWidth="1"/>
    <col min="15617" max="15617" width="28.42578125" style="406" bestFit="1" customWidth="1"/>
    <col min="15618" max="15618" width="11.5703125" style="406" customWidth="1"/>
    <col min="15619" max="15620" width="11.5703125" style="406" bestFit="1" customWidth="1"/>
    <col min="15621" max="15621" width="11.42578125" style="406"/>
    <col min="15622" max="15623" width="13.28515625" style="406" bestFit="1" customWidth="1"/>
    <col min="15624" max="15626" width="14.28515625" style="406" bestFit="1" customWidth="1"/>
    <col min="15627" max="15627" width="14" style="406" bestFit="1" customWidth="1"/>
    <col min="15628" max="15868" width="11.42578125" style="406"/>
    <col min="15869" max="15869" width="23.28515625" style="406" customWidth="1"/>
    <col min="15870" max="15870" width="15" style="406" bestFit="1" customWidth="1"/>
    <col min="15871" max="15871" width="14.28515625" style="406" bestFit="1" customWidth="1"/>
    <col min="15872" max="15872" width="14.42578125" style="406" bestFit="1" customWidth="1"/>
    <col min="15873" max="15873" width="28.42578125" style="406" bestFit="1" customWidth="1"/>
    <col min="15874" max="15874" width="11.5703125" style="406" customWidth="1"/>
    <col min="15875" max="15876" width="11.5703125" style="406" bestFit="1" customWidth="1"/>
    <col min="15877" max="15877" width="11.42578125" style="406"/>
    <col min="15878" max="15879" width="13.28515625" style="406" bestFit="1" customWidth="1"/>
    <col min="15880" max="15882" width="14.28515625" style="406" bestFit="1" customWidth="1"/>
    <col min="15883" max="15883" width="14" style="406" bestFit="1" customWidth="1"/>
    <col min="15884" max="16124" width="11.42578125" style="406"/>
    <col min="16125" max="16125" width="23.28515625" style="406" customWidth="1"/>
    <col min="16126" max="16126" width="15" style="406" bestFit="1" customWidth="1"/>
    <col min="16127" max="16127" width="14.28515625" style="406" bestFit="1" customWidth="1"/>
    <col min="16128" max="16128" width="14.42578125" style="406" bestFit="1" customWidth="1"/>
    <col min="16129" max="16129" width="28.42578125" style="406" bestFit="1" customWidth="1"/>
    <col min="16130" max="16130" width="11.5703125" style="406" customWidth="1"/>
    <col min="16131" max="16132" width="11.5703125" style="406" bestFit="1" customWidth="1"/>
    <col min="16133" max="16133" width="11.42578125" style="406"/>
    <col min="16134" max="16135" width="13.28515625" style="406" bestFit="1" customWidth="1"/>
    <col min="16136" max="16138" width="14.28515625" style="406" bestFit="1" customWidth="1"/>
    <col min="16139" max="16139" width="14" style="406" bestFit="1" customWidth="1"/>
    <col min="16140" max="16384" width="11.42578125" style="406"/>
  </cols>
  <sheetData>
    <row r="1" spans="1:41">
      <c r="A1" s="410" t="s">
        <v>1203</v>
      </c>
      <c r="B1" s="411"/>
      <c r="C1" s="412"/>
      <c r="D1" s="412"/>
      <c r="E1" s="412"/>
      <c r="F1" s="412"/>
      <c r="G1" s="412"/>
      <c r="H1" s="413"/>
      <c r="I1" s="413"/>
      <c r="K1" s="450" t="s">
        <v>1234</v>
      </c>
      <c r="L1" s="468"/>
      <c r="M1" s="468"/>
      <c r="N1" s="468"/>
      <c r="O1" s="468"/>
      <c r="P1" s="468"/>
      <c r="Q1" s="468"/>
      <c r="R1" s="468"/>
      <c r="S1" s="468"/>
      <c r="T1" s="468"/>
      <c r="U1" s="468"/>
      <c r="V1" s="468"/>
      <c r="W1" s="468"/>
      <c r="X1" s="468"/>
      <c r="Y1" s="467"/>
      <c r="AA1" s="449" t="s">
        <v>1238</v>
      </c>
      <c r="AB1" s="448"/>
      <c r="AC1" s="448"/>
      <c r="AD1" s="448"/>
      <c r="AE1" s="448"/>
      <c r="AF1" s="448"/>
      <c r="AG1" s="448"/>
      <c r="AH1" s="448"/>
      <c r="AI1" s="448"/>
      <c r="AJ1" s="448"/>
      <c r="AK1" s="448"/>
      <c r="AL1" s="448"/>
      <c r="AM1" s="448"/>
      <c r="AN1" s="448"/>
      <c r="AO1" s="469"/>
    </row>
    <row r="2" spans="1:41">
      <c r="A2" s="414" t="s">
        <v>1235</v>
      </c>
      <c r="B2" s="708"/>
      <c r="C2" s="708"/>
      <c r="D2" s="708"/>
      <c r="E2" s="708"/>
      <c r="F2" s="708"/>
      <c r="G2" s="708"/>
      <c r="H2" s="415"/>
      <c r="I2" s="415"/>
      <c r="K2" s="466"/>
      <c r="L2" s="465"/>
      <c r="M2" s="465"/>
      <c r="N2" s="465"/>
      <c r="O2" s="465"/>
      <c r="P2" s="465"/>
      <c r="Q2" s="465"/>
      <c r="R2" s="465"/>
      <c r="S2" s="465"/>
      <c r="T2" s="465"/>
      <c r="U2" s="465"/>
      <c r="V2" s="465"/>
      <c r="W2" s="465"/>
      <c r="X2" s="465"/>
      <c r="Y2" s="464"/>
      <c r="AA2" s="431"/>
      <c r="AB2" s="474"/>
      <c r="AC2" s="474"/>
      <c r="AD2" s="474"/>
      <c r="AE2" s="474"/>
      <c r="AF2" s="474"/>
      <c r="AG2" s="474"/>
      <c r="AH2" s="474"/>
      <c r="AI2" s="474"/>
      <c r="AJ2" s="474"/>
      <c r="AK2" s="474"/>
      <c r="AL2" s="474"/>
      <c r="AM2" s="474"/>
      <c r="AN2" s="474"/>
      <c r="AO2" s="447"/>
    </row>
    <row r="3" spans="1:41">
      <c r="A3" s="416">
        <v>43008</v>
      </c>
      <c r="B3" s="708"/>
      <c r="C3" s="708"/>
      <c r="D3" s="708"/>
      <c r="E3" s="708"/>
      <c r="F3" s="708"/>
      <c r="G3" s="708"/>
      <c r="H3" s="415"/>
      <c r="I3" s="415"/>
      <c r="K3" s="466"/>
      <c r="L3" s="465"/>
      <c r="M3" s="465"/>
      <c r="N3" s="465"/>
      <c r="O3" s="465"/>
      <c r="P3" s="465"/>
      <c r="Q3" s="465"/>
      <c r="R3" s="465"/>
      <c r="S3" s="465"/>
      <c r="T3" s="465"/>
      <c r="U3" s="465"/>
      <c r="V3" s="465"/>
      <c r="W3" s="465"/>
      <c r="X3" s="465"/>
      <c r="Y3" s="464"/>
      <c r="AA3" s="431"/>
      <c r="AB3" s="474"/>
      <c r="AC3" s="474"/>
      <c r="AD3" s="474"/>
      <c r="AE3" s="474"/>
      <c r="AF3" s="474"/>
      <c r="AG3" s="474"/>
      <c r="AH3" s="474"/>
      <c r="AI3" s="474"/>
      <c r="AJ3" s="474"/>
      <c r="AK3" s="474"/>
      <c r="AL3" s="474"/>
      <c r="AM3" s="474"/>
      <c r="AN3" s="474"/>
      <c r="AO3" s="447"/>
    </row>
    <row r="4" spans="1:41">
      <c r="A4" s="1369" t="s">
        <v>2997</v>
      </c>
      <c r="B4" s="708"/>
      <c r="C4" s="708"/>
      <c r="D4" s="708"/>
      <c r="E4" s="708"/>
      <c r="F4" s="708"/>
      <c r="G4" s="708"/>
      <c r="H4" s="415"/>
      <c r="I4" s="415"/>
      <c r="K4" s="466"/>
      <c r="L4" s="465"/>
      <c r="M4" s="465"/>
      <c r="N4" s="465"/>
      <c r="O4" s="465"/>
      <c r="P4" s="465"/>
      <c r="Q4" s="465"/>
      <c r="R4" s="465"/>
      <c r="S4" s="465"/>
      <c r="T4" s="465"/>
      <c r="U4" s="465"/>
      <c r="V4" s="465"/>
      <c r="W4" s="465"/>
      <c r="X4" s="465"/>
      <c r="Y4" s="464"/>
      <c r="AA4" s="431"/>
      <c r="AB4" s="474"/>
      <c r="AC4" s="474"/>
      <c r="AD4" s="474"/>
      <c r="AE4" s="474"/>
      <c r="AF4" s="474"/>
      <c r="AG4" s="474"/>
      <c r="AH4" s="474"/>
      <c r="AI4" s="474"/>
      <c r="AJ4" s="474"/>
      <c r="AK4" s="474"/>
      <c r="AL4" s="474"/>
      <c r="AM4" s="474"/>
      <c r="AN4" s="474"/>
      <c r="AO4" s="447"/>
    </row>
    <row r="5" spans="1:41">
      <c r="A5" s="417"/>
      <c r="B5" s="708"/>
      <c r="C5" s="708"/>
      <c r="D5" s="708"/>
      <c r="E5" s="708"/>
      <c r="F5" s="418" t="s">
        <v>1204</v>
      </c>
      <c r="G5" s="418" t="s">
        <v>1205</v>
      </c>
      <c r="H5" s="1380" t="s">
        <v>1206</v>
      </c>
      <c r="I5" s="415"/>
      <c r="K5" s="466"/>
      <c r="L5" s="465"/>
      <c r="M5" s="465"/>
      <c r="N5" s="465"/>
      <c r="O5" s="465"/>
      <c r="P5" s="465"/>
      <c r="Q5" s="465"/>
      <c r="R5" s="465"/>
      <c r="S5" s="465"/>
      <c r="T5" s="465"/>
      <c r="U5" s="465"/>
      <c r="V5" s="465"/>
      <c r="W5" s="465"/>
      <c r="X5" s="465"/>
      <c r="Y5" s="464"/>
      <c r="AA5" s="431"/>
      <c r="AB5" s="474"/>
      <c r="AC5" s="474"/>
      <c r="AD5" s="474"/>
      <c r="AE5" s="474"/>
      <c r="AF5" s="474"/>
      <c r="AG5" s="474"/>
      <c r="AH5" s="474"/>
      <c r="AI5" s="474"/>
      <c r="AJ5" s="474"/>
      <c r="AK5" s="474"/>
      <c r="AL5" s="474"/>
      <c r="AM5" s="474"/>
      <c r="AN5" s="474"/>
      <c r="AO5" s="447"/>
    </row>
    <row r="6" spans="1:41">
      <c r="A6" s="419" t="s">
        <v>1207</v>
      </c>
      <c r="B6" s="418" t="s">
        <v>1208</v>
      </c>
      <c r="C6" s="418" t="s">
        <v>1209</v>
      </c>
      <c r="D6" s="418" t="s">
        <v>174</v>
      </c>
      <c r="E6" s="418" t="s">
        <v>1210</v>
      </c>
      <c r="F6" s="418" t="s">
        <v>1211</v>
      </c>
      <c r="G6" s="418" t="s">
        <v>1211</v>
      </c>
      <c r="H6" s="1380" t="s">
        <v>1212</v>
      </c>
      <c r="I6" s="415"/>
      <c r="K6" s="1406" t="s">
        <v>1233</v>
      </c>
      <c r="L6" s="1407"/>
      <c r="M6" s="1407"/>
      <c r="N6" s="1407"/>
      <c r="O6" s="1407"/>
      <c r="P6" s="463"/>
      <c r="Q6" s="462" t="s">
        <v>13</v>
      </c>
      <c r="R6" s="465"/>
      <c r="S6" s="1407" t="s">
        <v>197</v>
      </c>
      <c r="T6" s="1407"/>
      <c r="U6" s="1407"/>
      <c r="V6" s="1407"/>
      <c r="W6" s="1407"/>
      <c r="X6" s="1407"/>
      <c r="Y6" s="476" t="s">
        <v>13</v>
      </c>
      <c r="AA6" s="1406" t="s">
        <v>1233</v>
      </c>
      <c r="AB6" s="1407"/>
      <c r="AC6" s="1407"/>
      <c r="AD6" s="1407"/>
      <c r="AE6" s="1407"/>
      <c r="AF6" s="477"/>
      <c r="AG6" s="472" t="s">
        <v>13</v>
      </c>
      <c r="AH6" s="474"/>
      <c r="AI6" s="1407" t="s">
        <v>197</v>
      </c>
      <c r="AJ6" s="1407"/>
      <c r="AK6" s="1407"/>
      <c r="AL6" s="1407"/>
      <c r="AM6" s="1407"/>
      <c r="AN6" s="1407"/>
      <c r="AO6" s="446" t="s">
        <v>13</v>
      </c>
    </row>
    <row r="7" spans="1:41">
      <c r="A7" s="419"/>
      <c r="B7" s="418"/>
      <c r="C7" s="418"/>
      <c r="D7" s="418" t="s">
        <v>1208</v>
      </c>
      <c r="E7" s="418" t="s">
        <v>174</v>
      </c>
      <c r="F7" s="420">
        <v>42644</v>
      </c>
      <c r="G7" s="421">
        <v>43008</v>
      </c>
      <c r="H7" s="1381">
        <f>G7</f>
        <v>43008</v>
      </c>
      <c r="I7" s="415"/>
      <c r="K7" s="461" t="s">
        <v>27</v>
      </c>
      <c r="L7" s="475"/>
      <c r="M7" s="463" t="s">
        <v>388</v>
      </c>
      <c r="N7" s="460"/>
      <c r="O7" s="463" t="s">
        <v>406</v>
      </c>
      <c r="P7" s="463"/>
      <c r="Q7" s="465"/>
      <c r="R7" s="465"/>
      <c r="S7" s="463" t="s">
        <v>27</v>
      </c>
      <c r="T7" s="465"/>
      <c r="U7" s="463" t="s">
        <v>388</v>
      </c>
      <c r="V7" s="465"/>
      <c r="W7" s="463" t="s">
        <v>406</v>
      </c>
      <c r="X7" s="463"/>
      <c r="Y7" s="464"/>
      <c r="AA7" s="445" t="s">
        <v>27</v>
      </c>
      <c r="AB7" s="473"/>
      <c r="AC7" s="477" t="s">
        <v>924</v>
      </c>
      <c r="AD7" s="444"/>
      <c r="AE7" s="477" t="s">
        <v>925</v>
      </c>
      <c r="AF7" s="477"/>
      <c r="AG7" s="474"/>
      <c r="AH7" s="474"/>
      <c r="AI7" s="477" t="s">
        <v>27</v>
      </c>
      <c r="AJ7" s="474"/>
      <c r="AK7" s="477" t="s">
        <v>924</v>
      </c>
      <c r="AL7" s="444"/>
      <c r="AM7" s="477" t="s">
        <v>925</v>
      </c>
      <c r="AN7" s="477"/>
      <c r="AO7" s="447"/>
    </row>
    <row r="8" spans="1:41">
      <c r="A8" s="414" t="s">
        <v>416</v>
      </c>
      <c r="B8" s="422"/>
      <c r="C8" s="708"/>
      <c r="D8" s="708"/>
      <c r="E8" s="708"/>
      <c r="F8" s="708"/>
      <c r="G8" s="708"/>
      <c r="H8" s="415"/>
      <c r="I8" s="415"/>
      <c r="K8" s="466"/>
      <c r="L8" s="465"/>
      <c r="M8" s="465"/>
      <c r="N8" s="465"/>
      <c r="O8" s="465"/>
      <c r="P8" s="465"/>
      <c r="Q8" s="465"/>
      <c r="R8" s="465"/>
      <c r="S8" s="465"/>
      <c r="T8" s="465"/>
      <c r="U8" s="465"/>
      <c r="V8" s="465"/>
      <c r="W8" s="465"/>
      <c r="X8" s="465"/>
      <c r="Y8" s="464"/>
      <c r="AA8" s="431"/>
      <c r="AB8" s="474"/>
      <c r="AC8" s="474"/>
      <c r="AD8" s="474"/>
      <c r="AE8" s="474"/>
      <c r="AF8" s="474"/>
      <c r="AG8" s="474"/>
      <c r="AH8" s="474"/>
      <c r="AI8" s="474"/>
      <c r="AJ8" s="474"/>
      <c r="AK8" s="474"/>
      <c r="AL8" s="474"/>
      <c r="AM8" s="474"/>
      <c r="AN8" s="474"/>
      <c r="AO8" s="447"/>
    </row>
    <row r="9" spans="1:41">
      <c r="A9" s="417" t="s">
        <v>1213</v>
      </c>
      <c r="B9" s="709">
        <v>4878899.5213049231</v>
      </c>
      <c r="C9" s="709">
        <f>+B9-D9</f>
        <v>0</v>
      </c>
      <c r="D9" s="709">
        <v>4878899.5213049231</v>
      </c>
      <c r="E9" s="709">
        <v>517125.41724583332</v>
      </c>
      <c r="F9" s="709">
        <v>2298995.2862215908</v>
      </c>
      <c r="G9" s="709">
        <v>2816120.7034674231</v>
      </c>
      <c r="H9" s="1382">
        <v>2173666.4064604165</v>
      </c>
      <c r="I9" s="415"/>
      <c r="K9" s="459">
        <f>+E9</f>
        <v>517125.41724583332</v>
      </c>
      <c r="L9" s="458"/>
      <c r="M9" s="458">
        <f>+K9</f>
        <v>517125.41724583332</v>
      </c>
      <c r="N9" s="458"/>
      <c r="O9" s="458"/>
      <c r="P9" s="458"/>
      <c r="Q9" s="465" t="s">
        <v>17</v>
      </c>
      <c r="R9" s="465"/>
      <c r="S9" s="457">
        <f>+H9</f>
        <v>2173666.4064604165</v>
      </c>
      <c r="T9" s="465"/>
      <c r="U9" s="458">
        <f>+S9</f>
        <v>2173666.4064604165</v>
      </c>
      <c r="V9" s="465"/>
      <c r="W9" s="458"/>
      <c r="X9" s="465"/>
      <c r="Y9" s="464" t="s">
        <v>17</v>
      </c>
      <c r="AA9" s="443">
        <f>+M9</f>
        <v>517125.41724583332</v>
      </c>
      <c r="AB9" s="433"/>
      <c r="AC9" s="433">
        <f>+AA9</f>
        <v>517125.41724583332</v>
      </c>
      <c r="AD9" s="433"/>
      <c r="AE9" s="433"/>
      <c r="AF9" s="433"/>
      <c r="AG9" s="474" t="s">
        <v>17</v>
      </c>
      <c r="AH9" s="474"/>
      <c r="AI9" s="478">
        <f>+U9</f>
        <v>2173666.4064604165</v>
      </c>
      <c r="AJ9" s="474"/>
      <c r="AK9" s="433">
        <f>+AI9</f>
        <v>2173666.4064604165</v>
      </c>
      <c r="AL9" s="433"/>
      <c r="AM9" s="433"/>
      <c r="AN9" s="474"/>
      <c r="AO9" s="447" t="s">
        <v>17</v>
      </c>
    </row>
    <row r="10" spans="1:41">
      <c r="A10" s="417"/>
      <c r="B10" s="709"/>
      <c r="C10" s="709"/>
      <c r="D10" s="709"/>
      <c r="E10" s="709"/>
      <c r="F10" s="709"/>
      <c r="G10" s="709"/>
      <c r="H10" s="1382"/>
      <c r="I10" s="415"/>
      <c r="K10" s="459"/>
      <c r="L10" s="458"/>
      <c r="M10" s="458"/>
      <c r="N10" s="458"/>
      <c r="O10" s="458"/>
      <c r="P10" s="458"/>
      <c r="Q10" s="465"/>
      <c r="R10" s="465"/>
      <c r="S10" s="465"/>
      <c r="T10" s="465"/>
      <c r="U10" s="458"/>
      <c r="V10" s="465"/>
      <c r="W10" s="458"/>
      <c r="X10" s="465"/>
      <c r="Y10" s="464"/>
      <c r="AA10" s="443"/>
      <c r="AB10" s="433"/>
      <c r="AC10" s="433"/>
      <c r="AD10" s="433"/>
      <c r="AE10" s="433"/>
      <c r="AF10" s="433"/>
      <c r="AG10" s="474"/>
      <c r="AH10" s="474"/>
      <c r="AI10" s="474"/>
      <c r="AJ10" s="474"/>
      <c r="AK10" s="433"/>
      <c r="AL10" s="433"/>
      <c r="AM10" s="433"/>
      <c r="AN10" s="474"/>
      <c r="AO10" s="447"/>
    </row>
    <row r="11" spans="1:41">
      <c r="A11" s="417" t="s">
        <v>1214</v>
      </c>
      <c r="B11" s="709">
        <v>3615657.2601611256</v>
      </c>
      <c r="C11" s="709">
        <f>+B11-D11</f>
        <v>677462.44</v>
      </c>
      <c r="D11" s="709">
        <v>2938194.8201611256</v>
      </c>
      <c r="E11" s="709">
        <v>115753.67173750002</v>
      </c>
      <c r="F11" s="709">
        <v>2256225.1332111252</v>
      </c>
      <c r="G11" s="709">
        <v>2371978.8049486252</v>
      </c>
      <c r="H11" s="1382">
        <v>906643.59908125002</v>
      </c>
      <c r="I11" s="415"/>
      <c r="K11" s="459">
        <f t="shared" ref="K11:K23" si="0">+E11</f>
        <v>115753.67173750002</v>
      </c>
      <c r="L11" s="458"/>
      <c r="M11" s="458"/>
      <c r="N11" s="458"/>
      <c r="O11" s="458">
        <f>+K11</f>
        <v>115753.67173750002</v>
      </c>
      <c r="P11" s="458"/>
      <c r="Q11" s="465" t="s">
        <v>17</v>
      </c>
      <c r="R11" s="465"/>
      <c r="S11" s="457">
        <f>+H11</f>
        <v>906643.59908125002</v>
      </c>
      <c r="T11" s="465"/>
      <c r="U11" s="458"/>
      <c r="V11" s="465"/>
      <c r="W11" s="458">
        <f>+S11</f>
        <v>906643.59908125002</v>
      </c>
      <c r="X11" s="465"/>
      <c r="Y11" s="464" t="s">
        <v>17</v>
      </c>
      <c r="AA11" s="443">
        <f>+M11</f>
        <v>0</v>
      </c>
      <c r="AB11" s="433"/>
      <c r="AC11" s="433"/>
      <c r="AD11" s="433"/>
      <c r="AE11" s="433">
        <f>+AA11</f>
        <v>0</v>
      </c>
      <c r="AF11" s="433"/>
      <c r="AG11" s="474" t="s">
        <v>17</v>
      </c>
      <c r="AH11" s="474"/>
      <c r="AI11" s="478">
        <f>+U11</f>
        <v>0</v>
      </c>
      <c r="AJ11" s="474"/>
      <c r="AK11" s="433"/>
      <c r="AL11" s="433"/>
      <c r="AM11" s="433">
        <f>+AI11</f>
        <v>0</v>
      </c>
      <c r="AN11" s="474"/>
      <c r="AO11" s="447" t="s">
        <v>17</v>
      </c>
    </row>
    <row r="12" spans="1:41">
      <c r="A12" s="417"/>
      <c r="B12" s="709"/>
      <c r="C12" s="709"/>
      <c r="D12" s="709"/>
      <c r="E12" s="709"/>
      <c r="F12" s="709"/>
      <c r="G12" s="709"/>
      <c r="H12" s="1382"/>
      <c r="I12" s="415"/>
      <c r="K12" s="459"/>
      <c r="L12" s="458"/>
      <c r="M12" s="458"/>
      <c r="N12" s="458"/>
      <c r="O12" s="458"/>
      <c r="P12" s="458"/>
      <c r="Q12" s="465"/>
      <c r="R12" s="465"/>
      <c r="S12" s="465"/>
      <c r="T12" s="465"/>
      <c r="U12" s="458"/>
      <c r="V12" s="465"/>
      <c r="W12" s="458"/>
      <c r="X12" s="465"/>
      <c r="Y12" s="464"/>
      <c r="AA12" s="443"/>
      <c r="AB12" s="433"/>
      <c r="AC12" s="433"/>
      <c r="AD12" s="433"/>
      <c r="AE12" s="433"/>
      <c r="AF12" s="433"/>
      <c r="AG12" s="474"/>
      <c r="AH12" s="474"/>
      <c r="AI12" s="474"/>
      <c r="AJ12" s="474"/>
      <c r="AK12" s="433"/>
      <c r="AL12" s="433"/>
      <c r="AM12" s="433"/>
      <c r="AN12" s="474"/>
      <c r="AO12" s="447"/>
    </row>
    <row r="13" spans="1:41">
      <c r="A13" s="417" t="s">
        <v>1215</v>
      </c>
      <c r="B13" s="709">
        <v>5797671.8995328275</v>
      </c>
      <c r="C13" s="709">
        <f>+B13-D13</f>
        <v>0</v>
      </c>
      <c r="D13" s="709">
        <v>5797671.8995328275</v>
      </c>
      <c r="E13" s="709">
        <v>667013.44637857145</v>
      </c>
      <c r="F13" s="709">
        <v>3001773.9216613993</v>
      </c>
      <c r="G13" s="709">
        <v>3668787.3680399717</v>
      </c>
      <c r="H13" s="1382">
        <v>2357827.0526821432</v>
      </c>
      <c r="I13" s="415"/>
      <c r="K13" s="459">
        <f t="shared" si="0"/>
        <v>667013.44637857145</v>
      </c>
      <c r="L13" s="458"/>
      <c r="M13" s="458">
        <f>+K13*Ratios!$F$10</f>
        <v>237303.5258193801</v>
      </c>
      <c r="N13" s="458"/>
      <c r="O13" s="458">
        <f>+K13-M13</f>
        <v>429709.92055919138</v>
      </c>
      <c r="P13" s="458"/>
      <c r="Q13" s="465" t="s">
        <v>1279</v>
      </c>
      <c r="R13" s="465"/>
      <c r="S13" s="457">
        <f>+H13</f>
        <v>2357827.0526821432</v>
      </c>
      <c r="T13" s="465"/>
      <c r="U13" s="458">
        <f>+S13*Ratios!$F$10</f>
        <v>838844.66784231388</v>
      </c>
      <c r="V13" s="465"/>
      <c r="W13" s="458">
        <f>+S13-U13</f>
        <v>1518982.3848398293</v>
      </c>
      <c r="X13" s="465"/>
      <c r="Y13" s="465" t="s">
        <v>1279</v>
      </c>
      <c r="AA13" s="443">
        <f>+M13</f>
        <v>237303.5258193801</v>
      </c>
      <c r="AB13" s="433"/>
      <c r="AC13" s="433">
        <f>+AA13</f>
        <v>237303.5258193801</v>
      </c>
      <c r="AD13" s="433"/>
      <c r="AE13" s="433">
        <v>0</v>
      </c>
      <c r="AF13" s="433"/>
      <c r="AG13" s="474" t="s">
        <v>17</v>
      </c>
      <c r="AH13" s="474"/>
      <c r="AI13" s="478">
        <f>+U13</f>
        <v>838844.66784231388</v>
      </c>
      <c r="AJ13" s="474"/>
      <c r="AK13" s="433">
        <f>+AI13</f>
        <v>838844.66784231388</v>
      </c>
      <c r="AL13" s="433"/>
      <c r="AM13" s="433">
        <v>0</v>
      </c>
      <c r="AN13" s="474"/>
      <c r="AO13" s="447" t="s">
        <v>17</v>
      </c>
    </row>
    <row r="14" spans="1:41">
      <c r="A14" s="423"/>
      <c r="B14" s="709"/>
      <c r="C14" s="709"/>
      <c r="D14" s="709"/>
      <c r="E14" s="709"/>
      <c r="F14" s="709"/>
      <c r="G14" s="709"/>
      <c r="H14" s="1382"/>
      <c r="I14" s="415"/>
      <c r="K14" s="459"/>
      <c r="L14" s="458"/>
      <c r="M14" s="458"/>
      <c r="N14" s="458"/>
      <c r="O14" s="458"/>
      <c r="P14" s="458"/>
      <c r="Q14" s="465"/>
      <c r="R14" s="465"/>
      <c r="S14" s="465"/>
      <c r="T14" s="465"/>
      <c r="U14" s="458"/>
      <c r="V14" s="465"/>
      <c r="W14" s="458"/>
      <c r="X14" s="465"/>
      <c r="Y14" s="464"/>
      <c r="AA14" s="443"/>
      <c r="AB14" s="433"/>
      <c r="AC14" s="433"/>
      <c r="AD14" s="433"/>
      <c r="AE14" s="433"/>
      <c r="AF14" s="433"/>
      <c r="AG14" s="474"/>
      <c r="AH14" s="474"/>
      <c r="AI14" s="474"/>
      <c r="AJ14" s="474"/>
      <c r="AK14" s="433"/>
      <c r="AL14" s="433"/>
      <c r="AM14" s="433"/>
      <c r="AN14" s="474"/>
      <c r="AO14" s="447"/>
    </row>
    <row r="15" spans="1:41">
      <c r="A15" s="417" t="s">
        <v>408</v>
      </c>
      <c r="B15" s="709">
        <v>4396354.2245478397</v>
      </c>
      <c r="C15" s="709">
        <f>+B15-D15</f>
        <v>0</v>
      </c>
      <c r="D15" s="709">
        <v>4396354.2245478397</v>
      </c>
      <c r="E15" s="709">
        <v>410699.35888055549</v>
      </c>
      <c r="F15" s="709">
        <v>2004781.3764533959</v>
      </c>
      <c r="G15" s="709">
        <v>2415480.7353339512</v>
      </c>
      <c r="H15" s="1382">
        <v>2031790.0676541666</v>
      </c>
      <c r="I15" s="415"/>
      <c r="K15" s="459">
        <f t="shared" si="0"/>
        <v>410699.35888055549</v>
      </c>
      <c r="L15" s="458"/>
      <c r="M15" s="458">
        <f>+K15*Ratios!$F$11</f>
        <v>174744.33177728613</v>
      </c>
      <c r="N15" s="458"/>
      <c r="O15" s="458">
        <f>+K15-M15</f>
        <v>235955.02710326936</v>
      </c>
      <c r="P15" s="458"/>
      <c r="Q15" s="465" t="s">
        <v>1428</v>
      </c>
      <c r="R15" s="465"/>
      <c r="S15" s="457">
        <f>+H15</f>
        <v>2031790.0676541666</v>
      </c>
      <c r="T15" s="465"/>
      <c r="U15" s="458">
        <f>+S15*Ratios!$F$11</f>
        <v>864485.88245109108</v>
      </c>
      <c r="V15" s="465"/>
      <c r="W15" s="458">
        <f>+S15-U15</f>
        <v>1167304.1852030754</v>
      </c>
      <c r="X15" s="465"/>
      <c r="Y15" s="465" t="s">
        <v>1428</v>
      </c>
      <c r="AA15" s="443">
        <f>+M15</f>
        <v>174744.33177728613</v>
      </c>
      <c r="AB15" s="433"/>
      <c r="AC15" s="433">
        <v>0</v>
      </c>
      <c r="AD15" s="433"/>
      <c r="AE15" s="433">
        <f>+AA15</f>
        <v>174744.33177728613</v>
      </c>
      <c r="AF15" s="433"/>
      <c r="AG15" s="474" t="s">
        <v>17</v>
      </c>
      <c r="AH15" s="474"/>
      <c r="AI15" s="478">
        <f>+U15</f>
        <v>864485.88245109108</v>
      </c>
      <c r="AJ15" s="474"/>
      <c r="AK15" s="433">
        <v>0</v>
      </c>
      <c r="AL15" s="433"/>
      <c r="AM15" s="433">
        <f>+AI15</f>
        <v>864485.88245109108</v>
      </c>
      <c r="AN15" s="474"/>
      <c r="AO15" s="447" t="s">
        <v>17</v>
      </c>
    </row>
    <row r="16" spans="1:41">
      <c r="A16" s="417"/>
      <c r="B16" s="709"/>
      <c r="C16" s="709"/>
      <c r="D16" s="709"/>
      <c r="E16" s="709"/>
      <c r="F16" s="709"/>
      <c r="G16" s="709"/>
      <c r="H16" s="1382"/>
      <c r="I16" s="415"/>
      <c r="K16" s="459"/>
      <c r="L16" s="458"/>
      <c r="M16" s="458"/>
      <c r="N16" s="458"/>
      <c r="O16" s="458"/>
      <c r="P16" s="458"/>
      <c r="Q16" s="465"/>
      <c r="R16" s="465"/>
      <c r="S16" s="465"/>
      <c r="T16" s="465"/>
      <c r="U16" s="458"/>
      <c r="V16" s="465"/>
      <c r="W16" s="458"/>
      <c r="X16" s="465"/>
      <c r="Y16" s="464"/>
      <c r="AA16" s="443"/>
      <c r="AB16" s="433"/>
      <c r="AC16" s="433"/>
      <c r="AD16" s="433"/>
      <c r="AE16" s="433"/>
      <c r="AF16" s="433"/>
      <c r="AG16" s="474"/>
      <c r="AH16" s="474"/>
      <c r="AI16" s="474"/>
      <c r="AJ16" s="474"/>
      <c r="AK16" s="433"/>
      <c r="AL16" s="433"/>
      <c r="AM16" s="433"/>
      <c r="AN16" s="474"/>
      <c r="AO16" s="447"/>
    </row>
    <row r="17" spans="1:41">
      <c r="A17" s="417" t="s">
        <v>1216</v>
      </c>
      <c r="B17" s="709">
        <v>12602858.649155444</v>
      </c>
      <c r="C17" s="709">
        <f>+B17-D17</f>
        <v>2224865.991500007</v>
      </c>
      <c r="D17" s="709">
        <v>10377992.657655437</v>
      </c>
      <c r="E17" s="709">
        <v>463103.27309999999</v>
      </c>
      <c r="F17" s="709">
        <v>7194154.330855445</v>
      </c>
      <c r="G17" s="709">
        <v>7657257.6039554421</v>
      </c>
      <c r="H17" s="1382">
        <v>3638199.6242500003</v>
      </c>
      <c r="I17" s="415"/>
      <c r="K17" s="459">
        <f t="shared" si="0"/>
        <v>463103.27309999999</v>
      </c>
      <c r="L17" s="458"/>
      <c r="M17" s="458"/>
      <c r="N17" s="458"/>
      <c r="O17" s="458">
        <f>+K17</f>
        <v>463103.27309999999</v>
      </c>
      <c r="P17" s="458"/>
      <c r="Q17" s="465" t="s">
        <v>17</v>
      </c>
      <c r="R17" s="465"/>
      <c r="S17" s="457">
        <f>+H17</f>
        <v>3638199.6242500003</v>
      </c>
      <c r="T17" s="465"/>
      <c r="U17" s="465"/>
      <c r="V17" s="465"/>
      <c r="W17" s="458">
        <f>+S17</f>
        <v>3638199.6242500003</v>
      </c>
      <c r="X17" s="465"/>
      <c r="Y17" s="464" t="s">
        <v>17</v>
      </c>
      <c r="AA17" s="443">
        <f>+M17</f>
        <v>0</v>
      </c>
      <c r="AB17" s="433"/>
      <c r="AC17" s="433"/>
      <c r="AD17" s="433"/>
      <c r="AE17" s="433">
        <f>+AA17</f>
        <v>0</v>
      </c>
      <c r="AF17" s="433"/>
      <c r="AG17" s="474" t="s">
        <v>17</v>
      </c>
      <c r="AH17" s="474"/>
      <c r="AI17" s="478">
        <f>+U17</f>
        <v>0</v>
      </c>
      <c r="AJ17" s="474"/>
      <c r="AK17" s="433"/>
      <c r="AL17" s="433"/>
      <c r="AM17" s="433">
        <f>+AI17</f>
        <v>0</v>
      </c>
      <c r="AN17" s="474"/>
      <c r="AO17" s="447" t="s">
        <v>17</v>
      </c>
    </row>
    <row r="18" spans="1:41">
      <c r="A18" s="417"/>
      <c r="B18" s="709"/>
      <c r="C18" s="709"/>
      <c r="D18" s="709"/>
      <c r="E18" s="709"/>
      <c r="F18" s="709"/>
      <c r="G18" s="709"/>
      <c r="H18" s="1382"/>
      <c r="I18" s="415"/>
      <c r="K18" s="459"/>
      <c r="L18" s="458"/>
      <c r="M18" s="458"/>
      <c r="N18" s="458"/>
      <c r="O18" s="458"/>
      <c r="P18" s="458"/>
      <c r="Q18" s="465"/>
      <c r="R18" s="465"/>
      <c r="S18" s="465"/>
      <c r="T18" s="465"/>
      <c r="U18" s="465"/>
      <c r="V18" s="465"/>
      <c r="W18" s="458"/>
      <c r="X18" s="465"/>
      <c r="Y18" s="464"/>
      <c r="AA18" s="443"/>
      <c r="AB18" s="433"/>
      <c r="AC18" s="433"/>
      <c r="AD18" s="433"/>
      <c r="AE18" s="433"/>
      <c r="AF18" s="433"/>
      <c r="AG18" s="474"/>
      <c r="AH18" s="474"/>
      <c r="AI18" s="474"/>
      <c r="AJ18" s="474"/>
      <c r="AK18" s="433"/>
      <c r="AL18" s="433"/>
      <c r="AM18" s="433"/>
      <c r="AN18" s="474"/>
      <c r="AO18" s="447"/>
    </row>
    <row r="19" spans="1:41">
      <c r="A19" s="417" t="s">
        <v>1217</v>
      </c>
      <c r="B19" s="709">
        <v>2967363.7003603391</v>
      </c>
      <c r="C19" s="709">
        <f>+B19-D19</f>
        <v>575524.13199999975</v>
      </c>
      <c r="D19" s="709">
        <v>2391839.5683603394</v>
      </c>
      <c r="E19" s="709">
        <v>170933.85723749999</v>
      </c>
      <c r="F19" s="709">
        <v>1396201.5060770062</v>
      </c>
      <c r="G19" s="709">
        <v>1567135.3633145061</v>
      </c>
      <c r="H19" s="1382">
        <v>1293618.5696645835</v>
      </c>
      <c r="I19" s="415"/>
      <c r="K19" s="459">
        <f t="shared" si="0"/>
        <v>170933.85723749999</v>
      </c>
      <c r="L19" s="458"/>
      <c r="M19" s="458"/>
      <c r="N19" s="458"/>
      <c r="O19" s="458">
        <f>+K19</f>
        <v>170933.85723749999</v>
      </c>
      <c r="P19" s="458"/>
      <c r="Q19" s="465" t="s">
        <v>17</v>
      </c>
      <c r="R19" s="465"/>
      <c r="S19" s="457">
        <f>+H19</f>
        <v>1293618.5696645835</v>
      </c>
      <c r="T19" s="465"/>
      <c r="U19" s="465"/>
      <c r="V19" s="465"/>
      <c r="W19" s="458">
        <f>+S19</f>
        <v>1293618.5696645835</v>
      </c>
      <c r="X19" s="465"/>
      <c r="Y19" s="464" t="s">
        <v>17</v>
      </c>
      <c r="AA19" s="443">
        <f>+M19</f>
        <v>0</v>
      </c>
      <c r="AB19" s="433"/>
      <c r="AC19" s="433"/>
      <c r="AD19" s="433"/>
      <c r="AE19" s="433">
        <f>+AA19</f>
        <v>0</v>
      </c>
      <c r="AF19" s="433"/>
      <c r="AG19" s="474" t="s">
        <v>17</v>
      </c>
      <c r="AH19" s="474"/>
      <c r="AI19" s="478">
        <f>+U19</f>
        <v>0</v>
      </c>
      <c r="AJ19" s="474"/>
      <c r="AK19" s="433"/>
      <c r="AL19" s="433"/>
      <c r="AM19" s="433">
        <f>+AI19</f>
        <v>0</v>
      </c>
      <c r="AN19" s="474"/>
      <c r="AO19" s="447" t="s">
        <v>17</v>
      </c>
    </row>
    <row r="20" spans="1:41">
      <c r="A20" s="417"/>
      <c r="B20" s="709"/>
      <c r="C20" s="709"/>
      <c r="D20" s="709"/>
      <c r="E20" s="709"/>
      <c r="F20" s="709"/>
      <c r="G20" s="709"/>
      <c r="H20" s="1382"/>
      <c r="I20" s="415"/>
      <c r="K20" s="459"/>
      <c r="L20" s="458"/>
      <c r="M20" s="458"/>
      <c r="N20" s="458"/>
      <c r="O20" s="458"/>
      <c r="P20" s="458"/>
      <c r="Q20" s="465"/>
      <c r="R20" s="465"/>
      <c r="S20" s="465"/>
      <c r="T20" s="465"/>
      <c r="U20" s="465"/>
      <c r="V20" s="465"/>
      <c r="W20" s="458"/>
      <c r="X20" s="465"/>
      <c r="Y20" s="464"/>
      <c r="AA20" s="443"/>
      <c r="AB20" s="433"/>
      <c r="AC20" s="433"/>
      <c r="AD20" s="433"/>
      <c r="AE20" s="433"/>
      <c r="AF20" s="433"/>
      <c r="AG20" s="474"/>
      <c r="AH20" s="474"/>
      <c r="AI20" s="474"/>
      <c r="AJ20" s="474"/>
      <c r="AK20" s="433"/>
      <c r="AL20" s="433"/>
      <c r="AM20" s="433"/>
      <c r="AN20" s="474"/>
      <c r="AO20" s="447"/>
    </row>
    <row r="21" spans="1:41">
      <c r="A21" s="417" t="s">
        <v>482</v>
      </c>
      <c r="B21" s="709">
        <v>254883.06568750003</v>
      </c>
      <c r="C21" s="709">
        <f>+B21-D21</f>
        <v>83399.296200000012</v>
      </c>
      <c r="D21" s="709">
        <v>171483.76948750002</v>
      </c>
      <c r="E21" s="709">
        <v>37666.866404166663</v>
      </c>
      <c r="F21" s="709">
        <v>206992.71020416665</v>
      </c>
      <c r="G21" s="709">
        <v>244659.57660833333</v>
      </c>
      <c r="H21" s="1382">
        <v>676.92228125002521</v>
      </c>
      <c r="I21" s="415"/>
      <c r="K21" s="459">
        <f t="shared" si="0"/>
        <v>37666.866404166663</v>
      </c>
      <c r="L21" s="458"/>
      <c r="M21" s="458"/>
      <c r="N21" s="458"/>
      <c r="O21" s="458">
        <f>+K21</f>
        <v>37666.866404166663</v>
      </c>
      <c r="P21" s="458"/>
      <c r="Q21" s="465" t="s">
        <v>17</v>
      </c>
      <c r="R21" s="465"/>
      <c r="S21" s="457">
        <f>+H21</f>
        <v>676.92228125002521</v>
      </c>
      <c r="T21" s="465"/>
      <c r="U21" s="465"/>
      <c r="V21" s="465"/>
      <c r="W21" s="458">
        <f>+S21</f>
        <v>676.92228125002521</v>
      </c>
      <c r="X21" s="465"/>
      <c r="Y21" s="464" t="s">
        <v>17</v>
      </c>
      <c r="AA21" s="443">
        <f>+M21</f>
        <v>0</v>
      </c>
      <c r="AB21" s="433"/>
      <c r="AC21" s="433"/>
      <c r="AD21" s="433"/>
      <c r="AE21" s="433">
        <f>+AA21</f>
        <v>0</v>
      </c>
      <c r="AF21" s="433"/>
      <c r="AG21" s="474" t="s">
        <v>17</v>
      </c>
      <c r="AH21" s="474"/>
      <c r="AI21" s="478">
        <f>+U21</f>
        <v>0</v>
      </c>
      <c r="AJ21" s="474"/>
      <c r="AK21" s="433"/>
      <c r="AL21" s="433"/>
      <c r="AM21" s="433">
        <f>+AI21</f>
        <v>0</v>
      </c>
      <c r="AN21" s="474"/>
      <c r="AO21" s="447" t="s">
        <v>17</v>
      </c>
    </row>
    <row r="22" spans="1:41">
      <c r="A22" s="417"/>
      <c r="B22" s="709"/>
      <c r="C22" s="709"/>
      <c r="D22" s="709"/>
      <c r="E22" s="709"/>
      <c r="F22" s="709"/>
      <c r="G22" s="709"/>
      <c r="H22" s="1382"/>
      <c r="I22" s="415"/>
      <c r="K22" s="459"/>
      <c r="L22" s="458"/>
      <c r="M22" s="458"/>
      <c r="N22" s="458"/>
      <c r="O22" s="458"/>
      <c r="P22" s="458"/>
      <c r="Q22" s="465"/>
      <c r="R22" s="465"/>
      <c r="S22" s="457"/>
      <c r="T22" s="465"/>
      <c r="U22" s="465"/>
      <c r="V22" s="465"/>
      <c r="W22" s="458"/>
      <c r="X22" s="465"/>
      <c r="Y22" s="464"/>
      <c r="AA22" s="443"/>
      <c r="AB22" s="433"/>
      <c r="AC22" s="433"/>
      <c r="AD22" s="433"/>
      <c r="AE22" s="433"/>
      <c r="AF22" s="433"/>
      <c r="AG22" s="474"/>
      <c r="AH22" s="474"/>
      <c r="AI22" s="478"/>
      <c r="AJ22" s="474"/>
      <c r="AK22" s="433"/>
      <c r="AL22" s="433"/>
      <c r="AM22" s="433"/>
      <c r="AN22" s="474"/>
      <c r="AO22" s="447"/>
    </row>
    <row r="23" spans="1:41">
      <c r="A23" s="417" t="s">
        <v>1341</v>
      </c>
      <c r="B23" s="709">
        <v>729202.82000000007</v>
      </c>
      <c r="C23" s="709">
        <f>+B23-D23</f>
        <v>0</v>
      </c>
      <c r="D23" s="709">
        <v>729202.82000000007</v>
      </c>
      <c r="E23" s="709">
        <v>66328.400666666668</v>
      </c>
      <c r="F23" s="709">
        <v>322631.64666666667</v>
      </c>
      <c r="G23" s="709">
        <v>388960.04733333335</v>
      </c>
      <c r="H23" s="1382">
        <v>325316.2205</v>
      </c>
      <c r="I23" s="415"/>
      <c r="K23" s="459">
        <f t="shared" si="0"/>
        <v>66328.400666666668</v>
      </c>
      <c r="L23" s="458"/>
      <c r="M23" s="458">
        <f>+K23*Ratios!F16</f>
        <v>2718.6741042130984</v>
      </c>
      <c r="N23" s="458"/>
      <c r="O23" s="458">
        <f>K23-M23</f>
        <v>63609.726562453572</v>
      </c>
      <c r="P23" s="458"/>
      <c r="Q23" s="465" t="s">
        <v>1429</v>
      </c>
      <c r="R23" s="465"/>
      <c r="S23" s="457">
        <f>+H23</f>
        <v>325316.2205</v>
      </c>
      <c r="T23" s="465"/>
      <c r="U23" s="458">
        <f>+S23*Ratios!F16</f>
        <v>13334.088798530278</v>
      </c>
      <c r="V23" s="465"/>
      <c r="W23" s="458">
        <f>S23-U23</f>
        <v>311982.13170146971</v>
      </c>
      <c r="X23" s="465"/>
      <c r="Y23" s="465" t="s">
        <v>1429</v>
      </c>
      <c r="AA23" s="443">
        <f>+M23</f>
        <v>2718.6741042130984</v>
      </c>
      <c r="AB23" s="433"/>
      <c r="AC23" s="433">
        <f>+AA23</f>
        <v>2718.6741042130984</v>
      </c>
      <c r="AD23" s="433"/>
      <c r="AE23" s="433">
        <v>0</v>
      </c>
      <c r="AF23" s="433"/>
      <c r="AG23" s="474" t="s">
        <v>17</v>
      </c>
      <c r="AH23" s="474"/>
      <c r="AI23" s="478">
        <f>+U23</f>
        <v>13334.088798530278</v>
      </c>
      <c r="AJ23" s="474"/>
      <c r="AK23" s="433">
        <f>+AI23</f>
        <v>13334.088798530278</v>
      </c>
      <c r="AL23" s="433"/>
      <c r="AM23" s="433">
        <v>0</v>
      </c>
      <c r="AN23" s="474"/>
      <c r="AO23" s="447" t="s">
        <v>17</v>
      </c>
    </row>
    <row r="24" spans="1:41" s="407" customFormat="1">
      <c r="A24" s="417"/>
      <c r="B24" s="709"/>
      <c r="C24" s="709"/>
      <c r="D24" s="709"/>
      <c r="E24" s="709"/>
      <c r="F24" s="709"/>
      <c r="G24" s="709"/>
      <c r="H24" s="1382"/>
      <c r="I24" s="415"/>
      <c r="K24" s="466"/>
      <c r="L24" s="465"/>
      <c r="M24" s="465"/>
      <c r="N24" s="465"/>
      <c r="O24" s="465"/>
      <c r="P24" s="465"/>
      <c r="Q24" s="465"/>
      <c r="R24" s="465"/>
      <c r="S24" s="465"/>
      <c r="T24" s="465"/>
      <c r="U24" s="465"/>
      <c r="V24" s="465"/>
      <c r="W24" s="465"/>
      <c r="X24" s="465"/>
      <c r="Y24" s="464"/>
      <c r="AA24" s="431"/>
      <c r="AB24" s="474"/>
      <c r="AC24" s="474"/>
      <c r="AD24" s="474"/>
      <c r="AE24" s="474"/>
      <c r="AF24" s="474"/>
      <c r="AG24" s="474"/>
      <c r="AH24" s="474"/>
      <c r="AI24" s="474"/>
      <c r="AJ24" s="474"/>
      <c r="AK24" s="474"/>
      <c r="AL24" s="474"/>
      <c r="AM24" s="474"/>
      <c r="AN24" s="474"/>
      <c r="AO24" s="447"/>
    </row>
    <row r="25" spans="1:41">
      <c r="A25" s="414" t="s">
        <v>1218</v>
      </c>
      <c r="B25" s="424">
        <f t="shared" ref="B25:H25" si="1">SUM(B9:B24)</f>
        <v>35242891.140750006</v>
      </c>
      <c r="C25" s="424">
        <f>+B25-D25</f>
        <v>3561251.859700013</v>
      </c>
      <c r="D25" s="424">
        <f t="shared" si="1"/>
        <v>31681639.281049993</v>
      </c>
      <c r="E25" s="424">
        <f t="shared" si="1"/>
        <v>2448624.2916507935</v>
      </c>
      <c r="F25" s="424">
        <f t="shared" si="1"/>
        <v>18681755.911350798</v>
      </c>
      <c r="G25" s="424">
        <f t="shared" si="1"/>
        <v>21130380.203001585</v>
      </c>
      <c r="H25" s="1383">
        <f t="shared" si="1"/>
        <v>12727738.462573811</v>
      </c>
      <c r="I25" s="415"/>
      <c r="K25" s="456">
        <f>+SUM(K9:K24)</f>
        <v>2448624.2916507935</v>
      </c>
      <c r="L25" s="465"/>
      <c r="M25" s="471">
        <f>+SUM(M9:M24)</f>
        <v>931891.94894671266</v>
      </c>
      <c r="N25" s="465"/>
      <c r="O25" s="471">
        <f>+SUM(O9:O24)</f>
        <v>1516732.342704081</v>
      </c>
      <c r="P25" s="465"/>
      <c r="Q25" s="465"/>
      <c r="R25" s="465"/>
      <c r="S25" s="471">
        <f>+SUM(S9:S24)</f>
        <v>12727738.462573811</v>
      </c>
      <c r="T25" s="465"/>
      <c r="U25" s="471">
        <f>+SUM(U9:U24)</f>
        <v>3890331.0455523515</v>
      </c>
      <c r="V25" s="465"/>
      <c r="W25" s="471">
        <f>+SUM(W9:W24)</f>
        <v>8837407.4170214571</v>
      </c>
      <c r="X25" s="465"/>
      <c r="Y25" s="464"/>
      <c r="AA25" s="442">
        <f>+SUM(AA9:AA24)</f>
        <v>931891.94894671266</v>
      </c>
      <c r="AB25" s="474"/>
      <c r="AC25" s="441">
        <f>+SUM(AC9:AC24)</f>
        <v>757147.61716942652</v>
      </c>
      <c r="AD25" s="474"/>
      <c r="AE25" s="441">
        <f>+SUM(AE9:AE24)</f>
        <v>174744.33177728613</v>
      </c>
      <c r="AF25" s="474"/>
      <c r="AG25" s="474"/>
      <c r="AH25" s="474"/>
      <c r="AI25" s="441">
        <f>+SUM(AI9:AI24)</f>
        <v>3890331.0455523515</v>
      </c>
      <c r="AJ25" s="474"/>
      <c r="AK25" s="441">
        <f>+SUM(AK9:AK24)</f>
        <v>3025845.1631012606</v>
      </c>
      <c r="AL25" s="474"/>
      <c r="AM25" s="441">
        <f>+SUM(AM9:AM24)</f>
        <v>864485.88245109108</v>
      </c>
      <c r="AN25" s="474"/>
      <c r="AO25" s="447"/>
    </row>
    <row r="26" spans="1:41">
      <c r="A26" s="417"/>
      <c r="B26" s="709" t="s">
        <v>401</v>
      </c>
      <c r="C26" s="709"/>
      <c r="D26" s="709"/>
      <c r="E26" s="709"/>
      <c r="F26" s="709"/>
      <c r="G26" s="709"/>
      <c r="H26" s="1382"/>
      <c r="I26" s="415"/>
      <c r="K26" s="466"/>
      <c r="L26" s="465"/>
      <c r="M26" s="465"/>
      <c r="N26" s="465"/>
      <c r="O26" s="465"/>
      <c r="P26" s="465"/>
      <c r="Q26" s="465"/>
      <c r="R26" s="465"/>
      <c r="S26" s="465"/>
      <c r="T26" s="465"/>
      <c r="U26" s="465"/>
      <c r="V26" s="465"/>
      <c r="W26" s="465"/>
      <c r="X26" s="465"/>
      <c r="Y26" s="464"/>
      <c r="AA26" s="431"/>
      <c r="AB26" s="474"/>
      <c r="AC26" s="474"/>
      <c r="AD26" s="474"/>
      <c r="AE26" s="474"/>
      <c r="AF26" s="474"/>
      <c r="AG26" s="474"/>
      <c r="AH26" s="474"/>
      <c r="AI26" s="474"/>
      <c r="AJ26" s="474"/>
      <c r="AK26" s="474"/>
      <c r="AL26" s="474"/>
      <c r="AM26" s="474"/>
      <c r="AN26" s="474"/>
      <c r="AO26" s="447"/>
    </row>
    <row r="27" spans="1:41">
      <c r="A27" s="414" t="s">
        <v>1219</v>
      </c>
      <c r="B27" s="709"/>
      <c r="C27" s="709"/>
      <c r="D27" s="709"/>
      <c r="E27" s="709"/>
      <c r="F27" s="709"/>
      <c r="G27" s="709"/>
      <c r="H27" s="1382"/>
      <c r="I27" s="415"/>
      <c r="K27" s="466"/>
      <c r="L27" s="465"/>
      <c r="M27" s="465"/>
      <c r="N27" s="465"/>
      <c r="O27" s="465"/>
      <c r="P27" s="465"/>
      <c r="Q27" s="465"/>
      <c r="R27" s="465"/>
      <c r="S27" s="465"/>
      <c r="T27" s="465"/>
      <c r="U27" s="465"/>
      <c r="V27" s="465"/>
      <c r="W27" s="465"/>
      <c r="X27" s="465"/>
      <c r="Y27" s="464"/>
      <c r="AA27" s="431"/>
      <c r="AB27" s="474"/>
      <c r="AC27" s="474"/>
      <c r="AD27" s="474"/>
      <c r="AE27" s="474"/>
      <c r="AF27" s="474"/>
      <c r="AG27" s="474"/>
      <c r="AH27" s="474"/>
      <c r="AI27" s="474"/>
      <c r="AJ27" s="474"/>
      <c r="AK27" s="474"/>
      <c r="AL27" s="474"/>
      <c r="AM27" s="474"/>
      <c r="AN27" s="474"/>
      <c r="AO27" s="447"/>
    </row>
    <row r="28" spans="1:41">
      <c r="A28" s="417" t="s">
        <v>1220</v>
      </c>
      <c r="B28" s="709">
        <v>1826327.4399999995</v>
      </c>
      <c r="C28" s="709">
        <f>+B28-D28</f>
        <v>0</v>
      </c>
      <c r="D28" s="709">
        <v>1826327.4399999995</v>
      </c>
      <c r="E28" s="709">
        <v>87574.631428571403</v>
      </c>
      <c r="F28" s="709">
        <v>1414379.7728571426</v>
      </c>
      <c r="G28" s="709">
        <v>1501954.4042857138</v>
      </c>
      <c r="H28" s="1382">
        <v>368160.35142857145</v>
      </c>
      <c r="I28" s="415"/>
      <c r="K28" s="459">
        <f t="shared" ref="K28:K40" si="2">+E28</f>
        <v>87574.631428571403</v>
      </c>
      <c r="L28" s="458"/>
      <c r="M28" s="458"/>
      <c r="N28" s="458"/>
      <c r="O28" s="458">
        <f>+K28</f>
        <v>87574.631428571403</v>
      </c>
      <c r="P28" s="465"/>
      <c r="Q28" s="465" t="s">
        <v>17</v>
      </c>
      <c r="R28" s="465"/>
      <c r="S28" s="457">
        <f>+H28</f>
        <v>368160.35142857145</v>
      </c>
      <c r="T28" s="465"/>
      <c r="U28" s="458"/>
      <c r="V28" s="458"/>
      <c r="W28" s="458">
        <f>+S28</f>
        <v>368160.35142857145</v>
      </c>
      <c r="X28" s="465"/>
      <c r="Y28" s="464" t="s">
        <v>17</v>
      </c>
      <c r="AA28" s="443">
        <f>+M28</f>
        <v>0</v>
      </c>
      <c r="AB28" s="433"/>
      <c r="AC28" s="433"/>
      <c r="AD28" s="433"/>
      <c r="AE28" s="433">
        <f>+AA28</f>
        <v>0</v>
      </c>
      <c r="AF28" s="474"/>
      <c r="AG28" s="474" t="s">
        <v>17</v>
      </c>
      <c r="AH28" s="474"/>
      <c r="AI28" s="478">
        <f>+U28</f>
        <v>0</v>
      </c>
      <c r="AJ28" s="474"/>
      <c r="AK28" s="433"/>
      <c r="AL28" s="433"/>
      <c r="AM28" s="433">
        <f>+AI28</f>
        <v>0</v>
      </c>
      <c r="AN28" s="474"/>
      <c r="AO28" s="447" t="s">
        <v>17</v>
      </c>
    </row>
    <row r="29" spans="1:41">
      <c r="A29" s="417"/>
      <c r="B29" s="709"/>
      <c r="C29" s="709"/>
      <c r="D29" s="709"/>
      <c r="E29" s="709"/>
      <c r="F29" s="709"/>
      <c r="G29" s="709"/>
      <c r="H29" s="1382"/>
      <c r="I29" s="415"/>
      <c r="K29" s="459"/>
      <c r="L29" s="458"/>
      <c r="M29" s="458"/>
      <c r="N29" s="458"/>
      <c r="O29" s="458"/>
      <c r="P29" s="465"/>
      <c r="Q29" s="465"/>
      <c r="R29" s="465"/>
      <c r="S29" s="465"/>
      <c r="T29" s="465"/>
      <c r="U29" s="458"/>
      <c r="V29" s="458"/>
      <c r="W29" s="458"/>
      <c r="X29" s="465"/>
      <c r="Y29" s="464"/>
      <c r="AA29" s="443"/>
      <c r="AB29" s="433"/>
      <c r="AC29" s="433"/>
      <c r="AD29" s="433"/>
      <c r="AE29" s="433"/>
      <c r="AF29" s="474"/>
      <c r="AG29" s="474"/>
      <c r="AH29" s="474"/>
      <c r="AI29" s="474"/>
      <c r="AJ29" s="474"/>
      <c r="AK29" s="433"/>
      <c r="AL29" s="433"/>
      <c r="AM29" s="433"/>
      <c r="AN29" s="474"/>
      <c r="AO29" s="447"/>
    </row>
    <row r="30" spans="1:41">
      <c r="A30" s="417" t="s">
        <v>1221</v>
      </c>
      <c r="B30" s="709">
        <v>4436271.5277777761</v>
      </c>
      <c r="C30" s="709">
        <f t="shared" ref="C30:C40" si="3">+B30-D30</f>
        <v>0</v>
      </c>
      <c r="D30" s="709">
        <v>4436271.5277777761</v>
      </c>
      <c r="E30" s="709">
        <v>348891.44939682551</v>
      </c>
      <c r="F30" s="709">
        <v>2843270.9554285733</v>
      </c>
      <c r="G30" s="709">
        <v>3192162.4048253959</v>
      </c>
      <c r="H30" s="1382">
        <v>1418554.8476507941</v>
      </c>
      <c r="I30" s="415"/>
      <c r="K30" s="459">
        <f t="shared" si="2"/>
        <v>348891.44939682551</v>
      </c>
      <c r="L30" s="458"/>
      <c r="M30" s="458"/>
      <c r="N30" s="458"/>
      <c r="O30" s="458">
        <f>+K30</f>
        <v>348891.44939682551</v>
      </c>
      <c r="P30" s="465"/>
      <c r="Q30" s="465" t="s">
        <v>17</v>
      </c>
      <c r="R30" s="465"/>
      <c r="S30" s="457">
        <f>+H30</f>
        <v>1418554.8476507941</v>
      </c>
      <c r="T30" s="465"/>
      <c r="U30" s="458"/>
      <c r="V30" s="458"/>
      <c r="W30" s="458">
        <f>+S30</f>
        <v>1418554.8476507941</v>
      </c>
      <c r="X30" s="465"/>
      <c r="Y30" s="464" t="s">
        <v>17</v>
      </c>
      <c r="AA30" s="443">
        <f>+M30</f>
        <v>0</v>
      </c>
      <c r="AB30" s="433"/>
      <c r="AC30" s="433"/>
      <c r="AD30" s="433"/>
      <c r="AE30" s="433">
        <f>+AA30</f>
        <v>0</v>
      </c>
      <c r="AF30" s="474"/>
      <c r="AG30" s="474" t="s">
        <v>17</v>
      </c>
      <c r="AH30" s="474"/>
      <c r="AI30" s="478">
        <f>+U30</f>
        <v>0</v>
      </c>
      <c r="AJ30" s="474"/>
      <c r="AK30" s="433"/>
      <c r="AL30" s="433"/>
      <c r="AM30" s="433">
        <f>+AI30</f>
        <v>0</v>
      </c>
      <c r="AN30" s="474"/>
      <c r="AO30" s="447" t="s">
        <v>17</v>
      </c>
    </row>
    <row r="31" spans="1:41">
      <c r="A31" s="417"/>
      <c r="B31" s="709"/>
      <c r="C31" s="709"/>
      <c r="D31" s="709"/>
      <c r="E31" s="709"/>
      <c r="F31" s="709"/>
      <c r="G31" s="709"/>
      <c r="H31" s="1382"/>
      <c r="I31" s="415"/>
      <c r="K31" s="459"/>
      <c r="L31" s="458"/>
      <c r="M31" s="458"/>
      <c r="N31" s="458"/>
      <c r="O31" s="458"/>
      <c r="P31" s="465"/>
      <c r="Q31" s="465"/>
      <c r="R31" s="465"/>
      <c r="S31" s="465"/>
      <c r="T31" s="465"/>
      <c r="U31" s="458"/>
      <c r="V31" s="458"/>
      <c r="W31" s="458"/>
      <c r="X31" s="465"/>
      <c r="Y31" s="464"/>
      <c r="AA31" s="443"/>
      <c r="AB31" s="433"/>
      <c r="AC31" s="433"/>
      <c r="AD31" s="433"/>
      <c r="AE31" s="433"/>
      <c r="AF31" s="474"/>
      <c r="AG31" s="474"/>
      <c r="AH31" s="474"/>
      <c r="AI31" s="474"/>
      <c r="AJ31" s="474"/>
      <c r="AK31" s="433"/>
      <c r="AL31" s="433"/>
      <c r="AM31" s="433"/>
      <c r="AN31" s="474"/>
      <c r="AO31" s="447"/>
    </row>
    <row r="32" spans="1:41">
      <c r="A32" s="417" t="s">
        <v>1222</v>
      </c>
      <c r="B32" s="709">
        <v>2944461.0199999996</v>
      </c>
      <c r="C32" s="709">
        <f t="shared" si="3"/>
        <v>0</v>
      </c>
      <c r="D32" s="709">
        <v>2944461.0199999996</v>
      </c>
      <c r="E32" s="709">
        <v>245416.06285714288</v>
      </c>
      <c r="F32" s="709">
        <v>1891688.9971428548</v>
      </c>
      <c r="G32" s="709">
        <v>2137105.0599999987</v>
      </c>
      <c r="H32" s="1382">
        <v>930063.99142857129</v>
      </c>
      <c r="I32" s="415"/>
      <c r="K32" s="459">
        <f t="shared" si="2"/>
        <v>245416.06285714288</v>
      </c>
      <c r="L32" s="458"/>
      <c r="M32" s="458"/>
      <c r="N32" s="458"/>
      <c r="O32" s="458">
        <f>+K32</f>
        <v>245416.06285714288</v>
      </c>
      <c r="P32" s="465"/>
      <c r="Q32" s="465" t="s">
        <v>17</v>
      </c>
      <c r="R32" s="465"/>
      <c r="S32" s="457">
        <f>+H32</f>
        <v>930063.99142857129</v>
      </c>
      <c r="T32" s="465"/>
      <c r="U32" s="458"/>
      <c r="V32" s="458"/>
      <c r="W32" s="458">
        <f>+S32</f>
        <v>930063.99142857129</v>
      </c>
      <c r="X32" s="465"/>
      <c r="Y32" s="464" t="s">
        <v>17</v>
      </c>
      <c r="AA32" s="443">
        <f>+M32</f>
        <v>0</v>
      </c>
      <c r="AB32" s="433"/>
      <c r="AC32" s="433"/>
      <c r="AD32" s="433"/>
      <c r="AE32" s="433">
        <f>+AA32</f>
        <v>0</v>
      </c>
      <c r="AF32" s="474"/>
      <c r="AG32" s="474" t="s">
        <v>17</v>
      </c>
      <c r="AH32" s="474"/>
      <c r="AI32" s="478">
        <f>+U32</f>
        <v>0</v>
      </c>
      <c r="AJ32" s="474"/>
      <c r="AK32" s="433"/>
      <c r="AL32" s="433"/>
      <c r="AM32" s="433">
        <f>+AI32</f>
        <v>0</v>
      </c>
      <c r="AN32" s="474"/>
      <c r="AO32" s="447" t="s">
        <v>17</v>
      </c>
    </row>
    <row r="33" spans="1:41">
      <c r="A33" s="417"/>
      <c r="B33" s="709"/>
      <c r="C33" s="709"/>
      <c r="D33" s="709"/>
      <c r="E33" s="709"/>
      <c r="F33" s="709"/>
      <c r="G33" s="709"/>
      <c r="H33" s="1382"/>
      <c r="I33" s="415"/>
      <c r="K33" s="459"/>
      <c r="L33" s="458"/>
      <c r="M33" s="458"/>
      <c r="N33" s="458"/>
      <c r="O33" s="458"/>
      <c r="P33" s="465"/>
      <c r="Q33" s="465"/>
      <c r="R33" s="465"/>
      <c r="S33" s="465"/>
      <c r="T33" s="465"/>
      <c r="U33" s="458"/>
      <c r="V33" s="458"/>
      <c r="W33" s="458"/>
      <c r="X33" s="465"/>
      <c r="Y33" s="464"/>
      <c r="AA33" s="443"/>
      <c r="AB33" s="433"/>
      <c r="AC33" s="433"/>
      <c r="AD33" s="433"/>
      <c r="AE33" s="433"/>
      <c r="AF33" s="474"/>
      <c r="AG33" s="474"/>
      <c r="AH33" s="474"/>
      <c r="AI33" s="474"/>
      <c r="AJ33" s="474"/>
      <c r="AK33" s="433"/>
      <c r="AL33" s="433"/>
      <c r="AM33" s="433"/>
      <c r="AN33" s="474"/>
      <c r="AO33" s="447"/>
    </row>
    <row r="34" spans="1:41">
      <c r="A34" s="417" t="s">
        <v>1223</v>
      </c>
      <c r="B34" s="709">
        <v>156235.66999999998</v>
      </c>
      <c r="C34" s="709">
        <f t="shared" si="3"/>
        <v>0</v>
      </c>
      <c r="D34" s="709">
        <v>156235.66999999998</v>
      </c>
      <c r="E34" s="709">
        <v>11174.837499999998</v>
      </c>
      <c r="F34" s="709">
        <v>53844.879166666688</v>
      </c>
      <c r="G34" s="709">
        <v>65019.71666666666</v>
      </c>
      <c r="H34" s="1382">
        <v>96803.372083333335</v>
      </c>
      <c r="I34" s="415"/>
      <c r="K34" s="459">
        <f t="shared" si="2"/>
        <v>11174.837499999998</v>
      </c>
      <c r="L34" s="458"/>
      <c r="M34" s="458"/>
      <c r="N34" s="458"/>
      <c r="O34" s="458">
        <f>+K34</f>
        <v>11174.837499999998</v>
      </c>
      <c r="P34" s="465"/>
      <c r="Q34" s="465" t="s">
        <v>17</v>
      </c>
      <c r="R34" s="465"/>
      <c r="S34" s="457">
        <f>+H34</f>
        <v>96803.372083333335</v>
      </c>
      <c r="T34" s="465"/>
      <c r="U34" s="458"/>
      <c r="V34" s="458"/>
      <c r="W34" s="458">
        <f>+S34</f>
        <v>96803.372083333335</v>
      </c>
      <c r="X34" s="465"/>
      <c r="Y34" s="464" t="s">
        <v>17</v>
      </c>
      <c r="AA34" s="443">
        <f>+M34</f>
        <v>0</v>
      </c>
      <c r="AB34" s="433"/>
      <c r="AC34" s="433"/>
      <c r="AD34" s="433"/>
      <c r="AE34" s="433">
        <f>+AA34</f>
        <v>0</v>
      </c>
      <c r="AF34" s="474"/>
      <c r="AG34" s="474" t="s">
        <v>17</v>
      </c>
      <c r="AH34" s="474"/>
      <c r="AI34" s="478">
        <f>+U34</f>
        <v>0</v>
      </c>
      <c r="AJ34" s="474"/>
      <c r="AK34" s="433"/>
      <c r="AL34" s="433"/>
      <c r="AM34" s="433">
        <f>+AI34</f>
        <v>0</v>
      </c>
      <c r="AN34" s="474"/>
      <c r="AO34" s="447" t="s">
        <v>17</v>
      </c>
    </row>
    <row r="35" spans="1:41">
      <c r="A35" s="417"/>
      <c r="B35" s="709"/>
      <c r="C35" s="709"/>
      <c r="D35" s="709"/>
      <c r="E35" s="709"/>
      <c r="F35" s="709"/>
      <c r="G35" s="709"/>
      <c r="H35" s="1382"/>
      <c r="I35" s="415"/>
      <c r="K35" s="459"/>
      <c r="L35" s="458"/>
      <c r="M35" s="458"/>
      <c r="N35" s="458"/>
      <c r="O35" s="458"/>
      <c r="P35" s="465"/>
      <c r="Q35" s="465"/>
      <c r="R35" s="465"/>
      <c r="S35" s="465"/>
      <c r="T35" s="465"/>
      <c r="U35" s="458"/>
      <c r="V35" s="458"/>
      <c r="W35" s="458"/>
      <c r="X35" s="465"/>
      <c r="Y35" s="464"/>
      <c r="AA35" s="443"/>
      <c r="AB35" s="433"/>
      <c r="AC35" s="433"/>
      <c r="AD35" s="433"/>
      <c r="AE35" s="433"/>
      <c r="AF35" s="474"/>
      <c r="AG35" s="474"/>
      <c r="AH35" s="474"/>
      <c r="AI35" s="474"/>
      <c r="AJ35" s="474"/>
      <c r="AK35" s="433"/>
      <c r="AL35" s="433"/>
      <c r="AM35" s="433"/>
      <c r="AN35" s="474"/>
      <c r="AO35" s="447"/>
    </row>
    <row r="36" spans="1:41">
      <c r="A36" s="417" t="s">
        <v>1224</v>
      </c>
      <c r="B36" s="709">
        <v>2080932.6800000002</v>
      </c>
      <c r="C36" s="709">
        <f t="shared" si="3"/>
        <v>0</v>
      </c>
      <c r="D36" s="709">
        <v>2080932.6800000002</v>
      </c>
      <c r="E36" s="709">
        <v>56734.142142857127</v>
      </c>
      <c r="F36" s="709">
        <v>1696284.797738095</v>
      </c>
      <c r="G36" s="709">
        <v>1753018.9398809518</v>
      </c>
      <c r="H36" s="1382">
        <v>356280.81119047618</v>
      </c>
      <c r="I36" s="415"/>
      <c r="K36" s="459">
        <f t="shared" si="2"/>
        <v>56734.142142857127</v>
      </c>
      <c r="L36" s="458"/>
      <c r="M36" s="458">
        <f>+K36*Ratios!$F$28</f>
        <v>27583.519055528239</v>
      </c>
      <c r="N36" s="458"/>
      <c r="O36" s="458">
        <f>+K36-M36</f>
        <v>29150.623087328888</v>
      </c>
      <c r="P36" s="465"/>
      <c r="Q36" s="465" t="s">
        <v>1430</v>
      </c>
      <c r="R36" s="465"/>
      <c r="S36" s="457">
        <f>+H36</f>
        <v>356280.81119047618</v>
      </c>
      <c r="T36" s="465"/>
      <c r="U36" s="458">
        <f>+S36*Ratios!$F$28</f>
        <v>173219.83154069501</v>
      </c>
      <c r="V36" s="458"/>
      <c r="W36" s="458">
        <f>+S36-U36</f>
        <v>183060.97964978116</v>
      </c>
      <c r="X36" s="465"/>
      <c r="Y36" s="465" t="s">
        <v>1430</v>
      </c>
      <c r="AA36" s="443">
        <f>+M36</f>
        <v>27583.519055528239</v>
      </c>
      <c r="AB36" s="433"/>
      <c r="AC36" s="433">
        <f>+AA36</f>
        <v>27583.519055528239</v>
      </c>
      <c r="AD36" s="433"/>
      <c r="AE36" s="433">
        <v>0</v>
      </c>
      <c r="AF36" s="474"/>
      <c r="AG36" s="474" t="s">
        <v>17</v>
      </c>
      <c r="AH36" s="474"/>
      <c r="AI36" s="478">
        <f>+U36</f>
        <v>173219.83154069501</v>
      </c>
      <c r="AJ36" s="474"/>
      <c r="AK36" s="433">
        <f>+AI36</f>
        <v>173219.83154069501</v>
      </c>
      <c r="AL36" s="433"/>
      <c r="AM36" s="433">
        <v>0</v>
      </c>
      <c r="AN36" s="474"/>
      <c r="AO36" s="447" t="s">
        <v>1236</v>
      </c>
    </row>
    <row r="37" spans="1:41">
      <c r="A37" s="417"/>
      <c r="B37" s="709"/>
      <c r="C37" s="709"/>
      <c r="D37" s="709"/>
      <c r="E37" s="709"/>
      <c r="F37" s="709"/>
      <c r="G37" s="709"/>
      <c r="H37" s="1382"/>
      <c r="I37" s="415"/>
      <c r="K37" s="459"/>
      <c r="L37" s="458"/>
      <c r="M37" s="458"/>
      <c r="N37" s="458"/>
      <c r="O37" s="458"/>
      <c r="P37" s="465"/>
      <c r="Q37" s="465"/>
      <c r="R37" s="465"/>
      <c r="S37" s="465"/>
      <c r="T37" s="465"/>
      <c r="U37" s="458"/>
      <c r="V37" s="458"/>
      <c r="W37" s="458"/>
      <c r="X37" s="465"/>
      <c r="Y37" s="464"/>
      <c r="AA37" s="443"/>
      <c r="AB37" s="433"/>
      <c r="AC37" s="433"/>
      <c r="AD37" s="433"/>
      <c r="AE37" s="433"/>
      <c r="AF37" s="474"/>
      <c r="AG37" s="474"/>
      <c r="AH37" s="474"/>
      <c r="AI37" s="474"/>
      <c r="AJ37" s="474"/>
      <c r="AK37" s="433"/>
      <c r="AL37" s="433"/>
      <c r="AM37" s="433"/>
      <c r="AN37" s="474"/>
      <c r="AO37" s="447"/>
    </row>
    <row r="38" spans="1:41">
      <c r="A38" s="417" t="s">
        <v>1225</v>
      </c>
      <c r="B38" s="709">
        <v>3461239.8299999991</v>
      </c>
      <c r="C38" s="709">
        <f t="shared" si="3"/>
        <v>0</v>
      </c>
      <c r="D38" s="709">
        <v>3461239.8299999991</v>
      </c>
      <c r="E38" s="709">
        <v>101369.95583333333</v>
      </c>
      <c r="F38" s="709">
        <v>2331643.9266666668</v>
      </c>
      <c r="G38" s="709">
        <v>2433013.8825000008</v>
      </c>
      <c r="H38" s="1382">
        <v>1078910.925416667</v>
      </c>
      <c r="I38" s="415"/>
      <c r="K38" s="459">
        <f t="shared" si="2"/>
        <v>101369.95583333333</v>
      </c>
      <c r="L38" s="458"/>
      <c r="M38" s="458">
        <f>K38*Ratios!$F$30</f>
        <v>45416.114912152269</v>
      </c>
      <c r="N38" s="458"/>
      <c r="O38" s="458">
        <f>+K38-M38</f>
        <v>55953.840921181058</v>
      </c>
      <c r="P38" s="465"/>
      <c r="Q38" s="465" t="s">
        <v>1431</v>
      </c>
      <c r="R38" s="465"/>
      <c r="S38" s="457">
        <f>+H38</f>
        <v>1078910.925416667</v>
      </c>
      <c r="T38" s="465"/>
      <c r="U38" s="458">
        <f>S38*Ratios!$F$30</f>
        <v>483377.36922035157</v>
      </c>
      <c r="V38" s="458"/>
      <c r="W38" s="458">
        <f>+S38-U38</f>
        <v>595533.55619631545</v>
      </c>
      <c r="X38" s="465"/>
      <c r="Y38" s="465" t="s">
        <v>1431</v>
      </c>
      <c r="AA38" s="443">
        <f>+M38</f>
        <v>45416.114912152269</v>
      </c>
      <c r="AB38" s="433"/>
      <c r="AC38" s="433">
        <v>0</v>
      </c>
      <c r="AD38" s="433"/>
      <c r="AE38" s="433">
        <f>+AA38</f>
        <v>45416.114912152269</v>
      </c>
      <c r="AF38" s="474"/>
      <c r="AG38" s="474" t="s">
        <v>17</v>
      </c>
      <c r="AH38" s="474"/>
      <c r="AI38" s="478">
        <f>+U38</f>
        <v>483377.36922035157</v>
      </c>
      <c r="AJ38" s="474"/>
      <c r="AK38" s="433">
        <v>0</v>
      </c>
      <c r="AL38" s="433"/>
      <c r="AM38" s="433">
        <f>+AI38</f>
        <v>483377.36922035157</v>
      </c>
      <c r="AN38" s="474"/>
      <c r="AO38" s="447" t="s">
        <v>1236</v>
      </c>
    </row>
    <row r="39" spans="1:41">
      <c r="A39" s="417"/>
      <c r="B39" s="709"/>
      <c r="C39" s="709"/>
      <c r="D39" s="709"/>
      <c r="E39" s="709"/>
      <c r="F39" s="709"/>
      <c r="G39" s="709"/>
      <c r="H39" s="1382"/>
      <c r="I39" s="415"/>
      <c r="K39" s="459"/>
      <c r="L39" s="458"/>
      <c r="M39" s="458"/>
      <c r="N39" s="458"/>
      <c r="O39" s="458"/>
      <c r="P39" s="465"/>
      <c r="Q39" s="465"/>
      <c r="R39" s="465"/>
      <c r="S39" s="465"/>
      <c r="T39" s="465"/>
      <c r="U39" s="458"/>
      <c r="V39" s="458"/>
      <c r="W39" s="458"/>
      <c r="X39" s="465"/>
      <c r="Y39" s="464"/>
      <c r="AA39" s="443"/>
      <c r="AB39" s="433"/>
      <c r="AC39" s="433"/>
      <c r="AD39" s="433"/>
      <c r="AE39" s="433"/>
      <c r="AF39" s="474"/>
      <c r="AG39" s="474"/>
      <c r="AH39" s="474"/>
      <c r="AI39" s="474"/>
      <c r="AJ39" s="474"/>
      <c r="AK39" s="433"/>
      <c r="AL39" s="433"/>
      <c r="AM39" s="433"/>
      <c r="AN39" s="474"/>
      <c r="AO39" s="447"/>
    </row>
    <row r="40" spans="1:41">
      <c r="A40" s="417" t="s">
        <v>1226</v>
      </c>
      <c r="B40" s="709">
        <v>33104.729999999996</v>
      </c>
      <c r="C40" s="709">
        <f t="shared" si="3"/>
        <v>0</v>
      </c>
      <c r="D40" s="709">
        <v>33104.729999999996</v>
      </c>
      <c r="E40" s="709">
        <v>4729.2471428571434</v>
      </c>
      <c r="F40" s="709">
        <v>8212.2142857142844</v>
      </c>
      <c r="G40" s="709">
        <v>12941.461428571427</v>
      </c>
      <c r="H40" s="1382">
        <v>22527.892142857145</v>
      </c>
      <c r="I40" s="415"/>
      <c r="K40" s="459">
        <f t="shared" si="2"/>
        <v>4729.2471428571434</v>
      </c>
      <c r="L40" s="458"/>
      <c r="M40" s="458"/>
      <c r="N40" s="458"/>
      <c r="O40" s="458">
        <f>+K40</f>
        <v>4729.2471428571434</v>
      </c>
      <c r="P40" s="465"/>
      <c r="Q40" s="465" t="s">
        <v>17</v>
      </c>
      <c r="R40" s="465"/>
      <c r="S40" s="457">
        <f>+H40</f>
        <v>22527.892142857145</v>
      </c>
      <c r="T40" s="465"/>
      <c r="U40" s="458"/>
      <c r="V40" s="458"/>
      <c r="W40" s="458">
        <f>+S40</f>
        <v>22527.892142857145</v>
      </c>
      <c r="X40" s="465"/>
      <c r="Y40" s="464" t="s">
        <v>17</v>
      </c>
      <c r="AA40" s="443">
        <f>+M40</f>
        <v>0</v>
      </c>
      <c r="AB40" s="433"/>
      <c r="AC40" s="433"/>
      <c r="AD40" s="433"/>
      <c r="AE40" s="433">
        <f>+AA40</f>
        <v>0</v>
      </c>
      <c r="AF40" s="474"/>
      <c r="AG40" s="474" t="s">
        <v>17</v>
      </c>
      <c r="AH40" s="474"/>
      <c r="AI40" s="478">
        <f>+U40</f>
        <v>0</v>
      </c>
      <c r="AJ40" s="474"/>
      <c r="AK40" s="433"/>
      <c r="AL40" s="433"/>
      <c r="AM40" s="433">
        <f>+AI40</f>
        <v>0</v>
      </c>
      <c r="AN40" s="474"/>
      <c r="AO40" s="447" t="s">
        <v>17</v>
      </c>
    </row>
    <row r="41" spans="1:41">
      <c r="A41" s="417"/>
      <c r="B41" s="709"/>
      <c r="C41" s="709"/>
      <c r="D41" s="709"/>
      <c r="E41" s="709"/>
      <c r="F41" s="709"/>
      <c r="G41" s="709"/>
      <c r="H41" s="1382"/>
      <c r="I41" s="415"/>
      <c r="K41" s="466"/>
      <c r="L41" s="465"/>
      <c r="M41" s="465"/>
      <c r="N41" s="465"/>
      <c r="O41" s="465"/>
      <c r="P41" s="465"/>
      <c r="Q41" s="465"/>
      <c r="R41" s="465"/>
      <c r="S41" s="465"/>
      <c r="T41" s="465"/>
      <c r="U41" s="465"/>
      <c r="V41" s="465"/>
      <c r="W41" s="465"/>
      <c r="X41" s="465"/>
      <c r="Y41" s="464"/>
      <c r="AA41" s="431"/>
      <c r="AB41" s="474"/>
      <c r="AC41" s="474"/>
      <c r="AD41" s="474"/>
      <c r="AE41" s="474"/>
      <c r="AF41" s="474"/>
      <c r="AG41" s="474"/>
      <c r="AH41" s="474"/>
      <c r="AI41" s="474"/>
      <c r="AJ41" s="474"/>
      <c r="AK41" s="474"/>
      <c r="AL41" s="474"/>
      <c r="AM41" s="474"/>
      <c r="AN41" s="474"/>
      <c r="AO41" s="447"/>
    </row>
    <row r="42" spans="1:41">
      <c r="A42" s="414" t="s">
        <v>1227</v>
      </c>
      <c r="B42" s="424">
        <f t="shared" ref="B42:H42" si="4">SUM(B28:B41)</f>
        <v>14938572.897777773</v>
      </c>
      <c r="C42" s="709">
        <f>+B42-D42</f>
        <v>0</v>
      </c>
      <c r="D42" s="424">
        <f t="shared" si="4"/>
        <v>14938572.897777773</v>
      </c>
      <c r="E42" s="424">
        <f t="shared" si="4"/>
        <v>855890.3263015874</v>
      </c>
      <c r="F42" s="424">
        <f t="shared" si="4"/>
        <v>10239325.543285714</v>
      </c>
      <c r="G42" s="424">
        <f t="shared" si="4"/>
        <v>11095215.869587298</v>
      </c>
      <c r="H42" s="1383">
        <f t="shared" si="4"/>
        <v>4271302.1913412707</v>
      </c>
      <c r="I42" s="425"/>
      <c r="K42" s="456">
        <f>+SUM(K28:K41)</f>
        <v>855890.3263015874</v>
      </c>
      <c r="L42" s="465"/>
      <c r="M42" s="471">
        <f>+SUM(M28:M41)</f>
        <v>72999.633967680507</v>
      </c>
      <c r="N42" s="465"/>
      <c r="O42" s="471">
        <f>+SUM(O28:O41)</f>
        <v>782890.69233390689</v>
      </c>
      <c r="P42" s="465"/>
      <c r="Q42" s="465"/>
      <c r="R42" s="465"/>
      <c r="S42" s="471">
        <f>+SUM(S28:S41)</f>
        <v>4271302.1913412707</v>
      </c>
      <c r="T42" s="465"/>
      <c r="U42" s="471">
        <f>+SUM(U28:U41)</f>
        <v>656597.20076104661</v>
      </c>
      <c r="V42" s="465"/>
      <c r="W42" s="471">
        <f>+SUM(W28:W41)</f>
        <v>3614704.990580224</v>
      </c>
      <c r="X42" s="465"/>
      <c r="Y42" s="464"/>
      <c r="AA42" s="442">
        <f>+SUM(AA28:AA41)</f>
        <v>72999.633967680507</v>
      </c>
      <c r="AB42" s="474"/>
      <c r="AC42" s="441">
        <f>+SUM(AC28:AC41)</f>
        <v>27583.519055528239</v>
      </c>
      <c r="AD42" s="474"/>
      <c r="AE42" s="441">
        <f>+SUM(AE28:AE41)</f>
        <v>45416.114912152269</v>
      </c>
      <c r="AF42" s="474"/>
      <c r="AG42" s="474"/>
      <c r="AH42" s="474"/>
      <c r="AI42" s="441">
        <f>+SUM(AI28:AI41)</f>
        <v>656597.20076104661</v>
      </c>
      <c r="AJ42" s="474"/>
      <c r="AK42" s="441">
        <f>+SUM(AK28:AK41)</f>
        <v>173219.83154069501</v>
      </c>
      <c r="AL42" s="474"/>
      <c r="AM42" s="441">
        <f>+SUM(AM28:AM41)</f>
        <v>483377.36922035157</v>
      </c>
      <c r="AN42" s="474"/>
      <c r="AO42" s="447"/>
    </row>
    <row r="43" spans="1:41" s="408" customFormat="1">
      <c r="A43" s="423"/>
      <c r="B43" s="426"/>
      <c r="C43" s="426"/>
      <c r="D43" s="426"/>
      <c r="E43" s="426"/>
      <c r="F43" s="426"/>
      <c r="G43" s="426"/>
      <c r="H43" s="1384"/>
      <c r="I43" s="427"/>
      <c r="K43" s="455"/>
      <c r="L43" s="454"/>
      <c r="M43" s="454"/>
      <c r="N43" s="454"/>
      <c r="O43" s="454"/>
      <c r="P43" s="454"/>
      <c r="Q43" s="454"/>
      <c r="R43" s="454"/>
      <c r="S43" s="454"/>
      <c r="T43" s="454"/>
      <c r="U43" s="454"/>
      <c r="V43" s="454"/>
      <c r="W43" s="454"/>
      <c r="X43" s="454"/>
      <c r="Y43" s="453"/>
      <c r="AA43" s="432"/>
      <c r="AB43" s="480"/>
      <c r="AC43" s="480"/>
      <c r="AD43" s="480"/>
      <c r="AE43" s="480"/>
      <c r="AF43" s="480"/>
      <c r="AG43" s="480"/>
      <c r="AH43" s="480"/>
      <c r="AI43" s="480"/>
      <c r="AJ43" s="480"/>
      <c r="AK43" s="480"/>
      <c r="AL43" s="480"/>
      <c r="AM43" s="480"/>
      <c r="AN43" s="480"/>
      <c r="AO43" s="479"/>
    </row>
    <row r="44" spans="1:41">
      <c r="A44" s="417" t="s">
        <v>1228</v>
      </c>
      <c r="B44" s="709">
        <v>201645.85925000004</v>
      </c>
      <c r="C44" s="709">
        <f>+B44-D44</f>
        <v>0</v>
      </c>
      <c r="D44" s="709">
        <v>201645.85925000004</v>
      </c>
      <c r="E44" s="709">
        <v>29785.62551190476</v>
      </c>
      <c r="F44" s="709">
        <v>136320.13972619048</v>
      </c>
      <c r="G44" s="709">
        <v>166105.76523809522</v>
      </c>
      <c r="H44" s="1382">
        <v>31216.793017857144</v>
      </c>
      <c r="I44" s="415"/>
      <c r="K44" s="459">
        <f t="shared" ref="K44:K58" si="5">+E44</f>
        <v>29785.62551190476</v>
      </c>
      <c r="L44" s="465"/>
      <c r="M44" s="458">
        <f>+K44*Ratios!$C$20</f>
        <v>10136.0992843531</v>
      </c>
      <c r="N44" s="465"/>
      <c r="O44" s="457">
        <f>+K44-M44</f>
        <v>19649.526227551658</v>
      </c>
      <c r="P44" s="465"/>
      <c r="Q44" s="465" t="s">
        <v>1237</v>
      </c>
      <c r="R44" s="465"/>
      <c r="S44" s="457">
        <f>+H44</f>
        <v>31216.793017857144</v>
      </c>
      <c r="T44" s="465"/>
      <c r="U44" s="458">
        <f>+S44*Ratios!$C$20</f>
        <v>10623.128033407755</v>
      </c>
      <c r="V44" s="465"/>
      <c r="W44" s="457">
        <f>+S44-U44</f>
        <v>20593.664984449388</v>
      </c>
      <c r="X44" s="465"/>
      <c r="Y44" s="464" t="s">
        <v>1237</v>
      </c>
      <c r="AA44" s="443">
        <f>+M44</f>
        <v>10136.0992843531</v>
      </c>
      <c r="AB44" s="474"/>
      <c r="AC44" s="433">
        <f>+AA44*Ratios!$D$83</f>
        <v>8141.2308746660365</v>
      </c>
      <c r="AD44" s="474"/>
      <c r="AE44" s="478">
        <f>AA44*Ratios!$D$84</f>
        <v>1994.8684096870631</v>
      </c>
      <c r="AF44" s="474"/>
      <c r="AG44" s="474" t="s">
        <v>1239</v>
      </c>
      <c r="AH44" s="474"/>
      <c r="AI44" s="478">
        <f>+U44</f>
        <v>10623.128033407755</v>
      </c>
      <c r="AJ44" s="474"/>
      <c r="AK44" s="433">
        <f>+AI44*Ratios!$D$83</f>
        <v>8532.408326407698</v>
      </c>
      <c r="AL44" s="474"/>
      <c r="AM44" s="478">
        <f>AI44*Ratios!$D$84</f>
        <v>2090.7197070000552</v>
      </c>
      <c r="AN44" s="474"/>
      <c r="AO44" s="447" t="s">
        <v>1237</v>
      </c>
    </row>
    <row r="45" spans="1:41">
      <c r="A45" s="417"/>
      <c r="B45" s="709"/>
      <c r="C45" s="709"/>
      <c r="D45" s="709"/>
      <c r="E45" s="709"/>
      <c r="F45" s="709"/>
      <c r="G45" s="709"/>
      <c r="H45" s="1382"/>
      <c r="I45" s="415"/>
      <c r="K45" s="459"/>
      <c r="L45" s="465"/>
      <c r="M45" s="465"/>
      <c r="N45" s="465"/>
      <c r="O45" s="465"/>
      <c r="P45" s="465"/>
      <c r="Q45" s="465"/>
      <c r="R45" s="465"/>
      <c r="S45" s="465"/>
      <c r="T45" s="465"/>
      <c r="U45" s="465"/>
      <c r="V45" s="465"/>
      <c r="W45" s="465"/>
      <c r="X45" s="465"/>
      <c r="Y45" s="464"/>
      <c r="AA45" s="443"/>
      <c r="AB45" s="474"/>
      <c r="AC45" s="474"/>
      <c r="AD45" s="474"/>
      <c r="AE45" s="474"/>
      <c r="AF45" s="474"/>
      <c r="AG45" s="474"/>
      <c r="AH45" s="474"/>
      <c r="AI45" s="474"/>
      <c r="AJ45" s="474"/>
      <c r="AK45" s="474"/>
      <c r="AL45" s="474"/>
      <c r="AM45" s="474"/>
      <c r="AN45" s="474"/>
      <c r="AO45" s="447"/>
    </row>
    <row r="46" spans="1:41">
      <c r="A46" s="417" t="s">
        <v>1229</v>
      </c>
      <c r="B46" s="709">
        <v>35286</v>
      </c>
      <c r="C46" s="709">
        <f t="shared" ref="C46:C56" si="6">+B46-D46</f>
        <v>4950</v>
      </c>
      <c r="D46" s="709">
        <v>30336</v>
      </c>
      <c r="E46" s="709">
        <v>8681.6457142857143</v>
      </c>
      <c r="F46" s="709">
        <v>8311.062857142857</v>
      </c>
      <c r="G46" s="709">
        <v>16992.708571428571</v>
      </c>
      <c r="H46" s="1382">
        <v>22634.114285714284</v>
      </c>
      <c r="I46" s="415"/>
      <c r="K46" s="459">
        <f t="shared" si="5"/>
        <v>8681.6457142857143</v>
      </c>
      <c r="L46" s="465"/>
      <c r="M46" s="465"/>
      <c r="N46" s="465"/>
      <c r="O46" s="457">
        <f>+K46</f>
        <v>8681.6457142857143</v>
      </c>
      <c r="P46" s="465"/>
      <c r="Q46" s="465" t="s">
        <v>17</v>
      </c>
      <c r="R46" s="465"/>
      <c r="S46" s="457">
        <f>+H46</f>
        <v>22634.114285714284</v>
      </c>
      <c r="T46" s="465"/>
      <c r="U46" s="465"/>
      <c r="V46" s="465"/>
      <c r="W46" s="457">
        <f>+S46</f>
        <v>22634.114285714284</v>
      </c>
      <c r="X46" s="465"/>
      <c r="Y46" s="464" t="s">
        <v>17</v>
      </c>
      <c r="AA46" s="443">
        <f>+M46</f>
        <v>0</v>
      </c>
      <c r="AB46" s="474"/>
      <c r="AC46" s="474"/>
      <c r="AD46" s="474"/>
      <c r="AE46" s="478">
        <f>+AA46</f>
        <v>0</v>
      </c>
      <c r="AF46" s="474"/>
      <c r="AG46" s="474" t="s">
        <v>17</v>
      </c>
      <c r="AH46" s="474"/>
      <c r="AI46" s="478">
        <f>+U46</f>
        <v>0</v>
      </c>
      <c r="AJ46" s="474"/>
      <c r="AK46" s="474"/>
      <c r="AL46" s="474"/>
      <c r="AM46" s="478">
        <f>+AI46</f>
        <v>0</v>
      </c>
      <c r="AN46" s="474"/>
      <c r="AO46" s="447" t="s">
        <v>17</v>
      </c>
    </row>
    <row r="47" spans="1:41">
      <c r="A47" s="417"/>
      <c r="B47" s="709"/>
      <c r="C47" s="709"/>
      <c r="D47" s="709"/>
      <c r="E47" s="709"/>
      <c r="F47" s="709"/>
      <c r="G47" s="709"/>
      <c r="H47" s="1382"/>
      <c r="I47" s="415"/>
      <c r="K47" s="459"/>
      <c r="L47" s="465"/>
      <c r="M47" s="465"/>
      <c r="N47" s="465"/>
      <c r="O47" s="465"/>
      <c r="P47" s="465"/>
      <c r="Q47" s="465"/>
      <c r="R47" s="465"/>
      <c r="S47" s="465"/>
      <c r="T47" s="465"/>
      <c r="U47" s="465"/>
      <c r="V47" s="465"/>
      <c r="W47" s="465"/>
      <c r="X47" s="465"/>
      <c r="Y47" s="464"/>
      <c r="AA47" s="443"/>
      <c r="AB47" s="474"/>
      <c r="AC47" s="474"/>
      <c r="AD47" s="474"/>
      <c r="AE47" s="474"/>
      <c r="AF47" s="474"/>
      <c r="AG47" s="474"/>
      <c r="AH47" s="474"/>
      <c r="AI47" s="474"/>
      <c r="AJ47" s="474"/>
      <c r="AK47" s="474"/>
      <c r="AL47" s="474"/>
      <c r="AM47" s="474"/>
      <c r="AN47" s="474"/>
      <c r="AO47" s="447"/>
    </row>
    <row r="48" spans="1:41">
      <c r="A48" s="417" t="s">
        <v>483</v>
      </c>
      <c r="B48" s="709">
        <v>449350.17299999995</v>
      </c>
      <c r="C48" s="709">
        <f t="shared" si="6"/>
        <v>0</v>
      </c>
      <c r="D48" s="709">
        <v>449350.17299999995</v>
      </c>
      <c r="E48" s="709">
        <v>22762.97385238095</v>
      </c>
      <c r="F48" s="709">
        <v>340918.82939047617</v>
      </c>
      <c r="G48" s="709">
        <v>363681.8032428571</v>
      </c>
      <c r="H48" s="1382">
        <v>97049.856683333332</v>
      </c>
      <c r="I48" s="415"/>
      <c r="K48" s="459">
        <f t="shared" si="5"/>
        <v>22762.97385238095</v>
      </c>
      <c r="L48" s="465"/>
      <c r="M48" s="458">
        <f>+K48*Ratios!$C$20</f>
        <v>7746.278918421549</v>
      </c>
      <c r="N48" s="465"/>
      <c r="O48" s="457">
        <f>+K48-M48</f>
        <v>15016.694933959401</v>
      </c>
      <c r="P48" s="465"/>
      <c r="Q48" s="465" t="s">
        <v>1237</v>
      </c>
      <c r="R48" s="465"/>
      <c r="S48" s="457">
        <f>+H48</f>
        <v>97049.856683333332</v>
      </c>
      <c r="T48" s="465"/>
      <c r="U48" s="458">
        <f>+S48*Ratios!$C$20</f>
        <v>33026.232149509051</v>
      </c>
      <c r="V48" s="465"/>
      <c r="W48" s="457">
        <f>+S48-U48</f>
        <v>64023.624533824281</v>
      </c>
      <c r="X48" s="465"/>
      <c r="Y48" s="464" t="s">
        <v>1237</v>
      </c>
      <c r="AA48" s="443">
        <f>+M48</f>
        <v>7746.278918421549</v>
      </c>
      <c r="AB48" s="474"/>
      <c r="AC48" s="433">
        <f>+AA48*Ratios!$D$83</f>
        <v>6221.7469783252027</v>
      </c>
      <c r="AD48" s="474"/>
      <c r="AE48" s="478">
        <f>AA48*Ratios!$D$84</f>
        <v>1524.5319400963463</v>
      </c>
      <c r="AF48" s="474"/>
      <c r="AG48" s="474" t="s">
        <v>1239</v>
      </c>
      <c r="AH48" s="474"/>
      <c r="AI48" s="478">
        <f>+U48</f>
        <v>33026.232149509051</v>
      </c>
      <c r="AJ48" s="474"/>
      <c r="AK48" s="433">
        <f>+AI48*Ratios!$D$83</f>
        <v>26526.395737315539</v>
      </c>
      <c r="AL48" s="474"/>
      <c r="AM48" s="478">
        <f>AI48*Ratios!$D$84</f>
        <v>6499.8364121935119</v>
      </c>
      <c r="AN48" s="474"/>
      <c r="AO48" s="447" t="s">
        <v>1237</v>
      </c>
    </row>
    <row r="49" spans="1:41">
      <c r="A49" s="417"/>
      <c r="B49" s="709"/>
      <c r="C49" s="709"/>
      <c r="D49" s="709"/>
      <c r="E49" s="709"/>
      <c r="F49" s="709"/>
      <c r="G49" s="709"/>
      <c r="H49" s="1382"/>
      <c r="I49" s="415"/>
      <c r="K49" s="459"/>
      <c r="L49" s="465"/>
      <c r="M49" s="465"/>
      <c r="N49" s="465"/>
      <c r="O49" s="465"/>
      <c r="P49" s="465"/>
      <c r="Q49" s="465"/>
      <c r="R49" s="465"/>
      <c r="S49" s="465"/>
      <c r="T49" s="465"/>
      <c r="U49" s="465"/>
      <c r="V49" s="465"/>
      <c r="W49" s="465"/>
      <c r="X49" s="465"/>
      <c r="Y49" s="464"/>
      <c r="AA49" s="443"/>
      <c r="AB49" s="474"/>
      <c r="AC49" s="474"/>
      <c r="AD49" s="474"/>
      <c r="AE49" s="474"/>
      <c r="AF49" s="474"/>
      <c r="AG49" s="474"/>
      <c r="AH49" s="474"/>
      <c r="AI49" s="474"/>
      <c r="AJ49" s="474"/>
      <c r="AK49" s="474"/>
      <c r="AL49" s="474"/>
      <c r="AM49" s="474"/>
      <c r="AN49" s="474"/>
      <c r="AO49" s="447"/>
    </row>
    <row r="50" spans="1:41">
      <c r="A50" s="417" t="s">
        <v>484</v>
      </c>
      <c r="B50" s="709">
        <v>140715.51999999999</v>
      </c>
      <c r="C50" s="709">
        <f t="shared" si="6"/>
        <v>0</v>
      </c>
      <c r="D50" s="709">
        <v>140715.51999999999</v>
      </c>
      <c r="E50" s="709">
        <v>7035.7759999999998</v>
      </c>
      <c r="F50" s="709">
        <v>28143.103999999999</v>
      </c>
      <c r="G50" s="709">
        <v>35178.879999999997</v>
      </c>
      <c r="H50" s="1382">
        <v>109054.52799999999</v>
      </c>
      <c r="I50" s="415"/>
      <c r="K50" s="459">
        <f t="shared" si="5"/>
        <v>7035.7759999999998</v>
      </c>
      <c r="L50" s="465"/>
      <c r="M50" s="465"/>
      <c r="N50" s="465"/>
      <c r="O50" s="457">
        <f>+K50</f>
        <v>7035.7759999999998</v>
      </c>
      <c r="P50" s="465"/>
      <c r="Q50" s="465" t="s">
        <v>17</v>
      </c>
      <c r="R50" s="465"/>
      <c r="S50" s="457">
        <f>+H50</f>
        <v>109054.52799999999</v>
      </c>
      <c r="T50" s="465"/>
      <c r="U50" s="465"/>
      <c r="V50" s="465"/>
      <c r="W50" s="457">
        <f>+S50</f>
        <v>109054.52799999999</v>
      </c>
      <c r="X50" s="465"/>
      <c r="Y50" s="464" t="s">
        <v>17</v>
      </c>
      <c r="AA50" s="443">
        <f>+M50</f>
        <v>0</v>
      </c>
      <c r="AB50" s="474"/>
      <c r="AC50" s="474"/>
      <c r="AD50" s="474"/>
      <c r="AE50" s="478">
        <f>+AA50</f>
        <v>0</v>
      </c>
      <c r="AF50" s="474"/>
      <c r="AG50" s="474" t="s">
        <v>17</v>
      </c>
      <c r="AH50" s="474"/>
      <c r="AI50" s="478">
        <f>+U50</f>
        <v>0</v>
      </c>
      <c r="AJ50" s="474"/>
      <c r="AK50" s="474"/>
      <c r="AL50" s="474"/>
      <c r="AM50" s="478">
        <f>+AI50</f>
        <v>0</v>
      </c>
      <c r="AN50" s="474"/>
      <c r="AO50" s="447" t="s">
        <v>17</v>
      </c>
    </row>
    <row r="51" spans="1:41">
      <c r="A51" s="417"/>
      <c r="B51" s="709"/>
      <c r="C51" s="709"/>
      <c r="D51" s="709"/>
      <c r="E51" s="709"/>
      <c r="F51" s="709"/>
      <c r="G51" s="709"/>
      <c r="H51" s="1382"/>
      <c r="I51" s="415"/>
      <c r="K51" s="459"/>
      <c r="L51" s="465"/>
      <c r="M51" s="465"/>
      <c r="N51" s="465"/>
      <c r="O51" s="465"/>
      <c r="P51" s="465"/>
      <c r="Q51" s="465"/>
      <c r="R51" s="465"/>
      <c r="S51" s="465"/>
      <c r="T51" s="465"/>
      <c r="U51" s="465"/>
      <c r="V51" s="465"/>
      <c r="W51" s="465"/>
      <c r="X51" s="465"/>
      <c r="Y51" s="464"/>
      <c r="AA51" s="443"/>
      <c r="AB51" s="474"/>
      <c r="AC51" s="474"/>
      <c r="AD51" s="474"/>
      <c r="AE51" s="474"/>
      <c r="AF51" s="474"/>
      <c r="AG51" s="474"/>
      <c r="AH51" s="474"/>
      <c r="AI51" s="474"/>
      <c r="AJ51" s="474"/>
      <c r="AK51" s="474"/>
      <c r="AL51" s="474"/>
      <c r="AM51" s="474"/>
      <c r="AN51" s="474"/>
      <c r="AO51" s="447"/>
    </row>
    <row r="52" spans="1:41">
      <c r="A52" s="417" t="s">
        <v>1230</v>
      </c>
      <c r="B52" s="709">
        <v>377415.57000000012</v>
      </c>
      <c r="C52" s="709">
        <f t="shared" si="6"/>
        <v>0</v>
      </c>
      <c r="D52" s="709">
        <v>377415.57000000012</v>
      </c>
      <c r="E52" s="709">
        <v>38488.906539682423</v>
      </c>
      <c r="F52" s="709">
        <v>285561.09980158729</v>
      </c>
      <c r="G52" s="709">
        <v>324050.00634126965</v>
      </c>
      <c r="H52" s="1382">
        <v>70559.071928571677</v>
      </c>
      <c r="I52" s="415"/>
      <c r="K52" s="459">
        <f t="shared" si="5"/>
        <v>38488.906539682423</v>
      </c>
      <c r="L52" s="465"/>
      <c r="M52" s="458">
        <f>+K52*Ratios!$C$44</f>
        <v>15465.201905852375</v>
      </c>
      <c r="N52" s="465"/>
      <c r="O52" s="457">
        <f>+K52-M52</f>
        <v>23023.70463383005</v>
      </c>
      <c r="P52" s="465"/>
      <c r="Q52" s="465" t="s">
        <v>1236</v>
      </c>
      <c r="R52" s="465"/>
      <c r="S52" s="457">
        <f>+H52</f>
        <v>70559.071928571677</v>
      </c>
      <c r="T52" s="465"/>
      <c r="U52" s="458">
        <f>+S52*Ratios!$C$44</f>
        <v>28351.293704326818</v>
      </c>
      <c r="V52" s="465"/>
      <c r="W52" s="457">
        <f>+S52-U52</f>
        <v>42207.778224244859</v>
      </c>
      <c r="X52" s="465"/>
      <c r="Y52" s="464" t="s">
        <v>1236</v>
      </c>
      <c r="AA52" s="443">
        <f>+M52</f>
        <v>15465.201905852375</v>
      </c>
      <c r="AB52" s="474"/>
      <c r="AC52" s="433">
        <f>+AA52*Ratios!$E$74</f>
        <v>15396.725756940008</v>
      </c>
      <c r="AD52" s="474"/>
      <c r="AE52" s="433">
        <f>+AA52*Ratios!$D$75</f>
        <v>68.476148912367975</v>
      </c>
      <c r="AF52" s="474"/>
      <c r="AG52" s="474" t="s">
        <v>1240</v>
      </c>
      <c r="AH52" s="474"/>
      <c r="AI52" s="478">
        <f>+U52</f>
        <v>28351.293704326818</v>
      </c>
      <c r="AJ52" s="474"/>
      <c r="AK52" s="433">
        <f>+AI52*Ratios!$E$74</f>
        <v>28225.761078152627</v>
      </c>
      <c r="AL52" s="474"/>
      <c r="AM52" s="433">
        <f>+AI52*Ratios!$D$75</f>
        <v>125.53262617419173</v>
      </c>
      <c r="AN52" s="474"/>
      <c r="AO52" s="447" t="s">
        <v>1236</v>
      </c>
    </row>
    <row r="53" spans="1:41">
      <c r="A53" s="417"/>
      <c r="B53" s="709"/>
      <c r="C53" s="709"/>
      <c r="D53" s="709"/>
      <c r="E53" s="709"/>
      <c r="F53" s="709"/>
      <c r="G53" s="709"/>
      <c r="H53" s="1382"/>
      <c r="I53" s="415"/>
      <c r="K53" s="459"/>
      <c r="L53" s="465"/>
      <c r="M53" s="465"/>
      <c r="N53" s="465"/>
      <c r="O53" s="465"/>
      <c r="P53" s="465"/>
      <c r="Q53" s="465"/>
      <c r="R53" s="465"/>
      <c r="S53" s="465"/>
      <c r="T53" s="465"/>
      <c r="U53" s="465"/>
      <c r="V53" s="465"/>
      <c r="W53" s="465"/>
      <c r="X53" s="465"/>
      <c r="Y53" s="464"/>
      <c r="AA53" s="443"/>
      <c r="AB53" s="474"/>
      <c r="AC53" s="474"/>
      <c r="AD53" s="474"/>
      <c r="AE53" s="474"/>
      <c r="AF53" s="474"/>
      <c r="AG53" s="474"/>
      <c r="AH53" s="474"/>
      <c r="AI53" s="474"/>
      <c r="AJ53" s="474"/>
      <c r="AK53" s="474"/>
      <c r="AL53" s="474"/>
      <c r="AM53" s="474"/>
      <c r="AN53" s="474"/>
      <c r="AO53" s="447"/>
    </row>
    <row r="54" spans="1:41">
      <c r="A54" s="417" t="s">
        <v>1231</v>
      </c>
      <c r="B54" s="709">
        <v>2173515.4068999998</v>
      </c>
      <c r="C54" s="709">
        <f t="shared" si="6"/>
        <v>0</v>
      </c>
      <c r="D54" s="709">
        <v>2173515.4068999998</v>
      </c>
      <c r="E54" s="709">
        <v>109499.68518547104</v>
      </c>
      <c r="F54" s="709">
        <v>1735869.0052335875</v>
      </c>
      <c r="G54" s="709">
        <v>1845368.6904190588</v>
      </c>
      <c r="H54" s="1382">
        <v>366501.05907367705</v>
      </c>
      <c r="I54" s="415"/>
      <c r="K54" s="459">
        <f t="shared" si="5"/>
        <v>109499.68518547104</v>
      </c>
      <c r="L54" s="465"/>
      <c r="M54" s="458">
        <f>+K54*Ratios!$C$20</f>
        <v>37262.930073492549</v>
      </c>
      <c r="N54" s="465"/>
      <c r="O54" s="457">
        <f t="shared" ref="O54:O58" si="7">+K54-M54</f>
        <v>72236.755111978491</v>
      </c>
      <c r="P54" s="465"/>
      <c r="Q54" s="465" t="s">
        <v>1237</v>
      </c>
      <c r="R54" s="465"/>
      <c r="S54" s="457">
        <f>+H54</f>
        <v>366501.05907367705</v>
      </c>
      <c r="T54" s="465"/>
      <c r="U54" s="458">
        <f>+S54*Ratios!$C$20</f>
        <v>124720.93698709059</v>
      </c>
      <c r="V54" s="465"/>
      <c r="W54" s="457">
        <f t="shared" ref="W54" si="8">+S54-U54</f>
        <v>241780.12208658646</v>
      </c>
      <c r="X54" s="465"/>
      <c r="Y54" s="464" t="s">
        <v>1237</v>
      </c>
      <c r="AA54" s="443">
        <f>+M54</f>
        <v>37262.930073492549</v>
      </c>
      <c r="AB54" s="474"/>
      <c r="AC54" s="433">
        <f>+AA54*Ratios!$D$83</f>
        <v>29929.276369968029</v>
      </c>
      <c r="AD54" s="474"/>
      <c r="AE54" s="478">
        <f t="shared" ref="AE54" si="9">+AA54-AC54</f>
        <v>7333.6537035245201</v>
      </c>
      <c r="AF54" s="474"/>
      <c r="AG54" s="474" t="s">
        <v>1239</v>
      </c>
      <c r="AH54" s="474"/>
      <c r="AI54" s="478">
        <f>+U54</f>
        <v>124720.93698709059</v>
      </c>
      <c r="AJ54" s="474"/>
      <c r="AK54" s="433">
        <f>+AI54*Ratios!$D$83</f>
        <v>100174.82213142926</v>
      </c>
      <c r="AL54" s="474"/>
      <c r="AM54" s="478">
        <f>AI54*Ratios!$D$84</f>
        <v>24546.11485566133</v>
      </c>
      <c r="AN54" s="474"/>
      <c r="AO54" s="447" t="s">
        <v>1237</v>
      </c>
    </row>
    <row r="55" spans="1:41">
      <c r="A55" s="417"/>
      <c r="B55" s="709"/>
      <c r="C55" s="709"/>
      <c r="D55" s="709"/>
      <c r="E55" s="709"/>
      <c r="F55" s="709"/>
      <c r="G55" s="709"/>
      <c r="H55" s="1382"/>
      <c r="I55" s="415"/>
      <c r="K55" s="459"/>
      <c r="L55" s="465"/>
      <c r="M55" s="458"/>
      <c r="N55" s="465"/>
      <c r="O55" s="457"/>
      <c r="P55" s="465"/>
      <c r="Q55" s="465"/>
      <c r="R55" s="465"/>
      <c r="S55" s="465"/>
      <c r="T55" s="465"/>
      <c r="U55" s="458"/>
      <c r="V55" s="465"/>
      <c r="W55" s="457"/>
      <c r="X55" s="465"/>
      <c r="Y55" s="464"/>
      <c r="AA55" s="443"/>
      <c r="AB55" s="474"/>
      <c r="AC55" s="433"/>
      <c r="AD55" s="474"/>
      <c r="AE55" s="478"/>
      <c r="AF55" s="474"/>
      <c r="AG55" s="474"/>
      <c r="AH55" s="474"/>
      <c r="AI55" s="474"/>
      <c r="AJ55" s="474"/>
      <c r="AK55" s="433"/>
      <c r="AL55" s="474"/>
      <c r="AM55" s="478"/>
      <c r="AN55" s="474"/>
      <c r="AO55" s="447"/>
    </row>
    <row r="56" spans="1:41">
      <c r="A56" s="417" t="s">
        <v>485</v>
      </c>
      <c r="B56" s="709">
        <v>873043.48228669516</v>
      </c>
      <c r="C56" s="709">
        <f t="shared" si="6"/>
        <v>0</v>
      </c>
      <c r="D56" s="709">
        <v>873043.48228669516</v>
      </c>
      <c r="E56" s="709">
        <v>43652.174114334761</v>
      </c>
      <c r="F56" s="709">
        <v>80028.985876277089</v>
      </c>
      <c r="G56" s="709">
        <v>123681.15999061185</v>
      </c>
      <c r="H56" s="1382">
        <v>771188.40935325064</v>
      </c>
      <c r="I56" s="415"/>
      <c r="K56" s="459">
        <f t="shared" si="5"/>
        <v>43652.174114334761</v>
      </c>
      <c r="L56" s="465"/>
      <c r="M56" s="458">
        <f>+K56*Ratios!$C$20</f>
        <v>14854.909480545286</v>
      </c>
      <c r="N56" s="465"/>
      <c r="O56" s="457">
        <f t="shared" si="7"/>
        <v>28797.264633789477</v>
      </c>
      <c r="P56" s="465"/>
      <c r="Q56" s="465" t="s">
        <v>1237</v>
      </c>
      <c r="R56" s="465"/>
      <c r="S56" s="457">
        <f>+H56</f>
        <v>771188.40935325064</v>
      </c>
      <c r="T56" s="465"/>
      <c r="U56" s="458">
        <f>+S56*Ratios!$C$20</f>
        <v>262436.73415630113</v>
      </c>
      <c r="V56" s="465"/>
      <c r="W56" s="457">
        <f t="shared" ref="W56" si="10">+S56-U56</f>
        <v>508751.67519694951</v>
      </c>
      <c r="X56" s="465"/>
      <c r="Y56" s="464" t="s">
        <v>1237</v>
      </c>
      <c r="AA56" s="443">
        <f>+M56</f>
        <v>14854.909480545286</v>
      </c>
      <c r="AB56" s="474"/>
      <c r="AC56" s="433">
        <f>+AA56*Ratios!$D$83</f>
        <v>11931.340085635604</v>
      </c>
      <c r="AD56" s="474"/>
      <c r="AE56" s="478">
        <f t="shared" ref="AE56" si="11">+AA56-AC56</f>
        <v>2923.5693949096822</v>
      </c>
      <c r="AF56" s="474"/>
      <c r="AG56" s="474" t="s">
        <v>1239</v>
      </c>
      <c r="AH56" s="474"/>
      <c r="AI56" s="478">
        <f>+U56</f>
        <v>262436.73415630113</v>
      </c>
      <c r="AJ56" s="474"/>
      <c r="AK56" s="433">
        <f>+AI56*Ratios!$D$83</f>
        <v>210787.00817956318</v>
      </c>
      <c r="AL56" s="474"/>
      <c r="AM56" s="478">
        <f>AI56*Ratios!$D$84</f>
        <v>51649.725976737922</v>
      </c>
      <c r="AN56" s="474"/>
      <c r="AO56" s="447" t="s">
        <v>1237</v>
      </c>
    </row>
    <row r="57" spans="1:41">
      <c r="A57" s="417"/>
      <c r="B57" s="709"/>
      <c r="C57" s="709"/>
      <c r="D57" s="709"/>
      <c r="E57" s="709"/>
      <c r="F57" s="709"/>
      <c r="G57" s="709"/>
      <c r="H57" s="1382"/>
      <c r="I57" s="415"/>
      <c r="K57" s="459"/>
      <c r="L57" s="465"/>
      <c r="M57" s="458"/>
      <c r="N57" s="465"/>
      <c r="O57" s="457"/>
      <c r="P57" s="465"/>
      <c r="Q57" s="465"/>
      <c r="R57" s="465"/>
      <c r="S57" s="465"/>
      <c r="T57" s="465"/>
      <c r="U57" s="458"/>
      <c r="V57" s="465"/>
      <c r="W57" s="457"/>
      <c r="X57" s="465"/>
      <c r="Y57" s="464"/>
      <c r="AA57" s="443"/>
      <c r="AB57" s="474"/>
      <c r="AC57" s="433"/>
      <c r="AD57" s="474"/>
      <c r="AE57" s="478"/>
      <c r="AF57" s="474"/>
      <c r="AG57" s="474"/>
      <c r="AH57" s="474"/>
      <c r="AI57" s="474"/>
      <c r="AJ57" s="474"/>
      <c r="AK57" s="433"/>
      <c r="AL57" s="474"/>
      <c r="AM57" s="478"/>
      <c r="AN57" s="474"/>
      <c r="AO57" s="447"/>
    </row>
    <row r="58" spans="1:41">
      <c r="A58" s="417" t="s">
        <v>486</v>
      </c>
      <c r="B58" s="709">
        <v>3173713.2977133049</v>
      </c>
      <c r="C58" s="709">
        <v>0</v>
      </c>
      <c r="D58" s="709">
        <v>0</v>
      </c>
      <c r="E58" s="709">
        <v>0</v>
      </c>
      <c r="F58" s="709">
        <v>0</v>
      </c>
      <c r="G58" s="709">
        <v>0</v>
      </c>
      <c r="H58" s="1382">
        <v>3173713.2977133049</v>
      </c>
      <c r="I58" s="415"/>
      <c r="K58" s="459">
        <f t="shared" si="5"/>
        <v>0</v>
      </c>
      <c r="L58" s="465"/>
      <c r="M58" s="458">
        <f>+K58*Ratios!$C$20</f>
        <v>0</v>
      </c>
      <c r="N58" s="465"/>
      <c r="O58" s="457">
        <f t="shared" si="7"/>
        <v>0</v>
      </c>
      <c r="P58" s="465"/>
      <c r="Q58" s="465" t="s">
        <v>1237</v>
      </c>
      <c r="R58" s="465"/>
      <c r="S58" s="457">
        <f>+H58</f>
        <v>3173713.2977133049</v>
      </c>
      <c r="T58" s="465"/>
      <c r="U58" s="458">
        <f>+S58*Ratios!$C$20</f>
        <v>1080020.061114257</v>
      </c>
      <c r="V58" s="465"/>
      <c r="W58" s="457">
        <f t="shared" ref="W58" si="12">+S58-U58</f>
        <v>2093693.2365990479</v>
      </c>
      <c r="X58" s="465"/>
      <c r="Y58" s="464" t="s">
        <v>1237</v>
      </c>
      <c r="AA58" s="443">
        <f>+M58</f>
        <v>0</v>
      </c>
      <c r="AB58" s="474"/>
      <c r="AC58" s="433">
        <f>+AA58*Ratios!$D$83</f>
        <v>0</v>
      </c>
      <c r="AD58" s="474"/>
      <c r="AE58" s="478">
        <f t="shared" ref="AE58" si="13">+AA58-AC58</f>
        <v>0</v>
      </c>
      <c r="AF58" s="474"/>
      <c r="AG58" s="474" t="s">
        <v>1239</v>
      </c>
      <c r="AH58" s="474"/>
      <c r="AI58" s="478">
        <f>+U58</f>
        <v>1080020.061114257</v>
      </c>
      <c r="AJ58" s="474"/>
      <c r="AK58" s="433">
        <f>+AI58*Ratios!$D$83</f>
        <v>867463.15521743137</v>
      </c>
      <c r="AL58" s="474"/>
      <c r="AM58" s="478">
        <f>AI58*Ratios!$D$84</f>
        <v>212556.90589682551</v>
      </c>
      <c r="AN58" s="474"/>
      <c r="AO58" s="447" t="s">
        <v>1237</v>
      </c>
    </row>
    <row r="59" spans="1:41">
      <c r="A59" s="417"/>
      <c r="B59" s="709"/>
      <c r="C59" s="709"/>
      <c r="D59" s="709"/>
      <c r="E59" s="709"/>
      <c r="F59" s="709"/>
      <c r="G59" s="709"/>
      <c r="H59" s="1382"/>
      <c r="I59" s="415"/>
      <c r="K59" s="466"/>
      <c r="L59" s="465"/>
      <c r="M59" s="465"/>
      <c r="N59" s="465"/>
      <c r="O59" s="465"/>
      <c r="P59" s="465"/>
      <c r="Q59" s="465"/>
      <c r="R59" s="465"/>
      <c r="S59" s="465"/>
      <c r="T59" s="465"/>
      <c r="U59" s="465"/>
      <c r="V59" s="465"/>
      <c r="W59" s="465"/>
      <c r="X59" s="465"/>
      <c r="Y59" s="464"/>
      <c r="AA59" s="431"/>
      <c r="AB59" s="474"/>
      <c r="AC59" s="474"/>
      <c r="AD59" s="474"/>
      <c r="AE59" s="474"/>
      <c r="AF59" s="474"/>
      <c r="AG59" s="474"/>
      <c r="AH59" s="474"/>
      <c r="AI59" s="474"/>
      <c r="AJ59" s="474"/>
      <c r="AK59" s="474"/>
      <c r="AL59" s="474"/>
      <c r="AM59" s="474"/>
      <c r="AN59" s="474"/>
      <c r="AO59" s="447"/>
    </row>
    <row r="60" spans="1:41">
      <c r="A60" s="414" t="s">
        <v>1232</v>
      </c>
      <c r="B60" s="424">
        <f t="shared" ref="B60:H60" si="14">B25+B42+B44+B48+B52+B54+B58+B56+B46+B50</f>
        <v>57606149.347677782</v>
      </c>
      <c r="C60" s="424">
        <f t="shared" si="14"/>
        <v>3566201.859700013</v>
      </c>
      <c r="D60" s="424">
        <f t="shared" si="14"/>
        <v>50866234.190264456</v>
      </c>
      <c r="E60" s="424">
        <f t="shared" si="14"/>
        <v>3564421.4048704407</v>
      </c>
      <c r="F60" s="424">
        <f t="shared" si="14"/>
        <v>31536233.681521777</v>
      </c>
      <c r="G60" s="424">
        <f t="shared" si="14"/>
        <v>35100655.086392201</v>
      </c>
      <c r="H60" s="1383">
        <f t="shared" si="14"/>
        <v>21640957.783970792</v>
      </c>
      <c r="I60" s="415"/>
      <c r="K60" s="456">
        <f>+SUM(K44:K59)+K42+K25</f>
        <v>3564421.4048704403</v>
      </c>
      <c r="L60" s="465"/>
      <c r="M60" s="471">
        <f>+SUM(M44:M59)+M42+M25</f>
        <v>1090357.002577058</v>
      </c>
      <c r="N60" s="465"/>
      <c r="O60" s="471">
        <f>+SUM(O44:O59)+O42+O25</f>
        <v>2474064.4022933827</v>
      </c>
      <c r="P60" s="465"/>
      <c r="Q60" s="465"/>
      <c r="R60" s="465"/>
      <c r="S60" s="471">
        <f>+SUM(S44:S59)+S42+S25</f>
        <v>21640957.783970792</v>
      </c>
      <c r="T60" s="465"/>
      <c r="U60" s="471">
        <f>+SUM(U44:U59)+U42+U25</f>
        <v>6086106.6324582901</v>
      </c>
      <c r="V60" s="465"/>
      <c r="W60" s="471">
        <f>+SUM(W44:W59)+W42+W25</f>
        <v>15554851.151512498</v>
      </c>
      <c r="X60" s="465"/>
      <c r="Y60" s="464"/>
      <c r="AA60" s="442">
        <f>+SUM(AA44:AA59)+AA42+AA25</f>
        <v>1090357.002577058</v>
      </c>
      <c r="AB60" s="474"/>
      <c r="AC60" s="441">
        <f>+SUM(AC44:AC59)+AC42+AC25</f>
        <v>856351.45629048964</v>
      </c>
      <c r="AD60" s="474"/>
      <c r="AE60" s="441">
        <f>+SUM(AE44:AE59)+AE42+AE25</f>
        <v>234005.54628656839</v>
      </c>
      <c r="AF60" s="474"/>
      <c r="AG60" s="474"/>
      <c r="AH60" s="474"/>
      <c r="AI60" s="441">
        <f>+SUM(AI44:AI59)+AI42+AI25</f>
        <v>6086106.6324582901</v>
      </c>
      <c r="AJ60" s="474"/>
      <c r="AK60" s="441">
        <f>+SUM(AK44:AK59)+AK42+AK25</f>
        <v>4440774.5453122556</v>
      </c>
      <c r="AL60" s="474"/>
      <c r="AM60" s="441">
        <f>+SUM(AM44:AM59)+AM42+AM25</f>
        <v>1645332.0871460352</v>
      </c>
      <c r="AN60" s="474"/>
      <c r="AO60" s="447"/>
    </row>
    <row r="61" spans="1:41" ht="15.75" thickBot="1">
      <c r="A61" s="428"/>
      <c r="B61" s="429"/>
      <c r="C61" s="429"/>
      <c r="D61" s="429"/>
      <c r="E61" s="429"/>
      <c r="F61" s="429"/>
      <c r="G61" s="429"/>
      <c r="H61" s="1385"/>
      <c r="I61" s="430"/>
      <c r="K61" s="452"/>
      <c r="L61" s="451"/>
      <c r="M61" s="451"/>
      <c r="N61" s="451"/>
      <c r="O61" s="451"/>
      <c r="P61" s="451"/>
      <c r="Q61" s="451"/>
      <c r="R61" s="451"/>
      <c r="S61" s="451"/>
      <c r="T61" s="451"/>
      <c r="U61" s="451"/>
      <c r="V61" s="451"/>
      <c r="W61" s="451"/>
      <c r="X61" s="451"/>
      <c r="Y61" s="470"/>
      <c r="AA61" s="440"/>
      <c r="AB61" s="439"/>
      <c r="AC61" s="439"/>
      <c r="AD61" s="439"/>
      <c r="AE61" s="439"/>
      <c r="AF61" s="439"/>
      <c r="AG61" s="439"/>
      <c r="AH61" s="439"/>
      <c r="AI61" s="439"/>
      <c r="AJ61" s="439"/>
      <c r="AK61" s="439"/>
      <c r="AL61" s="439"/>
      <c r="AM61" s="439"/>
      <c r="AN61" s="439"/>
      <c r="AO61" s="438"/>
    </row>
    <row r="62" spans="1:41">
      <c r="A62" s="409"/>
      <c r="B62" s="409">
        <v>0</v>
      </c>
      <c r="C62" s="707">
        <v>6.0535967350006104E-9</v>
      </c>
      <c r="D62" s="707">
        <v>0</v>
      </c>
      <c r="E62" s="707">
        <v>0</v>
      </c>
      <c r="F62" s="707">
        <v>0</v>
      </c>
      <c r="G62" s="707">
        <v>0</v>
      </c>
      <c r="H62" s="707">
        <v>0</v>
      </c>
      <c r="I62" s="409"/>
    </row>
  </sheetData>
  <mergeCells count="4">
    <mergeCell ref="AA6:AE6"/>
    <mergeCell ref="AI6:AN6"/>
    <mergeCell ref="K6:O6"/>
    <mergeCell ref="S6:X6"/>
  </mergeCells>
  <pageMargins left="0.75" right="0.75" top="1" bottom="1" header="0.5" footer="0.5"/>
  <pageSetup scale="52" pageOrder="overThenDown" orientation="portrait" r:id="rId1"/>
  <headerFooter alignWithMargins="0">
    <oddFooter xml:space="preserve">&amp;L&amp;F - &amp;A
&amp;RPage &amp;P of &amp;N
</oddFooter>
  </headerFooter>
  <colBreaks count="1" manualBreakCount="1">
    <brk id="8" max="60"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showGridLines="0" view="pageBreakPreview" zoomScale="85" zoomScaleNormal="100" zoomScaleSheetLayoutView="85" workbookViewId="0">
      <selection activeCell="AI26" sqref="AI26"/>
    </sheetView>
  </sheetViews>
  <sheetFormatPr defaultRowHeight="12.75"/>
  <cols>
    <col min="1" max="2" width="9.140625" style="482"/>
    <col min="3" max="3" width="20.7109375" style="482" bestFit="1" customWidth="1"/>
    <col min="4" max="4" width="14.28515625" style="482" bestFit="1" customWidth="1"/>
    <col min="5" max="5" width="20.85546875" style="482" customWidth="1"/>
    <col min="6" max="6" width="16.28515625" style="482" customWidth="1"/>
    <col min="7" max="7" width="13.42578125" style="482" customWidth="1"/>
    <col min="8" max="8" width="38.140625" style="482" bestFit="1" customWidth="1"/>
    <col min="9" max="9" width="15.28515625" style="482" bestFit="1" customWidth="1"/>
    <col min="10" max="11" width="9.140625" style="482"/>
    <col min="12" max="12" width="15.28515625" style="482" bestFit="1" customWidth="1"/>
    <col min="13" max="16384" width="9.140625" style="482"/>
  </cols>
  <sheetData>
    <row r="1" spans="1:12">
      <c r="A1" s="486" t="s">
        <v>340</v>
      </c>
    </row>
    <row r="2" spans="1:12">
      <c r="A2" s="486" t="s">
        <v>1276</v>
      </c>
    </row>
    <row r="3" spans="1:12">
      <c r="A3" s="486" t="s">
        <v>341</v>
      </c>
      <c r="D3" s="1409"/>
      <c r="E3" s="1409"/>
      <c r="F3" s="1409"/>
      <c r="G3" s="1409"/>
      <c r="H3" s="1409"/>
      <c r="I3" s="1409"/>
    </row>
    <row r="5" spans="1:12">
      <c r="D5" s="527" t="s">
        <v>1257</v>
      </c>
      <c r="E5" s="527" t="s">
        <v>1258</v>
      </c>
      <c r="H5" s="539" t="s">
        <v>1275</v>
      </c>
      <c r="I5" s="528">
        <f>'Vancouver Consolidated IS'!C148</f>
        <v>20486867.590000004</v>
      </c>
    </row>
    <row r="6" spans="1:12">
      <c r="C6" s="601" t="s">
        <v>925</v>
      </c>
      <c r="D6" s="602">
        <f>+'[19]WW RO - Garbage Only'!W21469</f>
        <v>78285.730000000345</v>
      </c>
      <c r="E6" s="603">
        <f>+'[19]WW RO - Garbage Only'!Z21469</f>
        <v>6325405.3100000434</v>
      </c>
      <c r="I6" s="502"/>
      <c r="J6" s="482" t="s">
        <v>1277</v>
      </c>
    </row>
    <row r="7" spans="1:12">
      <c r="C7" s="601" t="s">
        <v>1259</v>
      </c>
      <c r="D7" s="602">
        <f>+'[19]WW RO Food Waste'!W11</f>
        <v>0.59000000000000019</v>
      </c>
      <c r="E7" s="603">
        <f>+'[19]WW RO Food Waste'!Z11</f>
        <v>141.58000000000001</v>
      </c>
      <c r="H7" s="482" t="s">
        <v>1260</v>
      </c>
      <c r="I7" s="535">
        <f>E6</f>
        <v>6325405.3100000434</v>
      </c>
      <c r="J7" s="547" t="s">
        <v>1249</v>
      </c>
    </row>
    <row r="8" spans="1:12">
      <c r="C8" s="601" t="s">
        <v>1261</v>
      </c>
      <c r="D8" s="602">
        <f>+'[19]WW RO Other'!W1008</f>
        <v>2440.150000000001</v>
      </c>
      <c r="E8" s="603">
        <f>+'[19]WW RO Other'!Z1008</f>
        <v>61370.51</v>
      </c>
      <c r="H8" s="482" t="s">
        <v>1262</v>
      </c>
      <c r="I8" s="535">
        <f>E15</f>
        <v>12776228.64000003</v>
      </c>
      <c r="J8" s="547" t="s">
        <v>1249</v>
      </c>
      <c r="L8" s="501"/>
    </row>
    <row r="9" spans="1:12" ht="13.5" thickBot="1">
      <c r="C9" s="601"/>
      <c r="D9" s="604">
        <f>SUM(D6:D8)</f>
        <v>80726.470000000336</v>
      </c>
      <c r="E9" s="605">
        <f>SUM(E6:E8)</f>
        <v>6386917.4000000432</v>
      </c>
      <c r="H9" s="482" t="s">
        <v>1263</v>
      </c>
      <c r="I9" s="535">
        <f>SUM(E7:E8,E16:E17)+1760.29</f>
        <v>371544.14999999997</v>
      </c>
      <c r="J9" s="547" t="s">
        <v>1249</v>
      </c>
    </row>
    <row r="10" spans="1:12" ht="13.5" thickTop="1">
      <c r="D10" s="544"/>
      <c r="E10" s="502"/>
      <c r="H10" s="482" t="s">
        <v>1250</v>
      </c>
      <c r="I10" s="535">
        <f>'Vancouver Consolidated IS'!C144</f>
        <v>4300.1000000000004</v>
      </c>
      <c r="J10" s="547" t="s">
        <v>1251</v>
      </c>
      <c r="L10" s="501"/>
    </row>
    <row r="11" spans="1:12">
      <c r="C11" s="482" t="s">
        <v>1264</v>
      </c>
      <c r="D11" s="544">
        <f>+'[19]WW ALL RO Only'!W22482</f>
        <v>80726.470000000249</v>
      </c>
      <c r="E11" s="502">
        <f>+'[19]WW ALL RO Only'!Z22482</f>
        <v>6386917.4000000479</v>
      </c>
      <c r="H11" s="482" t="s">
        <v>1252</v>
      </c>
      <c r="I11" s="535">
        <f>'Vancouver Consolidated IS'!C143</f>
        <v>223134.00999999998</v>
      </c>
      <c r="J11" s="547" t="s">
        <v>1253</v>
      </c>
    </row>
    <row r="12" spans="1:12">
      <c r="C12" s="482" t="s">
        <v>1265</v>
      </c>
      <c r="D12" s="544">
        <f>+D11-D9</f>
        <v>0</v>
      </c>
      <c r="E12" s="544">
        <f>+E11-E9</f>
        <v>0</v>
      </c>
      <c r="H12" s="482" t="s">
        <v>1254</v>
      </c>
      <c r="I12" s="535">
        <f>'Vancouver Consolidated IS'!C142</f>
        <v>786259.39999999991</v>
      </c>
      <c r="J12" s="547" t="s">
        <v>1255</v>
      </c>
    </row>
    <row r="13" spans="1:12" ht="13.5" thickBot="1">
      <c r="D13" s="544"/>
      <c r="E13" s="502"/>
      <c r="I13" s="606">
        <f>SUM(I7:I12)</f>
        <v>20486871.610000074</v>
      </c>
    </row>
    <row r="14" spans="1:12" ht="13.5" thickTop="1">
      <c r="D14" s="544"/>
      <c r="E14" s="502"/>
      <c r="H14" s="567" t="s">
        <v>1256</v>
      </c>
      <c r="I14" s="502">
        <f>+I13-I5</f>
        <v>4.0200000703334808</v>
      </c>
    </row>
    <row r="15" spans="1:12">
      <c r="C15" s="607" t="s">
        <v>1266</v>
      </c>
      <c r="D15" s="608">
        <f>+'[19]WW MSW Only'!W15493</f>
        <v>142353.68000000023</v>
      </c>
      <c r="E15" s="609">
        <f>+'[19]WW MSW Only'!Z15493</f>
        <v>12776228.64000003</v>
      </c>
      <c r="K15" s="610"/>
    </row>
    <row r="16" spans="1:12">
      <c r="C16" s="607" t="s">
        <v>1267</v>
      </c>
      <c r="D16" s="608">
        <f>+'[19]WW Food Waste'!W532</f>
        <v>1689.4800000000014</v>
      </c>
      <c r="E16" s="609">
        <f>+'[19]WW Food Waste'!Z532</f>
        <v>110572.83000000007</v>
      </c>
      <c r="H16" s="1408" t="s">
        <v>1274</v>
      </c>
      <c r="I16" s="1408"/>
    </row>
    <row r="17" spans="3:9">
      <c r="C17" s="607" t="s">
        <v>1268</v>
      </c>
      <c r="D17" s="608">
        <f>+'[19]WW Resi Comm Other'!W913</f>
        <v>6922.8299999999917</v>
      </c>
      <c r="E17" s="609">
        <f>+'[19]WW Resi Comm Other'!Z913</f>
        <v>197698.93999999989</v>
      </c>
      <c r="H17" s="485" t="s">
        <v>1272</v>
      </c>
      <c r="I17" s="501">
        <f>'Vancouver Consolidated IS'!E17</f>
        <v>6625525.0600000005</v>
      </c>
    </row>
    <row r="18" spans="3:9" ht="13.5" thickBot="1">
      <c r="C18" s="607"/>
      <c r="D18" s="611">
        <f>SUM(D15:D17)</f>
        <v>150965.99000000022</v>
      </c>
      <c r="E18" s="612">
        <f>SUM(E15:E17)</f>
        <v>13084500.41000003</v>
      </c>
      <c r="H18" s="485" t="s">
        <v>1270</v>
      </c>
      <c r="I18" s="501">
        <f>E9</f>
        <v>6386917.4000000432</v>
      </c>
    </row>
    <row r="19" spans="3:9" ht="13.5" thickTop="1">
      <c r="D19" s="544"/>
      <c r="E19" s="502"/>
      <c r="H19" s="485" t="s">
        <v>1271</v>
      </c>
      <c r="I19" s="501">
        <f>I17-I18</f>
        <v>238607.65999995731</v>
      </c>
    </row>
    <row r="20" spans="3:9">
      <c r="C20" s="482" t="s">
        <v>1269</v>
      </c>
      <c r="D20" s="544">
        <f>+'[19]WW All Resi and Comm'!W16932</f>
        <v>150965.99</v>
      </c>
      <c r="E20" s="502">
        <f>+'[19]WW All Resi and Comm'!Z16932</f>
        <v>13084500.410000021</v>
      </c>
    </row>
    <row r="21" spans="3:9">
      <c r="C21" s="482" t="s">
        <v>1265</v>
      </c>
      <c r="D21" s="544">
        <f>+D20-D18</f>
        <v>-2.3283064365386963E-10</v>
      </c>
      <c r="E21" s="544">
        <f>+E20-E18</f>
        <v>0</v>
      </c>
    </row>
    <row r="22" spans="3:9">
      <c r="D22" s="544"/>
      <c r="E22" s="502"/>
    </row>
  </sheetData>
  <mergeCells count="2">
    <mergeCell ref="H16:I16"/>
    <mergeCell ref="D3:I3"/>
  </mergeCells>
  <pageMargins left="0.7" right="0.7" top="0.75" bottom="0.75" header="0.3" footer="0.3"/>
  <pageSetup pageOrder="overThenDown" orientation="portrait" r:id="rId1"/>
  <headerFooter>
    <oddFooter xml:space="preserve">&amp;L&amp;F - &amp;A
&amp;RPage &amp;P of &amp;N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
  <sheetViews>
    <sheetView view="pageBreakPreview" zoomScaleNormal="100" zoomScaleSheetLayoutView="100" workbookViewId="0">
      <selection activeCell="AI26" sqref="AI26"/>
    </sheetView>
  </sheetViews>
  <sheetFormatPr defaultRowHeight="15"/>
  <cols>
    <col min="1" max="1" width="29.5703125" customWidth="1"/>
    <col min="2" max="2" width="15.5703125" bestFit="1" customWidth="1"/>
    <col min="3" max="3" width="14.7109375" bestFit="1" customWidth="1"/>
    <col min="4" max="4" width="15.7109375" bestFit="1" customWidth="1"/>
    <col min="5" max="5" width="16.28515625" customWidth="1"/>
    <col min="6" max="6" width="12.28515625" bestFit="1" customWidth="1"/>
    <col min="7" max="7" width="12.28515625" customWidth="1"/>
    <col min="8" max="8" width="10.140625" customWidth="1"/>
    <col min="9" max="9" width="12.28515625" bestFit="1" customWidth="1"/>
    <col min="10" max="10" width="14.5703125" bestFit="1" customWidth="1"/>
    <col min="11" max="11" width="10.42578125" customWidth="1"/>
    <col min="12" max="12" width="12.28515625" bestFit="1" customWidth="1"/>
    <col min="13" max="13" width="14.5703125" bestFit="1" customWidth="1"/>
    <col min="14" max="14" width="13.7109375" bestFit="1" customWidth="1"/>
    <col min="15" max="15" width="10.28515625" hidden="1" customWidth="1"/>
    <col min="16" max="16" width="14.5703125" hidden="1" customWidth="1"/>
    <col min="17" max="17" width="13.7109375" hidden="1" customWidth="1"/>
  </cols>
  <sheetData>
    <row r="1" spans="1:18">
      <c r="A1" s="123" t="s">
        <v>1450</v>
      </c>
    </row>
    <row r="2" spans="1:18">
      <c r="A2" s="123" t="s">
        <v>1451</v>
      </c>
    </row>
    <row r="3" spans="1:18">
      <c r="A3" s="123" t="s">
        <v>1453</v>
      </c>
    </row>
    <row r="5" spans="1:18">
      <c r="A5" s="741" t="s">
        <v>1452</v>
      </c>
      <c r="B5" s="326"/>
      <c r="C5" s="326"/>
      <c r="D5" s="326"/>
      <c r="E5" s="326"/>
      <c r="F5" s="1410" t="s">
        <v>1432</v>
      </c>
      <c r="G5" s="1411"/>
      <c r="H5" s="1412"/>
      <c r="I5" s="1410" t="s">
        <v>271</v>
      </c>
      <c r="J5" s="1411"/>
      <c r="K5" s="1412"/>
      <c r="L5" s="1410" t="s">
        <v>268</v>
      </c>
      <c r="M5" s="1411"/>
      <c r="N5" s="1412"/>
      <c r="O5" s="1413" t="s">
        <v>1433</v>
      </c>
      <c r="P5" s="1414"/>
      <c r="Q5" s="1415"/>
      <c r="R5" s="326"/>
    </row>
    <row r="6" spans="1:18" ht="26.25">
      <c r="A6" s="726" t="s">
        <v>1434</v>
      </c>
      <c r="B6" s="726" t="s">
        <v>1435</v>
      </c>
      <c r="C6" s="726" t="s">
        <v>1436</v>
      </c>
      <c r="D6" s="726" t="s">
        <v>1437</v>
      </c>
      <c r="E6" s="1386" t="s">
        <v>1438</v>
      </c>
      <c r="F6" s="727" t="s">
        <v>388</v>
      </c>
      <c r="G6" s="1387" t="s">
        <v>406</v>
      </c>
      <c r="H6" s="1387" t="s">
        <v>1439</v>
      </c>
      <c r="I6" s="727" t="s">
        <v>388</v>
      </c>
      <c r="J6" s="727" t="s">
        <v>406</v>
      </c>
      <c r="K6" s="1387" t="s">
        <v>1439</v>
      </c>
      <c r="L6" s="727" t="s">
        <v>388</v>
      </c>
      <c r="M6" s="727" t="s">
        <v>406</v>
      </c>
      <c r="N6" s="727" t="s">
        <v>1439</v>
      </c>
      <c r="O6" s="727" t="s">
        <v>388</v>
      </c>
      <c r="P6" s="727" t="s">
        <v>406</v>
      </c>
      <c r="Q6" s="727" t="s">
        <v>1439</v>
      </c>
      <c r="R6" s="728" t="s">
        <v>339</v>
      </c>
    </row>
    <row r="7" spans="1:18">
      <c r="A7" s="729" t="s">
        <v>1440</v>
      </c>
      <c r="B7" s="730">
        <v>145165.43000000002</v>
      </c>
      <c r="C7" s="730">
        <v>56599</v>
      </c>
      <c r="D7" s="730">
        <v>124302.50000000001</v>
      </c>
      <c r="E7" s="730">
        <v>3551.5000000000005</v>
      </c>
      <c r="F7" s="731">
        <f>+B7*Ratios!$F$10</f>
        <v>51645.538111888214</v>
      </c>
      <c r="G7" s="731">
        <f>+B7-F7</f>
        <v>93519.891888111801</v>
      </c>
      <c r="H7" s="731">
        <v>0</v>
      </c>
      <c r="I7" s="731">
        <f>+C7*Ratios!$F$10</f>
        <v>20136.239127971174</v>
      </c>
      <c r="J7" s="731">
        <f>+C7-I7</f>
        <v>36462.760872028826</v>
      </c>
      <c r="K7" s="731">
        <v>0</v>
      </c>
      <c r="L7" s="731">
        <f>+D7*Ratios!$F$10</f>
        <v>44223.128751473298</v>
      </c>
      <c r="M7" s="731">
        <f>+D7-L7</f>
        <v>80079.371248526717</v>
      </c>
      <c r="N7" s="731">
        <v>0</v>
      </c>
      <c r="O7" s="730">
        <f>+E7*Ratios!$F$10</f>
        <v>1263.5179643278086</v>
      </c>
      <c r="P7" s="732">
        <f>+E7-O7</f>
        <v>2287.9820356721921</v>
      </c>
      <c r="Q7" s="730">
        <v>0</v>
      </c>
      <c r="R7" s="730">
        <f t="shared" ref="R7:R18" si="0">+SUM(B7:E7)-SUM(F7:Q7)</f>
        <v>0</v>
      </c>
    </row>
    <row r="8" spans="1:18">
      <c r="A8" s="729" t="s">
        <v>1441</v>
      </c>
      <c r="B8" s="730">
        <v>519.03</v>
      </c>
      <c r="C8" s="730">
        <v>1114</v>
      </c>
      <c r="D8" s="730">
        <v>2824.15</v>
      </c>
      <c r="E8" s="730">
        <v>80.69</v>
      </c>
      <c r="F8" s="731">
        <f>+B8*Ratios!$F$16</f>
        <v>21.274045599276135</v>
      </c>
      <c r="G8" s="731">
        <f>+B8-F8</f>
        <v>497.75595440072385</v>
      </c>
      <c r="H8" s="731">
        <v>0</v>
      </c>
      <c r="I8" s="731">
        <f>+C8*Ratios!$F$16</f>
        <v>45.660726350295008</v>
      </c>
      <c r="J8" s="731">
        <f>+C8-I8</f>
        <v>1068.3392736497051</v>
      </c>
      <c r="K8" s="731">
        <v>0</v>
      </c>
      <c r="L8" s="731">
        <f>+D8*Ratios!$F$16</f>
        <v>115.75649939154906</v>
      </c>
      <c r="M8" s="731">
        <f>+D8-L8</f>
        <v>2708.3935006084512</v>
      </c>
      <c r="N8" s="731">
        <v>0</v>
      </c>
      <c r="O8" s="730">
        <f>+E8*Ratios!$F$16</f>
        <v>3.3073285540442585</v>
      </c>
      <c r="P8" s="730">
        <f>+E8-O8</f>
        <v>77.382671445955737</v>
      </c>
      <c r="Q8" s="730">
        <v>0</v>
      </c>
      <c r="R8" s="730">
        <f t="shared" si="0"/>
        <v>0</v>
      </c>
    </row>
    <row r="9" spans="1:18">
      <c r="A9" s="729" t="s">
        <v>1442</v>
      </c>
      <c r="B9" s="730">
        <v>4950.63</v>
      </c>
      <c r="C9" s="730">
        <v>858</v>
      </c>
      <c r="D9" s="730">
        <v>6900.9500000000007</v>
      </c>
      <c r="E9" s="730">
        <v>197.17000000000002</v>
      </c>
      <c r="F9" s="731">
        <v>0</v>
      </c>
      <c r="G9" s="731">
        <f>+B9</f>
        <v>4950.63</v>
      </c>
      <c r="H9" s="731">
        <v>0</v>
      </c>
      <c r="I9" s="731">
        <v>0</v>
      </c>
      <c r="J9" s="731">
        <f>+C9</f>
        <v>858</v>
      </c>
      <c r="K9" s="731">
        <v>0</v>
      </c>
      <c r="L9" s="731">
        <v>0</v>
      </c>
      <c r="M9" s="731">
        <f>+D9</f>
        <v>6900.9500000000007</v>
      </c>
      <c r="N9" s="731">
        <v>0</v>
      </c>
      <c r="O9" s="730">
        <v>0</v>
      </c>
      <c r="P9" s="730">
        <f>+E9</f>
        <v>197.17000000000002</v>
      </c>
      <c r="Q9" s="730">
        <v>0</v>
      </c>
      <c r="R9" s="730">
        <f t="shared" si="0"/>
        <v>0</v>
      </c>
    </row>
    <row r="10" spans="1:18">
      <c r="A10" s="729" t="s">
        <v>1443</v>
      </c>
      <c r="B10" s="730">
        <v>113732.64</v>
      </c>
      <c r="C10" s="730">
        <v>47100</v>
      </c>
      <c r="D10" s="730">
        <v>106611.05</v>
      </c>
      <c r="E10" s="730">
        <v>3046.0299999999997</v>
      </c>
      <c r="F10" s="731">
        <v>0</v>
      </c>
      <c r="G10" s="731">
        <f>+B10</f>
        <v>113732.64</v>
      </c>
      <c r="H10" s="731">
        <v>0</v>
      </c>
      <c r="I10" s="731">
        <v>0</v>
      </c>
      <c r="J10" s="731">
        <f>+C10</f>
        <v>47100</v>
      </c>
      <c r="K10" s="731">
        <v>0</v>
      </c>
      <c r="L10" s="731">
        <v>0</v>
      </c>
      <c r="M10" s="731">
        <f>+D10</f>
        <v>106611.05</v>
      </c>
      <c r="N10" s="731">
        <v>0</v>
      </c>
      <c r="O10" s="730">
        <v>0</v>
      </c>
      <c r="P10" s="730">
        <f>+E10</f>
        <v>3046.0299999999997</v>
      </c>
      <c r="Q10" s="730">
        <v>0</v>
      </c>
      <c r="R10" s="730">
        <f t="shared" si="0"/>
        <v>0</v>
      </c>
    </row>
    <row r="11" spans="1:18">
      <c r="A11" s="729" t="s">
        <v>1444</v>
      </c>
      <c r="B11" s="730">
        <v>5880.48</v>
      </c>
      <c r="C11" s="730">
        <v>0</v>
      </c>
      <c r="D11" s="730">
        <v>726814.55</v>
      </c>
      <c r="E11" s="730">
        <v>20766.13</v>
      </c>
      <c r="F11" s="733">
        <f>+($B11-H11)*Ratios!$C$20</f>
        <v>2001.1373974949647</v>
      </c>
      <c r="G11" s="733">
        <f>+B11-F11-H11</f>
        <v>3879.3426025050348</v>
      </c>
      <c r="H11" s="733">
        <v>0</v>
      </c>
      <c r="I11" s="733">
        <f>+($C11-K11)*Ratios!$C$20</f>
        <v>0</v>
      </c>
      <c r="J11" s="733">
        <f>+C11-I11-K11</f>
        <v>0</v>
      </c>
      <c r="K11" s="733">
        <v>0</v>
      </c>
      <c r="L11" s="733">
        <f>+($D11-N11)*Ratios!$C$20</f>
        <v>217642.01722464149</v>
      </c>
      <c r="M11" s="733">
        <f>+D11-L11-N11</f>
        <v>421914.03277535853</v>
      </c>
      <c r="N11" s="733">
        <f>D26</f>
        <v>87258.5</v>
      </c>
      <c r="O11" s="734">
        <f>+($E11-Q11)*Ratios!$C$20</f>
        <v>6218.3433492754712</v>
      </c>
      <c r="P11" s="734">
        <f>+E11-O11-Q11</f>
        <v>12054.68665072453</v>
      </c>
      <c r="Q11" s="734">
        <f>+[54]Summary!$I$2</f>
        <v>2493.1</v>
      </c>
      <c r="R11" s="730">
        <f t="shared" si="0"/>
        <v>0</v>
      </c>
    </row>
    <row r="12" spans="1:18">
      <c r="A12" s="729" t="s">
        <v>1445</v>
      </c>
      <c r="B12" s="730">
        <v>338650.70000000007</v>
      </c>
      <c r="C12" s="730">
        <v>109716</v>
      </c>
      <c r="D12" s="730">
        <v>276743.60000000003</v>
      </c>
      <c r="E12" s="730">
        <v>7906.9599999999991</v>
      </c>
      <c r="F12" s="731">
        <v>0</v>
      </c>
      <c r="G12" s="731">
        <f>+B12</f>
        <v>338650.70000000007</v>
      </c>
      <c r="H12" s="731">
        <v>0</v>
      </c>
      <c r="I12" s="731">
        <v>0</v>
      </c>
      <c r="J12" s="731">
        <f>+C12</f>
        <v>109716</v>
      </c>
      <c r="K12" s="731">
        <v>0</v>
      </c>
      <c r="L12" s="731">
        <v>0</v>
      </c>
      <c r="M12" s="731">
        <f>+D12</f>
        <v>276743.60000000003</v>
      </c>
      <c r="N12" s="731">
        <v>0</v>
      </c>
      <c r="O12" s="730">
        <v>0</v>
      </c>
      <c r="P12" s="730">
        <f>+E12</f>
        <v>7906.9599999999991</v>
      </c>
      <c r="Q12" s="730">
        <v>0</v>
      </c>
      <c r="R12" s="730">
        <f t="shared" si="0"/>
        <v>0</v>
      </c>
    </row>
    <row r="13" spans="1:18">
      <c r="A13" s="729" t="s">
        <v>925</v>
      </c>
      <c r="B13" s="730">
        <v>98149.449999999983</v>
      </c>
      <c r="C13" s="730">
        <v>26648</v>
      </c>
      <c r="D13" s="730">
        <v>91541.889999999985</v>
      </c>
      <c r="E13" s="730">
        <v>2615.4825714285716</v>
      </c>
      <c r="F13" s="731">
        <f>+B13*Ratios!$F$11</f>
        <v>41760.620472617375</v>
      </c>
      <c r="G13" s="731">
        <f>+B13-F13</f>
        <v>56388.829527382608</v>
      </c>
      <c r="H13" s="731">
        <v>0</v>
      </c>
      <c r="I13" s="731">
        <f>+C13*Ratios!$F$11</f>
        <v>11338.189000084136</v>
      </c>
      <c r="J13" s="731">
        <f>+C13-I13</f>
        <v>15309.810999915864</v>
      </c>
      <c r="K13" s="731">
        <v>0</v>
      </c>
      <c r="L13" s="731">
        <f>+D13*Ratios!$F$11</f>
        <v>38949.236349628933</v>
      </c>
      <c r="M13" s="731">
        <f>+D13-L13</f>
        <v>52592.653650371052</v>
      </c>
      <c r="N13" s="731">
        <v>0</v>
      </c>
      <c r="O13" s="730">
        <f>+E13*Ratios!$F$11</f>
        <v>1112.8353242751127</v>
      </c>
      <c r="P13" s="730">
        <f>+E13-O13</f>
        <v>1502.6472471534589</v>
      </c>
      <c r="Q13" s="730">
        <v>0</v>
      </c>
      <c r="R13" s="730">
        <f t="shared" si="0"/>
        <v>0</v>
      </c>
    </row>
    <row r="14" spans="1:18">
      <c r="A14" s="729" t="s">
        <v>1446</v>
      </c>
      <c r="B14" s="730">
        <v>0</v>
      </c>
      <c r="C14" s="730">
        <v>0</v>
      </c>
      <c r="D14" s="730">
        <v>0</v>
      </c>
      <c r="E14" s="730">
        <v>0</v>
      </c>
      <c r="F14" s="731">
        <v>0</v>
      </c>
      <c r="G14" s="731">
        <f>+B14</f>
        <v>0</v>
      </c>
      <c r="H14" s="731">
        <v>0</v>
      </c>
      <c r="I14" s="731">
        <v>0</v>
      </c>
      <c r="J14" s="731">
        <f>+C14</f>
        <v>0</v>
      </c>
      <c r="K14" s="731">
        <v>0</v>
      </c>
      <c r="L14" s="731">
        <v>0</v>
      </c>
      <c r="M14" s="731">
        <f>+D14</f>
        <v>0</v>
      </c>
      <c r="N14" s="731">
        <v>0</v>
      </c>
      <c r="O14" s="730">
        <v>0</v>
      </c>
      <c r="P14" s="730">
        <f>+E14</f>
        <v>0</v>
      </c>
      <c r="Q14" s="730">
        <v>0</v>
      </c>
      <c r="R14" s="730">
        <f t="shared" si="0"/>
        <v>0</v>
      </c>
    </row>
    <row r="15" spans="1:18">
      <c r="A15" s="729" t="s">
        <v>1447</v>
      </c>
      <c r="B15" s="730">
        <v>3700.8</v>
      </c>
      <c r="C15" s="730">
        <v>420</v>
      </c>
      <c r="D15" s="730">
        <v>7142.0999999999995</v>
      </c>
      <c r="E15" s="730">
        <v>204.06</v>
      </c>
      <c r="F15" s="731">
        <f>+B15*Ratios!$C$20</f>
        <v>1259.3885670301347</v>
      </c>
      <c r="G15" s="731">
        <f>+B15-F15</f>
        <v>2441.4114329698655</v>
      </c>
      <c r="H15" s="731">
        <v>0</v>
      </c>
      <c r="I15" s="731">
        <f>+C15*Ratios!$C$20</f>
        <v>142.92671804816703</v>
      </c>
      <c r="J15" s="731">
        <f>+C15-I15</f>
        <v>277.073281951833</v>
      </c>
      <c r="K15" s="731">
        <v>0</v>
      </c>
      <c r="L15" s="731">
        <f>+D15*Ratios!$C$20</f>
        <v>2430.4688404090803</v>
      </c>
      <c r="M15" s="731">
        <f>+D15-L15</f>
        <v>4711.6311595909192</v>
      </c>
      <c r="N15" s="731">
        <v>0</v>
      </c>
      <c r="O15" s="730">
        <f>+E15*Ratios!$C$20</f>
        <v>69.441966868830875</v>
      </c>
      <c r="P15" s="730">
        <f>+E15-O15</f>
        <v>134.61803313116911</v>
      </c>
      <c r="Q15" s="730">
        <v>0</v>
      </c>
      <c r="R15" s="730">
        <f t="shared" si="0"/>
        <v>0</v>
      </c>
    </row>
    <row r="16" spans="1:18">
      <c r="A16" s="729" t="s">
        <v>1448</v>
      </c>
      <c r="B16" s="730">
        <v>802.45</v>
      </c>
      <c r="C16" s="730">
        <v>0</v>
      </c>
      <c r="D16" s="730">
        <v>3286.5</v>
      </c>
      <c r="E16" s="730">
        <v>93.9</v>
      </c>
      <c r="F16" s="731">
        <v>0</v>
      </c>
      <c r="G16" s="731">
        <v>0</v>
      </c>
      <c r="H16" s="731">
        <f>+B16</f>
        <v>802.45</v>
      </c>
      <c r="I16" s="731">
        <v>0</v>
      </c>
      <c r="J16" s="731">
        <v>0</v>
      </c>
      <c r="K16" s="731">
        <v>0</v>
      </c>
      <c r="L16" s="731">
        <v>0</v>
      </c>
      <c r="M16" s="731">
        <v>0</v>
      </c>
      <c r="N16" s="731">
        <f>+D16</f>
        <v>3286.5</v>
      </c>
      <c r="O16" s="730">
        <v>0</v>
      </c>
      <c r="P16" s="730">
        <v>0</v>
      </c>
      <c r="Q16" s="730">
        <f>+E16</f>
        <v>93.9</v>
      </c>
      <c r="R16" s="730">
        <f t="shared" si="0"/>
        <v>0</v>
      </c>
    </row>
    <row r="17" spans="1:18">
      <c r="A17" s="729" t="s">
        <v>1449</v>
      </c>
      <c r="B17" s="730">
        <v>107675.77999999998</v>
      </c>
      <c r="C17" s="730">
        <v>90214</v>
      </c>
      <c r="D17" s="730">
        <v>114450.51000000001</v>
      </c>
      <c r="E17" s="730">
        <v>3270.0145714285718</v>
      </c>
      <c r="F17" s="731">
        <f>+B17</f>
        <v>107675.77999999998</v>
      </c>
      <c r="G17" s="731">
        <v>0</v>
      </c>
      <c r="H17" s="731">
        <v>0</v>
      </c>
      <c r="I17" s="731">
        <f>+C17</f>
        <v>90214</v>
      </c>
      <c r="J17" s="731">
        <v>0</v>
      </c>
      <c r="K17" s="731">
        <v>0</v>
      </c>
      <c r="L17" s="731">
        <f>+D17</f>
        <v>114450.51000000001</v>
      </c>
      <c r="M17" s="731">
        <v>0</v>
      </c>
      <c r="N17" s="731">
        <v>0</v>
      </c>
      <c r="O17" s="730">
        <f>+E17</f>
        <v>3270.0145714285718</v>
      </c>
      <c r="P17" s="730">
        <v>0</v>
      </c>
      <c r="Q17" s="730">
        <v>0</v>
      </c>
      <c r="R17" s="730">
        <f t="shared" si="0"/>
        <v>0</v>
      </c>
    </row>
    <row r="18" spans="1:18">
      <c r="A18" s="729" t="s">
        <v>1294</v>
      </c>
      <c r="B18" s="730">
        <v>78686.67</v>
      </c>
      <c r="C18" s="730">
        <v>27373</v>
      </c>
      <c r="D18" s="730">
        <v>56310.45</v>
      </c>
      <c r="E18" s="730">
        <v>1608.8700000000001</v>
      </c>
      <c r="F18" s="735">
        <v>0</v>
      </c>
      <c r="G18" s="735">
        <f>+B18</f>
        <v>78686.67</v>
      </c>
      <c r="H18" s="735">
        <v>0</v>
      </c>
      <c r="I18" s="735">
        <v>0</v>
      </c>
      <c r="J18" s="735">
        <f>+C18</f>
        <v>27373</v>
      </c>
      <c r="K18" s="735">
        <v>0</v>
      </c>
      <c r="L18" s="735">
        <v>0</v>
      </c>
      <c r="M18" s="735">
        <f>+D18</f>
        <v>56310.45</v>
      </c>
      <c r="N18" s="735">
        <v>0</v>
      </c>
      <c r="O18" s="736">
        <v>0</v>
      </c>
      <c r="P18" s="736">
        <f>+E18</f>
        <v>1608.8700000000001</v>
      </c>
      <c r="Q18" s="736">
        <v>0</v>
      </c>
      <c r="R18" s="730">
        <f t="shared" si="0"/>
        <v>0</v>
      </c>
    </row>
    <row r="19" spans="1:18">
      <c r="A19" s="737" t="s">
        <v>343</v>
      </c>
      <c r="B19" s="738">
        <v>897914.06000000017</v>
      </c>
      <c r="C19" s="738">
        <v>360042</v>
      </c>
      <c r="D19" s="738">
        <v>1516928.25</v>
      </c>
      <c r="E19" s="738">
        <v>43340.807142857135</v>
      </c>
      <c r="F19" s="739">
        <f t="shared" ref="F19:Q19" si="1">+SUM(F7:F18)</f>
        <v>204363.73859462998</v>
      </c>
      <c r="G19" s="739">
        <f t="shared" si="1"/>
        <v>692747.87140537018</v>
      </c>
      <c r="H19" s="739">
        <f t="shared" si="1"/>
        <v>802.45</v>
      </c>
      <c r="I19" s="739">
        <f t="shared" si="1"/>
        <v>121877.01557245378</v>
      </c>
      <c r="J19" s="739">
        <f t="shared" si="1"/>
        <v>238164.98442754624</v>
      </c>
      <c r="K19" s="739">
        <f t="shared" si="1"/>
        <v>0</v>
      </c>
      <c r="L19" s="739">
        <f t="shared" si="1"/>
        <v>417811.11766554433</v>
      </c>
      <c r="M19" s="739">
        <f t="shared" si="1"/>
        <v>1008572.1323344556</v>
      </c>
      <c r="N19" s="739">
        <f t="shared" si="1"/>
        <v>90545</v>
      </c>
      <c r="O19" s="730">
        <f t="shared" si="1"/>
        <v>11937.460504729839</v>
      </c>
      <c r="P19" s="730">
        <f t="shared" si="1"/>
        <v>28816.346638127303</v>
      </c>
      <c r="Q19" s="730">
        <f t="shared" si="1"/>
        <v>2587</v>
      </c>
      <c r="R19" s="326"/>
    </row>
    <row r="20" spans="1:18">
      <c r="A20" s="326"/>
      <c r="B20" s="326"/>
      <c r="C20" s="326"/>
      <c r="D20" s="326"/>
      <c r="E20" s="742" t="s">
        <v>390</v>
      </c>
      <c r="F20" s="743">
        <f>F19/(F19+G19)</f>
        <v>0.22780191039399206</v>
      </c>
      <c r="G20" s="744"/>
      <c r="H20" s="744"/>
      <c r="I20" s="743">
        <f>I19/(I19+J19)</f>
        <v>0.33850777290553263</v>
      </c>
      <c r="J20" s="744"/>
      <c r="K20" s="744"/>
      <c r="L20" s="743">
        <f>L19/SUM(L19:M19)</f>
        <v>0.29291644981497389</v>
      </c>
      <c r="M20" s="326"/>
      <c r="N20" s="326"/>
      <c r="O20" s="740">
        <f t="shared" ref="O20:P20" si="2">O19/SUM(O19:P19)</f>
        <v>0.29291644981497389</v>
      </c>
      <c r="P20" s="740">
        <f t="shared" si="2"/>
        <v>0.91762024507097972</v>
      </c>
      <c r="Q20" s="326"/>
      <c r="R20" s="326"/>
    </row>
    <row r="22" spans="1:18">
      <c r="E22" s="742" t="s">
        <v>2362</v>
      </c>
      <c r="F22" s="1129">
        <f>1-F23</f>
        <v>0.7956554290903215</v>
      </c>
      <c r="G22" s="123"/>
      <c r="H22" s="123"/>
      <c r="I22" s="1129">
        <f>1-I23</f>
        <v>0.90697024416926442</v>
      </c>
      <c r="J22" s="123"/>
      <c r="K22" s="123"/>
      <c r="L22" s="1129">
        <f>1-L23</f>
        <v>0.90677788430510942</v>
      </c>
    </row>
    <row r="23" spans="1:18">
      <c r="A23" s="770" t="s">
        <v>1474</v>
      </c>
      <c r="E23" s="742" t="s">
        <v>2363</v>
      </c>
      <c r="F23" s="1130">
        <f>F13/F19</f>
        <v>0.20434457090967853</v>
      </c>
      <c r="G23" s="123"/>
      <c r="H23" s="123"/>
      <c r="I23" s="1130">
        <f>I13/I19</f>
        <v>9.3029755830735611E-2</v>
      </c>
      <c r="J23" s="123"/>
      <c r="K23" s="123"/>
      <c r="L23" s="1130">
        <f>L13/L19</f>
        <v>9.3222115694890625E-2</v>
      </c>
    </row>
    <row r="24" spans="1:18" ht="15.75">
      <c r="A24" s="769" t="s">
        <v>1454</v>
      </c>
      <c r="D24" s="745"/>
      <c r="K24" s="766"/>
      <c r="L24" s="766"/>
      <c r="M24" s="766"/>
    </row>
    <row r="25" spans="1:18">
      <c r="B25" s="746" t="s">
        <v>1455</v>
      </c>
      <c r="C25" s="746" t="s">
        <v>1280</v>
      </c>
      <c r="D25" s="746" t="s">
        <v>1456</v>
      </c>
      <c r="E25" s="746" t="s">
        <v>1457</v>
      </c>
      <c r="K25" s="767"/>
      <c r="L25" s="767"/>
      <c r="M25" s="768"/>
    </row>
    <row r="26" spans="1:18">
      <c r="A26" s="747"/>
      <c r="B26" s="748">
        <f>SUM(B29:B40)*E26</f>
        <v>38851.75</v>
      </c>
      <c r="C26" s="748">
        <f>SUM(C29:C40)*E26</f>
        <v>48406.75</v>
      </c>
      <c r="D26" s="748">
        <f>+B26+C26</f>
        <v>87258.5</v>
      </c>
      <c r="E26" s="750">
        <v>35</v>
      </c>
    </row>
    <row r="27" spans="1:18">
      <c r="B27" s="751"/>
      <c r="C27" s="749"/>
      <c r="D27" s="752"/>
      <c r="J27" s="744"/>
      <c r="K27" s="744"/>
      <c r="L27" s="744"/>
      <c r="M27" s="744"/>
      <c r="O27" s="744"/>
    </row>
    <row r="28" spans="1:18">
      <c r="A28" s="744" t="s">
        <v>1458</v>
      </c>
      <c r="B28" s="753" t="s">
        <v>1459</v>
      </c>
      <c r="C28" s="754" t="s">
        <v>1460</v>
      </c>
      <c r="D28" s="755" t="s">
        <v>353</v>
      </c>
      <c r="E28" s="744"/>
      <c r="J28" s="744"/>
      <c r="K28" s="744"/>
      <c r="L28" s="744"/>
      <c r="M28" s="744"/>
      <c r="O28" s="744"/>
    </row>
    <row r="29" spans="1:18">
      <c r="A29" s="756" t="s">
        <v>1461</v>
      </c>
      <c r="B29" s="757">
        <v>101.5</v>
      </c>
      <c r="C29" s="757">
        <v>61</v>
      </c>
      <c r="D29" s="758"/>
      <c r="E29" s="744"/>
      <c r="J29" s="744"/>
      <c r="K29" s="744"/>
      <c r="L29" s="744"/>
      <c r="M29" s="744"/>
      <c r="O29" s="744"/>
    </row>
    <row r="30" spans="1:18">
      <c r="A30" s="756" t="s">
        <v>1462</v>
      </c>
      <c r="B30" s="757">
        <v>299.25</v>
      </c>
      <c r="C30" s="757">
        <v>150</v>
      </c>
      <c r="D30" s="758"/>
      <c r="E30" s="744"/>
      <c r="J30" s="744"/>
      <c r="K30" s="744"/>
      <c r="L30" s="744"/>
      <c r="M30" s="744"/>
      <c r="O30" s="744"/>
    </row>
    <row r="31" spans="1:18">
      <c r="A31" s="756" t="s">
        <v>1463</v>
      </c>
      <c r="B31" s="757">
        <v>8</v>
      </c>
      <c r="C31" s="757">
        <v>37.5</v>
      </c>
      <c r="D31" s="758"/>
      <c r="E31" s="744"/>
      <c r="J31" s="744"/>
      <c r="K31" s="744"/>
      <c r="L31" s="744"/>
      <c r="M31" s="744"/>
      <c r="O31" s="744"/>
    </row>
    <row r="32" spans="1:18">
      <c r="A32" s="756" t="s">
        <v>1464</v>
      </c>
      <c r="B32" s="757">
        <v>74.5</v>
      </c>
      <c r="C32" s="757">
        <v>110</v>
      </c>
      <c r="D32" s="758"/>
      <c r="E32" s="744"/>
    </row>
    <row r="33" spans="1:11">
      <c r="A33" s="756" t="s">
        <v>1465</v>
      </c>
      <c r="B33" s="759">
        <v>45</v>
      </c>
      <c r="C33" s="759">
        <v>117</v>
      </c>
      <c r="D33" s="760"/>
    </row>
    <row r="34" spans="1:11">
      <c r="A34" s="756" t="s">
        <v>1466</v>
      </c>
      <c r="B34" s="757">
        <v>68.5</v>
      </c>
      <c r="C34" s="757">
        <v>109</v>
      </c>
      <c r="D34" s="761"/>
    </row>
    <row r="35" spans="1:11">
      <c r="A35" s="756" t="s">
        <v>1467</v>
      </c>
      <c r="B35" s="757">
        <v>153</v>
      </c>
      <c r="C35" s="757">
        <v>56.5</v>
      </c>
      <c r="D35" s="761"/>
    </row>
    <row r="36" spans="1:11">
      <c r="A36" s="756" t="s">
        <v>1468</v>
      </c>
      <c r="B36" s="759">
        <v>41.25</v>
      </c>
      <c r="C36" s="759">
        <v>114</v>
      </c>
      <c r="D36" s="761"/>
      <c r="J36" t="s">
        <v>1470</v>
      </c>
    </row>
    <row r="37" spans="1:11">
      <c r="A37" s="756" t="s">
        <v>1469</v>
      </c>
      <c r="B37" s="759">
        <v>122.50999999999999</v>
      </c>
      <c r="C37" s="759">
        <v>146.23000000000002</v>
      </c>
      <c r="D37" s="761"/>
    </row>
    <row r="38" spans="1:11">
      <c r="A38" s="756" t="s">
        <v>1471</v>
      </c>
      <c r="B38" s="759">
        <v>55.61</v>
      </c>
      <c r="C38" s="759">
        <v>172</v>
      </c>
      <c r="D38" s="761"/>
    </row>
    <row r="39" spans="1:11">
      <c r="A39" s="756" t="s">
        <v>1472</v>
      </c>
      <c r="B39" s="759">
        <v>68.960000000000008</v>
      </c>
      <c r="C39" s="759">
        <v>237.82</v>
      </c>
      <c r="D39" s="761"/>
      <c r="K39" s="326" t="s">
        <v>1470</v>
      </c>
    </row>
    <row r="40" spans="1:11">
      <c r="A40" s="756" t="s">
        <v>1473</v>
      </c>
      <c r="B40" s="759">
        <v>71.97</v>
      </c>
      <c r="C40" s="759">
        <v>72</v>
      </c>
      <c r="D40" s="761"/>
    </row>
    <row r="41" spans="1:11">
      <c r="A41" s="756"/>
      <c r="B41" s="762"/>
      <c r="C41" s="762"/>
      <c r="D41" s="761"/>
    </row>
    <row r="42" spans="1:11">
      <c r="A42" s="756"/>
      <c r="B42" s="763"/>
      <c r="C42" s="764"/>
      <c r="D42" s="765"/>
    </row>
    <row r="43" spans="1:11">
      <c r="A43" s="756"/>
      <c r="B43" s="763"/>
      <c r="C43" s="764"/>
      <c r="D43" s="765"/>
    </row>
    <row r="44" spans="1:11">
      <c r="A44" s="756"/>
      <c r="B44" s="763"/>
      <c r="C44" s="764"/>
      <c r="D44" s="765"/>
    </row>
  </sheetData>
  <mergeCells count="4">
    <mergeCell ref="F5:H5"/>
    <mergeCell ref="I5:K5"/>
    <mergeCell ref="L5:N5"/>
    <mergeCell ref="O5:Q5"/>
  </mergeCells>
  <pageMargins left="0.7" right="0.7" top="0.75" bottom="0.75" header="0.3" footer="0.3"/>
  <pageSetup scale="57" orientation="landscape" r:id="rId1"/>
  <headerFooter>
    <oddFooter xml:space="preserve">&amp;L&amp;F - &amp;A
&amp;RPage &amp;P of &amp;N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showGridLines="0" view="pageBreakPreview" zoomScale="115" zoomScaleNormal="100" zoomScaleSheetLayoutView="115" workbookViewId="0">
      <selection activeCell="AI26" sqref="AI26"/>
    </sheetView>
  </sheetViews>
  <sheetFormatPr defaultRowHeight="12"/>
  <cols>
    <col min="1" max="1" width="9.140625" style="1097"/>
    <col min="2" max="2" width="11.42578125" style="1097" customWidth="1"/>
    <col min="3" max="16384" width="9.140625" style="1097"/>
  </cols>
  <sheetData>
    <row r="1" spans="1:6">
      <c r="A1" s="1087" t="s">
        <v>1282</v>
      </c>
      <c r="B1" s="1086"/>
      <c r="C1" s="1086"/>
      <c r="D1" s="1086"/>
    </row>
    <row r="2" spans="1:6">
      <c r="A2" s="1087" t="s">
        <v>1957</v>
      </c>
      <c r="B2" s="1086"/>
      <c r="C2" s="1086"/>
      <c r="D2" s="1086"/>
    </row>
    <row r="3" spans="1:6">
      <c r="A3" s="1087" t="s">
        <v>491</v>
      </c>
      <c r="B3" s="1086"/>
      <c r="C3" s="1086"/>
      <c r="D3" s="1086"/>
    </row>
    <row r="4" spans="1:6">
      <c r="A4" s="1087"/>
      <c r="B4" s="1086"/>
      <c r="C4" s="1086"/>
      <c r="D4" s="1086"/>
    </row>
    <row r="5" spans="1:6">
      <c r="A5" s="1089"/>
      <c r="B5" s="1085"/>
      <c r="C5" s="1085"/>
      <c r="D5" s="1084" t="s">
        <v>1958</v>
      </c>
    </row>
    <row r="6" spans="1:6">
      <c r="A6" s="1084" t="s">
        <v>1959</v>
      </c>
      <c r="B6" s="1084" t="s">
        <v>470</v>
      </c>
      <c r="C6" s="1084" t="s">
        <v>1960</v>
      </c>
      <c r="D6" s="1084" t="s">
        <v>1961</v>
      </c>
    </row>
    <row r="7" spans="1:6">
      <c r="A7" s="1083">
        <v>42644</v>
      </c>
      <c r="B7" s="1082">
        <v>136467.6</v>
      </c>
      <c r="C7" s="1081">
        <v>59816.800000000003</v>
      </c>
      <c r="D7" s="1080">
        <f>+B7/C7</f>
        <v>2.2814259539126134</v>
      </c>
      <c r="F7" s="1055"/>
    </row>
    <row r="8" spans="1:6">
      <c r="A8" s="1083">
        <v>42675</v>
      </c>
      <c r="B8" s="1082">
        <v>127034.72</v>
      </c>
      <c r="C8" s="1081">
        <v>62572.5</v>
      </c>
      <c r="D8" s="1080">
        <f t="shared" ref="D8:D9" si="0">+B8/C8</f>
        <v>2.030200487434576</v>
      </c>
    </row>
    <row r="9" spans="1:6">
      <c r="A9" s="1083">
        <v>42705</v>
      </c>
      <c r="B9" s="1082">
        <v>136007.37</v>
      </c>
      <c r="C9" s="1081">
        <v>62299.9</v>
      </c>
      <c r="D9" s="1080">
        <f t="shared" si="0"/>
        <v>2.1831073565126107</v>
      </c>
    </row>
    <row r="10" spans="1:6">
      <c r="A10" s="1083">
        <v>42736</v>
      </c>
      <c r="B10" s="1082">
        <v>122451.47</v>
      </c>
      <c r="C10" s="1081">
        <v>51964</v>
      </c>
      <c r="D10" s="1080">
        <f>+B10/C10</f>
        <v>2.3564673620198597</v>
      </c>
    </row>
    <row r="11" spans="1:6">
      <c r="A11" s="1083">
        <v>42767</v>
      </c>
      <c r="B11" s="1082">
        <v>123765.26</v>
      </c>
      <c r="C11" s="1081">
        <v>52365</v>
      </c>
      <c r="D11" s="1080">
        <f t="shared" ref="D11:D18" si="1">+B11/C11</f>
        <v>2.3635111238422608</v>
      </c>
    </row>
    <row r="12" spans="1:6">
      <c r="A12" s="1083">
        <v>42795</v>
      </c>
      <c r="B12" s="1082">
        <v>143362.91</v>
      </c>
      <c r="C12" s="1081">
        <v>61397</v>
      </c>
      <c r="D12" s="1080">
        <f t="shared" si="1"/>
        <v>2.3350149030082905</v>
      </c>
    </row>
    <row r="13" spans="1:6">
      <c r="A13" s="1083">
        <v>42826</v>
      </c>
      <c r="B13" s="1082">
        <v>131903.60999999999</v>
      </c>
      <c r="C13" s="1081">
        <v>55011</v>
      </c>
      <c r="D13" s="1080">
        <f t="shared" si="1"/>
        <v>2.397767900965261</v>
      </c>
    </row>
    <row r="14" spans="1:6">
      <c r="A14" s="1083">
        <v>42856</v>
      </c>
      <c r="B14" s="1082">
        <v>155782.57</v>
      </c>
      <c r="C14" s="1081">
        <v>64534</v>
      </c>
      <c r="D14" s="1080">
        <f t="shared" si="1"/>
        <v>2.4139611677565314</v>
      </c>
    </row>
    <row r="15" spans="1:6">
      <c r="A15" s="1083">
        <v>42887</v>
      </c>
      <c r="B15" s="1082">
        <v>145312.48000000001</v>
      </c>
      <c r="C15" s="1081">
        <v>63077</v>
      </c>
      <c r="D15" s="1080">
        <f t="shared" si="1"/>
        <v>2.3037316295955739</v>
      </c>
    </row>
    <row r="16" spans="1:6">
      <c r="A16" s="1083">
        <v>42917</v>
      </c>
      <c r="B16" s="1082">
        <v>143712.73000000001</v>
      </c>
      <c r="C16" s="1081">
        <v>60236</v>
      </c>
      <c r="D16" s="1080">
        <f t="shared" si="1"/>
        <v>2.3858279102198021</v>
      </c>
    </row>
    <row r="17" spans="1:4">
      <c r="A17" s="1083">
        <v>42948</v>
      </c>
      <c r="B17" s="1082">
        <v>169219.86</v>
      </c>
      <c r="C17" s="1081">
        <v>66636</v>
      </c>
      <c r="D17" s="1080">
        <f t="shared" si="1"/>
        <v>2.5394660543850169</v>
      </c>
    </row>
    <row r="18" spans="1:4">
      <c r="A18" s="1083">
        <v>42979</v>
      </c>
      <c r="B18" s="1079">
        <v>165626.73000000001</v>
      </c>
      <c r="C18" s="1078">
        <v>61984</v>
      </c>
      <c r="D18" s="1077">
        <f t="shared" si="1"/>
        <v>2.6720884421786271</v>
      </c>
    </row>
    <row r="19" spans="1:4">
      <c r="A19" s="1087"/>
      <c r="B19" s="1076">
        <f>SUM(B7:B18)</f>
        <v>1700647.31</v>
      </c>
      <c r="C19" s="1088">
        <f>SUM(C7:C18)</f>
        <v>721893.2</v>
      </c>
      <c r="D19" s="1075">
        <f>B19/C19</f>
        <v>2.3558156663617278</v>
      </c>
    </row>
    <row r="20" spans="1:4">
      <c r="A20" s="1086"/>
      <c r="B20" s="1086"/>
      <c r="C20" s="1086"/>
      <c r="D20" s="1086"/>
    </row>
    <row r="21" spans="1:4">
      <c r="A21" s="1074" t="s">
        <v>1275</v>
      </c>
      <c r="B21" s="1073">
        <f>'Vancouver Consolidated IS'!C113</f>
        <v>1700647.3099999998</v>
      </c>
      <c r="C21" s="1072"/>
      <c r="D21" s="1075"/>
    </row>
    <row r="22" spans="1:4">
      <c r="A22" s="1074" t="s">
        <v>428</v>
      </c>
      <c r="B22" s="1076">
        <f>B19-B21</f>
        <v>0</v>
      </c>
      <c r="C22" s="1072"/>
      <c r="D22" s="1075"/>
    </row>
    <row r="23" spans="1:4">
      <c r="A23" s="1087"/>
      <c r="B23" s="1076"/>
      <c r="C23" s="1072"/>
      <c r="D23" s="1075"/>
    </row>
    <row r="24" spans="1:4">
      <c r="A24" s="1416" t="s">
        <v>1963</v>
      </c>
      <c r="B24" s="1416"/>
      <c r="C24" s="1416"/>
      <c r="D24" s="1416"/>
    </row>
    <row r="25" spans="1:4">
      <c r="A25" s="1071"/>
      <c r="B25" s="1071" t="s">
        <v>1964</v>
      </c>
      <c r="C25" s="1071" t="s">
        <v>1960</v>
      </c>
      <c r="D25" s="1071" t="s">
        <v>1965</v>
      </c>
    </row>
    <row r="26" spans="1:4">
      <c r="A26" s="1070" t="s">
        <v>1966</v>
      </c>
      <c r="B26" s="1070" t="s">
        <v>470</v>
      </c>
      <c r="C26" s="1070" t="s">
        <v>1967</v>
      </c>
      <c r="D26" s="1070" t="s">
        <v>1968</v>
      </c>
    </row>
    <row r="27" spans="1:4" ht="12.75">
      <c r="A27" s="1069">
        <v>43009</v>
      </c>
      <c r="B27" s="1058">
        <v>170640.68</v>
      </c>
      <c r="C27" s="1057">
        <v>67340</v>
      </c>
      <c r="D27" s="1056">
        <f t="shared" ref="D27" si="2">+B27/C27</f>
        <v>2.5340166320166317</v>
      </c>
    </row>
    <row r="28" spans="1:4">
      <c r="A28" s="1069"/>
      <c r="B28" s="1068"/>
      <c r="C28" s="1067"/>
      <c r="D28" s="1068"/>
    </row>
    <row r="29" spans="1:4">
      <c r="A29" s="1066"/>
      <c r="B29" s="1065"/>
      <c r="C29" s="1064"/>
      <c r="D29" s="1063"/>
    </row>
    <row r="30" spans="1:4">
      <c r="A30" s="1062"/>
      <c r="B30" s="1065"/>
      <c r="C30" s="1064"/>
      <c r="D30" s="1063"/>
    </row>
    <row r="31" spans="1:4">
      <c r="A31" s="1062"/>
      <c r="B31" s="1065"/>
      <c r="C31" s="1064"/>
      <c r="D31" s="1061"/>
    </row>
    <row r="32" spans="1:4">
      <c r="A32" s="1416" t="s">
        <v>1969</v>
      </c>
      <c r="B32" s="1416"/>
      <c r="C32" s="1416"/>
      <c r="D32" s="1416"/>
    </row>
    <row r="33" spans="1:4">
      <c r="A33" s="1060" t="s">
        <v>1966</v>
      </c>
      <c r="B33" s="1060" t="s">
        <v>451</v>
      </c>
      <c r="C33" s="1060"/>
      <c r="D33" s="1060"/>
    </row>
    <row r="34" spans="1:4">
      <c r="A34" s="1069">
        <v>43009</v>
      </c>
      <c r="B34" s="1054">
        <f>(C7*D27)-B7</f>
        <v>15109.166074012464</v>
      </c>
      <c r="C34" s="1067"/>
      <c r="D34" s="1068"/>
    </row>
    <row r="35" spans="1:4">
      <c r="A35" s="1069"/>
      <c r="B35" s="1065"/>
      <c r="C35" s="1067"/>
      <c r="D35" s="1068"/>
    </row>
    <row r="36" spans="1:4">
      <c r="A36" s="1062"/>
      <c r="B36" s="1059"/>
      <c r="C36" s="1062"/>
      <c r="D36" s="1062"/>
    </row>
    <row r="37" spans="1:4">
      <c r="B37" s="1151"/>
    </row>
    <row r="38" spans="1:4">
      <c r="B38" s="1152"/>
    </row>
    <row r="39" spans="1:4">
      <c r="B39" s="1046"/>
    </row>
  </sheetData>
  <mergeCells count="2">
    <mergeCell ref="A24:D24"/>
    <mergeCell ref="A32:D32"/>
  </mergeCells>
  <pageMargins left="0.7" right="0.7" top="0.75" bottom="0.75" header="0.3" footer="0.3"/>
  <pageSetup orientation="portrait" r:id="rId1"/>
  <headerFooter>
    <oddFooter xml:space="preserve">&amp;L&amp;F - &amp;A
&amp;RPage &amp;P of &amp;N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26"/>
  <sheetViews>
    <sheetView showGridLines="0" view="pageBreakPreview" zoomScaleNormal="100" zoomScaleSheetLayoutView="100" workbookViewId="0">
      <selection activeCell="AI26" sqref="AI26"/>
    </sheetView>
  </sheetViews>
  <sheetFormatPr defaultRowHeight="15"/>
  <cols>
    <col min="1" max="1" width="29.42578125" style="1094" customWidth="1"/>
    <col min="2" max="2" width="15.28515625" style="1094" bestFit="1" customWidth="1"/>
    <col min="3" max="3" width="15.85546875" style="1094" bestFit="1" customWidth="1"/>
    <col min="4" max="16384" width="9.140625" style="1094"/>
  </cols>
  <sheetData>
    <row r="1" spans="1:9">
      <c r="A1" s="1093" t="s">
        <v>1282</v>
      </c>
    </row>
    <row r="2" spans="1:9">
      <c r="A2" s="1093" t="s">
        <v>1971</v>
      </c>
    </row>
    <row r="4" spans="1:9" ht="75" customHeight="1">
      <c r="A4" s="1417" t="s">
        <v>1972</v>
      </c>
      <c r="B4" s="1417"/>
      <c r="C4" s="1417"/>
      <c r="D4" s="1417"/>
      <c r="E4" s="1417"/>
      <c r="F4" s="1417"/>
      <c r="G4" s="1417"/>
    </row>
    <row r="6" spans="1:9">
      <c r="A6" s="1098"/>
      <c r="B6" s="1099"/>
      <c r="C6" s="1100"/>
      <c r="G6" s="1095"/>
      <c r="H6" s="1095"/>
      <c r="I6" s="1095"/>
    </row>
    <row r="7" spans="1:9">
      <c r="A7" s="1091" t="s">
        <v>353</v>
      </c>
      <c r="B7" s="1090" t="s">
        <v>95</v>
      </c>
      <c r="C7" s="1092" t="s">
        <v>1973</v>
      </c>
      <c r="G7" s="1050"/>
      <c r="H7" s="1095"/>
      <c r="I7" s="1095"/>
    </row>
    <row r="8" spans="1:9">
      <c r="A8" s="1101" t="s">
        <v>1974</v>
      </c>
      <c r="B8" s="1052">
        <v>68889157</v>
      </c>
      <c r="C8" s="1102">
        <v>0.31917684170163879</v>
      </c>
      <c r="G8" s="1050"/>
      <c r="H8" s="1095"/>
      <c r="I8" s="1095"/>
    </row>
    <row r="9" spans="1:9">
      <c r="A9" s="1103" t="s">
        <v>1975</v>
      </c>
      <c r="B9" s="1052">
        <v>44947124</v>
      </c>
      <c r="C9" s="1104">
        <v>0.20824875360126602</v>
      </c>
      <c r="G9" s="1050"/>
      <c r="H9" s="1095"/>
      <c r="I9" s="1095"/>
    </row>
    <row r="10" spans="1:9">
      <c r="A10" s="1103" t="s">
        <v>1976</v>
      </c>
      <c r="B10" s="1052">
        <v>970657</v>
      </c>
      <c r="C10" s="1104">
        <v>4.4972423691523418E-3</v>
      </c>
      <c r="G10" s="1050"/>
      <c r="H10" s="1095"/>
      <c r="I10" s="1095"/>
    </row>
    <row r="11" spans="1:9">
      <c r="A11" s="1103" t="s">
        <v>1977</v>
      </c>
      <c r="B11" s="1052">
        <v>3233426</v>
      </c>
      <c r="C11" s="1104">
        <v>1.4981090544568039E-2</v>
      </c>
      <c r="G11" s="1050"/>
      <c r="H11" s="1095"/>
      <c r="I11" s="1095"/>
    </row>
    <row r="12" spans="1:9">
      <c r="A12" s="1103" t="s">
        <v>1978</v>
      </c>
      <c r="B12" s="1052">
        <v>5392718</v>
      </c>
      <c r="C12" s="1104">
        <v>2.4985509685182795E-2</v>
      </c>
      <c r="G12" s="1050"/>
      <c r="H12" s="1095"/>
      <c r="I12" s="1095"/>
    </row>
    <row r="13" spans="1:9">
      <c r="A13" s="1103" t="s">
        <v>1979</v>
      </c>
      <c r="B13" s="1052">
        <v>25075870</v>
      </c>
      <c r="C13" s="1104">
        <v>0.11618137509682218</v>
      </c>
      <c r="G13" s="1050"/>
      <c r="H13" s="1095"/>
      <c r="I13" s="1095"/>
    </row>
    <row r="14" spans="1:9">
      <c r="A14" s="1103" t="s">
        <v>1980</v>
      </c>
      <c r="B14" s="1052">
        <v>1237301</v>
      </c>
      <c r="C14" s="1104">
        <v>5.7326557997259189E-3</v>
      </c>
      <c r="G14" s="1050"/>
      <c r="H14" s="1095"/>
      <c r="I14" s="1095"/>
    </row>
    <row r="15" spans="1:9">
      <c r="A15" s="1103" t="s">
        <v>1981</v>
      </c>
      <c r="B15" s="1052">
        <v>3027459</v>
      </c>
      <c r="C15" s="1104">
        <v>2.7926387996098111E-2</v>
      </c>
      <c r="G15" s="1050"/>
      <c r="H15" s="1095"/>
      <c r="I15" s="1095"/>
    </row>
    <row r="16" spans="1:9">
      <c r="A16" s="1103" t="s">
        <v>1982</v>
      </c>
      <c r="B16" s="1052">
        <v>16482344</v>
      </c>
      <c r="C16" s="1104">
        <v>7.6365900395035408E-2</v>
      </c>
      <c r="G16" s="1050"/>
      <c r="H16" s="1095"/>
      <c r="I16" s="1095"/>
    </row>
    <row r="17" spans="1:9">
      <c r="A17" s="1103" t="s">
        <v>1983</v>
      </c>
      <c r="B17" s="1052">
        <v>17341604</v>
      </c>
      <c r="C17" s="1104">
        <v>8.0347018831432443E-2</v>
      </c>
      <c r="G17" s="1050"/>
      <c r="H17" s="1095"/>
      <c r="I17" s="1095"/>
    </row>
    <row r="18" spans="1:9">
      <c r="A18" s="1103" t="s">
        <v>1984</v>
      </c>
      <c r="B18" s="1052">
        <v>5534803</v>
      </c>
      <c r="C18" s="1104">
        <v>2.5643817081122875E-2</v>
      </c>
      <c r="G18" s="1050"/>
      <c r="H18" s="1095"/>
      <c r="I18" s="1095"/>
    </row>
    <row r="19" spans="1:9">
      <c r="A19" s="1103" t="s">
        <v>1985</v>
      </c>
      <c r="B19" s="1052">
        <v>4808709</v>
      </c>
      <c r="C19" s="1104">
        <v>2.2279682581719584E-2</v>
      </c>
      <c r="G19" s="1050"/>
      <c r="H19" s="1095"/>
      <c r="I19" s="1095"/>
    </row>
    <row r="20" spans="1:9" ht="15.75" thickBot="1">
      <c r="A20" s="1105" t="s">
        <v>1986</v>
      </c>
      <c r="B20" s="1051">
        <v>15892648</v>
      </c>
      <c r="C20" s="1106">
        <v>7.3633724316235522E-2</v>
      </c>
      <c r="G20" s="1095"/>
      <c r="H20" s="1095"/>
      <c r="I20" s="1095"/>
    </row>
    <row r="21" spans="1:9" ht="15.75" thickBot="1">
      <c r="B21" s="1107">
        <f>SUM(B8:B20)</f>
        <v>212833820</v>
      </c>
      <c r="C21" s="1108">
        <v>1</v>
      </c>
      <c r="G21" s="1095"/>
      <c r="H21" s="1095"/>
      <c r="I21" s="1095"/>
    </row>
    <row r="23" spans="1:9">
      <c r="B23" s="1096" t="s">
        <v>1987</v>
      </c>
      <c r="C23" s="1109">
        <v>307817.68</v>
      </c>
    </row>
    <row r="24" spans="1:9">
      <c r="B24" s="1096"/>
      <c r="C24" s="1109"/>
    </row>
    <row r="25" spans="1:9">
      <c r="B25" s="1096" t="s">
        <v>1988</v>
      </c>
      <c r="C25" s="1109">
        <f>C23*(C21-C8)</f>
        <v>209569.40507767431</v>
      </c>
    </row>
    <row r="26" spans="1:9">
      <c r="B26" s="1096"/>
      <c r="C26" s="1109"/>
    </row>
  </sheetData>
  <mergeCells count="1">
    <mergeCell ref="A4:G4"/>
  </mergeCells>
  <pageMargins left="0.7" right="0.7" top="0.75" bottom="0.75" header="0.3" footer="0.3"/>
  <pageSetup scale="78" orientation="portrait" r:id="rId1"/>
  <headerFooter>
    <oddFooter xml:space="preserve">&amp;L&amp;F - &amp;A
&amp;RPage &amp;P of &amp;N
</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112"/>
  <sheetViews>
    <sheetView showGridLines="0" view="pageBreakPreview" topLeftCell="D9" zoomScale="60" zoomScaleNormal="80" workbookViewId="0">
      <selection activeCell="AI26" sqref="AI26"/>
    </sheetView>
  </sheetViews>
  <sheetFormatPr defaultRowHeight="12.75" outlineLevelRow="1"/>
  <cols>
    <col min="1" max="1" width="2.7109375" style="915" customWidth="1"/>
    <col min="2" max="2" width="37.140625" style="915" customWidth="1"/>
    <col min="3" max="3" width="19.85546875" style="915" customWidth="1"/>
    <col min="4" max="5" width="18.7109375" style="915" customWidth="1"/>
    <col min="6" max="6" width="12.28515625" style="915" customWidth="1"/>
    <col min="7" max="7" width="19" style="915" customWidth="1"/>
    <col min="8" max="8" width="7.85546875" style="915" customWidth="1"/>
    <col min="9" max="9" width="30.28515625" style="915" customWidth="1"/>
    <col min="10" max="10" width="10.28515625" style="915" customWidth="1"/>
    <col min="11" max="11" width="13.5703125" style="915" customWidth="1"/>
    <col min="12" max="12" width="15.140625" style="915" customWidth="1"/>
    <col min="13" max="13" width="29.85546875" style="915" customWidth="1"/>
    <col min="14" max="14" width="38.5703125" style="915" customWidth="1"/>
    <col min="15" max="15" width="11.42578125" style="915" customWidth="1"/>
    <col min="16" max="16" width="35.140625" style="915" customWidth="1"/>
    <col min="17" max="17" width="18" style="915" customWidth="1"/>
    <col min="18" max="18" width="14.140625" style="915" customWidth="1"/>
    <col min="19" max="19" width="17.7109375" style="915" customWidth="1"/>
    <col min="20" max="20" width="12.7109375" style="915" customWidth="1"/>
    <col min="21" max="21" width="15.85546875" style="915" customWidth="1"/>
    <col min="22" max="22" width="13.7109375" style="915" bestFit="1" customWidth="1"/>
    <col min="23" max="23" width="13.28515625" style="915" customWidth="1"/>
    <col min="24" max="24" width="12.28515625" style="915" customWidth="1"/>
    <col min="25" max="25" width="11.5703125" style="915" customWidth="1"/>
    <col min="26" max="26" width="9.85546875" style="915" customWidth="1"/>
    <col min="27" max="27" width="11.42578125" style="915" customWidth="1"/>
    <col min="28" max="28" width="11" style="915" customWidth="1"/>
    <col min="29" max="29" width="11.5703125" style="915" customWidth="1"/>
    <col min="30" max="30" width="7" style="915" customWidth="1"/>
    <col min="31" max="31" width="11.140625" style="915" customWidth="1"/>
    <col min="32" max="32" width="11" style="915" customWidth="1"/>
    <col min="33" max="33" width="8.5703125" style="915" customWidth="1"/>
    <col min="34" max="34" width="8.42578125" style="915" customWidth="1"/>
    <col min="35" max="36" width="10.28515625" style="915" customWidth="1"/>
    <col min="37" max="37" width="10.140625" style="915" customWidth="1"/>
    <col min="38" max="38" width="10.42578125" style="915" customWidth="1"/>
    <col min="39" max="39" width="21.140625" style="915" customWidth="1"/>
    <col min="40" max="42" width="18.85546875" style="915" customWidth="1"/>
    <col min="43" max="43" width="20.42578125" style="915" customWidth="1"/>
    <col min="44" max="44" width="9.140625" style="915" customWidth="1"/>
    <col min="45" max="45" width="9.140625" style="915" hidden="1" customWidth="1"/>
    <col min="46" max="46" width="9.140625" style="915" customWidth="1"/>
    <col min="47" max="16384" width="9.140625" style="915"/>
  </cols>
  <sheetData>
    <row r="1" spans="1:43" hidden="1" outlineLevel="1">
      <c r="A1" s="914" t="b">
        <v>1</v>
      </c>
      <c r="B1" s="914"/>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914"/>
      <c r="AN1" s="914"/>
      <c r="AO1" s="914"/>
      <c r="AP1" s="914"/>
      <c r="AQ1" s="914"/>
    </row>
    <row r="2" spans="1:43" hidden="1" outlineLevel="1">
      <c r="B2" s="915" t="s">
        <v>1504</v>
      </c>
      <c r="C2" s="915" t="s">
        <v>1505</v>
      </c>
      <c r="D2" s="916" t="s">
        <v>1506</v>
      </c>
      <c r="E2" s="916" t="s">
        <v>1507</v>
      </c>
      <c r="F2" s="916" t="s">
        <v>1508</v>
      </c>
      <c r="G2" s="915" t="s">
        <v>1509</v>
      </c>
      <c r="H2" s="915" t="s">
        <v>1510</v>
      </c>
      <c r="I2" s="915" t="s">
        <v>1511</v>
      </c>
      <c r="J2" s="915" t="s">
        <v>1512</v>
      </c>
      <c r="K2" s="915" t="s">
        <v>1513</v>
      </c>
      <c r="L2" s="915" t="s">
        <v>1514</v>
      </c>
      <c r="M2" s="915" t="s">
        <v>1515</v>
      </c>
      <c r="N2" s="915" t="s">
        <v>1516</v>
      </c>
      <c r="O2" s="915" t="s">
        <v>1517</v>
      </c>
      <c r="P2" s="915" t="s">
        <v>1518</v>
      </c>
      <c r="Q2" s="915" t="s">
        <v>1519</v>
      </c>
      <c r="R2" s="915" t="s">
        <v>1520</v>
      </c>
      <c r="S2" s="915" t="s">
        <v>1521</v>
      </c>
      <c r="T2" s="915" t="s">
        <v>1522</v>
      </c>
      <c r="U2" s="915" t="s">
        <v>1523</v>
      </c>
      <c r="V2" s="915" t="s">
        <v>1524</v>
      </c>
      <c r="W2" s="915" t="s">
        <v>1525</v>
      </c>
      <c r="X2" s="915" t="s">
        <v>1526</v>
      </c>
      <c r="Y2" s="915" t="s">
        <v>1527</v>
      </c>
      <c r="Z2" s="915" t="s">
        <v>1528</v>
      </c>
      <c r="AA2" s="915" t="s">
        <v>1529</v>
      </c>
      <c r="AB2" s="915" t="s">
        <v>1530</v>
      </c>
      <c r="AC2" s="915" t="s">
        <v>1531</v>
      </c>
      <c r="AD2" s="915" t="s">
        <v>1532</v>
      </c>
      <c r="AE2" s="915" t="s">
        <v>1533</v>
      </c>
      <c r="AF2" s="915" t="s">
        <v>1534</v>
      </c>
      <c r="AG2" s="915" t="s">
        <v>1535</v>
      </c>
      <c r="AH2" s="915" t="s">
        <v>1536</v>
      </c>
      <c r="AI2" s="915" t="s">
        <v>1537</v>
      </c>
      <c r="AJ2" s="915" t="s">
        <v>1538</v>
      </c>
      <c r="AK2" s="915" t="s">
        <v>1539</v>
      </c>
      <c r="AL2" s="915" t="s">
        <v>1540</v>
      </c>
      <c r="AM2" s="915" t="s">
        <v>1541</v>
      </c>
      <c r="AN2" s="915" t="s">
        <v>1542</v>
      </c>
      <c r="AO2" s="915" t="s">
        <v>1543</v>
      </c>
      <c r="AP2" s="915" t="s">
        <v>1544</v>
      </c>
      <c r="AQ2" s="916"/>
    </row>
    <row r="3" spans="1:43" hidden="1" outlineLevel="1">
      <c r="A3" s="914" t="s">
        <v>1545</v>
      </c>
      <c r="B3" s="914"/>
      <c r="C3" s="914"/>
      <c r="D3" s="914"/>
      <c r="E3" s="914"/>
      <c r="F3" s="914"/>
      <c r="G3" s="914"/>
      <c r="H3" s="914"/>
      <c r="I3" s="914"/>
      <c r="J3" s="914"/>
      <c r="K3" s="914"/>
      <c r="L3" s="914"/>
      <c r="M3" s="914"/>
      <c r="N3" s="914"/>
      <c r="O3" s="914"/>
      <c r="P3" s="914"/>
      <c r="Q3" s="914"/>
      <c r="R3" s="914"/>
      <c r="S3" s="914"/>
      <c r="T3" s="914"/>
      <c r="U3" s="914"/>
      <c r="V3" s="914"/>
      <c r="W3" s="914"/>
      <c r="X3" s="914"/>
      <c r="Y3" s="914"/>
      <c r="Z3" s="914"/>
      <c r="AA3" s="914"/>
      <c r="AB3" s="914"/>
      <c r="AC3" s="914"/>
      <c r="AD3" s="914"/>
      <c r="AE3" s="914"/>
      <c r="AF3" s="914"/>
      <c r="AG3" s="914"/>
      <c r="AH3" s="914"/>
      <c r="AI3" s="914"/>
      <c r="AJ3" s="914"/>
      <c r="AK3" s="914"/>
      <c r="AL3" s="914"/>
      <c r="AM3" s="914"/>
      <c r="AN3" s="914"/>
      <c r="AO3" s="914"/>
      <c r="AP3" s="914"/>
      <c r="AQ3" s="914"/>
    </row>
    <row r="4" spans="1:43" hidden="1" outlineLevel="1">
      <c r="Q4" s="915" t="str">
        <f ca="1">_xll.ReportDrill('[55]JE Lookup'!B1,,_xll.PairGroup(_xll.Pair(G20:G91,'[55]JE Lookup'!N8),_xll.Pair(AB20:AB91,'[55]JE Lookup'!N7)),"JE Lookup")</f>
        <v>OK!: ReportDrill 'JE Lookup' Formula OK [jAction{}]</v>
      </c>
      <c r="U4" s="915" t="str">
        <f ca="1">_xll.ReportDrill(,"APDrill",_xll.PairGroup(_xll.PairExt(AQ20:AQ91,"H8")),"AP Detail")</f>
        <v>OK!: ReportDrill 'AP Detail' Formula OK [jAction{}]</v>
      </c>
      <c r="Y4" s="915" t="str">
        <f ca="1">_xll.ReportDrill(,"JEStaged_DrillToDetail",_xll.PairGroup(_xll.PairExt(Q19:Q91,"dControlNum",TRUE),_xll.PairExt(AP19:AP91,"dDistrict",TRUE),_xll.PairExt(AO19:AO91,"dApplyMonth",TRUE)),"JE Staged Details")</f>
        <v>OK!: ReportDrill 'JE Staged Details' Formula OK [jAction{}]</v>
      </c>
    </row>
    <row r="5" spans="1:43" hidden="1" outlineLevel="1">
      <c r="B5" s="915" t="str">
        <f ca="1">_xll.ReportRange("JEQuery_WithStaged",B20:AS90,B2:AS2,,_xll.Param(I12,DateTo,IF(M12="","all",M12),M13,M14,M15,P12,P13,P14,P15,EntrieShownLimit,DateFrom,DateTo),TRUE)</f>
        <v>OK!: ReportRange Formula OK [jAction{}]</v>
      </c>
      <c r="Q5" s="915" t="str">
        <f ca="1">_xll.ReportDrill('[55]JE Lookup'!B1,,_xll.PairGroup(_xll.Pair(V20:V91,'[55]JE Lookup'!N8),_xll.Pair(AS20:AS91,'[55]JE Lookup'!N7)),"I/C Originating JE")</f>
        <v>OK!: ReportDrill 'I/C Originating JE' Formula OK [jAction{}]</v>
      </c>
    </row>
    <row r="6" spans="1:43" hidden="1" outlineLevel="1">
      <c r="B6" s="917" t="s">
        <v>1546</v>
      </c>
      <c r="D6" s="915">
        <v>10000</v>
      </c>
    </row>
    <row r="7" spans="1:43" hidden="1" outlineLevel="1">
      <c r="A7" s="914" t="s">
        <v>1547</v>
      </c>
      <c r="B7" s="914"/>
      <c r="C7" s="914"/>
      <c r="D7" s="914"/>
      <c r="E7" s="914"/>
      <c r="F7" s="914"/>
      <c r="G7" s="914"/>
      <c r="H7" s="914"/>
      <c r="I7" s="914"/>
      <c r="J7" s="914"/>
      <c r="K7" s="914"/>
      <c r="L7" s="914"/>
      <c r="M7" s="914"/>
      <c r="N7" s="914"/>
      <c r="O7" s="914"/>
      <c r="P7" s="914"/>
      <c r="Q7" s="914"/>
      <c r="R7" s="914"/>
      <c r="S7" s="914"/>
      <c r="T7" s="914"/>
      <c r="U7" s="914"/>
      <c r="V7" s="914"/>
      <c r="W7" s="914"/>
      <c r="X7" s="914"/>
      <c r="Y7" s="914"/>
      <c r="Z7" s="914"/>
      <c r="AA7" s="914"/>
      <c r="AB7" s="914"/>
      <c r="AC7" s="914"/>
      <c r="AD7" s="914"/>
      <c r="AE7" s="914"/>
      <c r="AF7" s="914"/>
      <c r="AG7" s="914"/>
      <c r="AH7" s="914"/>
      <c r="AI7" s="914"/>
      <c r="AJ7" s="914"/>
      <c r="AK7" s="914"/>
      <c r="AL7" s="914"/>
      <c r="AM7" s="914"/>
      <c r="AN7" s="914"/>
      <c r="AO7" s="914"/>
      <c r="AP7" s="914"/>
      <c r="AQ7" s="914"/>
    </row>
    <row r="8" spans="1:43" hidden="1" outlineLevel="1">
      <c r="B8" s="918" t="s">
        <v>1548</v>
      </c>
      <c r="C8" s="915" t="str">
        <f>IF(DateFrom="",CurrentMonth,DateFrom)</f>
        <v>2016-10</v>
      </c>
      <c r="E8" s="918" t="s">
        <v>1549</v>
      </c>
      <c r="G8" s="915" t="str">
        <f>IF(DateTo="",CurrentMonth,DateTo)</f>
        <v>2017-09</v>
      </c>
      <c r="I8" s="918" t="s">
        <v>1550</v>
      </c>
      <c r="J8" s="919" t="str">
        <f ca="1">TEXT(NOW() - 15,"yyyy-mm")</f>
        <v>2017-10</v>
      </c>
    </row>
    <row r="9" spans="1:43" ht="18" collapsed="1">
      <c r="B9" s="920" t="s">
        <v>1551</v>
      </c>
      <c r="G9" s="921" t="s">
        <v>1552</v>
      </c>
      <c r="P9" s="922"/>
      <c r="U9" s="917"/>
    </row>
    <row r="10" spans="1:43" ht="14.25">
      <c r="B10" s="916" t="s">
        <v>1553</v>
      </c>
      <c r="G10" s="923"/>
      <c r="P10" s="922"/>
      <c r="U10" s="917"/>
    </row>
    <row r="11" spans="1:43">
      <c r="G11" s="924" t="s">
        <v>1554</v>
      </c>
      <c r="H11" s="925"/>
      <c r="I11" s="926"/>
      <c r="L11" s="925" t="s">
        <v>1555</v>
      </c>
      <c r="M11" s="925"/>
      <c r="N11" s="925"/>
      <c r="O11" s="925"/>
      <c r="P11" s="925"/>
      <c r="U11" s="916"/>
    </row>
    <row r="12" spans="1:43" s="917" customFormat="1">
      <c r="H12" s="927" t="s">
        <v>1556</v>
      </c>
      <c r="I12" s="928" t="s">
        <v>1557</v>
      </c>
      <c r="K12" s="929"/>
      <c r="L12" s="917" t="s">
        <v>1558</v>
      </c>
      <c r="M12" s="928" t="s">
        <v>214</v>
      </c>
      <c r="O12" s="927" t="s">
        <v>1559</v>
      </c>
      <c r="P12" s="930"/>
      <c r="Z12" s="915"/>
      <c r="AA12" s="915"/>
      <c r="AB12" s="915"/>
      <c r="AH12" s="915"/>
      <c r="AI12" s="915"/>
      <c r="AJ12" s="915"/>
      <c r="AK12" s="915"/>
      <c r="AL12" s="915"/>
    </row>
    <row r="13" spans="1:43" s="917" customFormat="1">
      <c r="H13" s="927" t="s">
        <v>1560</v>
      </c>
      <c r="I13" s="928" t="s">
        <v>219</v>
      </c>
      <c r="K13" s="929"/>
      <c r="L13" s="917" t="s">
        <v>1561</v>
      </c>
      <c r="M13" s="928" t="s">
        <v>1562</v>
      </c>
      <c r="N13" s="915"/>
      <c r="O13" s="927" t="s">
        <v>1563</v>
      </c>
      <c r="P13" s="931"/>
      <c r="Q13" s="932"/>
      <c r="Z13" s="915"/>
      <c r="AA13" s="915"/>
      <c r="AB13" s="915"/>
      <c r="AH13" s="915"/>
      <c r="AI13" s="915"/>
      <c r="AJ13" s="915"/>
      <c r="AK13" s="915"/>
      <c r="AL13" s="915"/>
    </row>
    <row r="14" spans="1:43">
      <c r="L14" s="917" t="s">
        <v>218</v>
      </c>
      <c r="M14" s="928" t="s">
        <v>217</v>
      </c>
      <c r="O14" s="927" t="s">
        <v>1564</v>
      </c>
      <c r="P14" s="931"/>
      <c r="Q14" s="932"/>
    </row>
    <row r="15" spans="1:43">
      <c r="L15" s="917" t="s">
        <v>1088</v>
      </c>
      <c r="M15" s="928" t="s">
        <v>217</v>
      </c>
      <c r="O15" s="927" t="s">
        <v>1565</v>
      </c>
      <c r="P15" s="933" t="s">
        <v>1566</v>
      </c>
    </row>
    <row r="16" spans="1:43">
      <c r="B16" s="934" t="s">
        <v>1567</v>
      </c>
      <c r="C16" s="935"/>
      <c r="D16" s="936">
        <f>SUM(D19:D91)</f>
        <v>995512.58000000019</v>
      </c>
      <c r="E16" s="936">
        <f>SUM(E19:E91)</f>
        <v>0</v>
      </c>
      <c r="F16" s="915" t="s">
        <v>1568</v>
      </c>
      <c r="N16" s="937"/>
      <c r="O16" s="937"/>
      <c r="P16" s="937"/>
      <c r="Q16" s="937"/>
    </row>
    <row r="17" spans="2:45">
      <c r="B17" s="934" t="s">
        <v>1569</v>
      </c>
      <c r="C17" s="935"/>
      <c r="D17" s="938">
        <f>COUNT(D20:D92)</f>
        <v>70</v>
      </c>
      <c r="E17" s="938">
        <f>COUNT(E20:E92)</f>
        <v>70</v>
      </c>
      <c r="F17" s="916" t="s">
        <v>1570</v>
      </c>
      <c r="G17" s="939" t="str">
        <f>""&amp;EntrieShownLimit</f>
        <v>10000</v>
      </c>
    </row>
    <row r="18" spans="2:45">
      <c r="O18" s="940"/>
      <c r="R18" s="941" t="s">
        <v>1571</v>
      </c>
      <c r="S18" s="942"/>
      <c r="T18" s="942"/>
      <c r="U18" s="942"/>
      <c r="V18" s="942"/>
      <c r="W18" s="942"/>
      <c r="X18" s="942"/>
      <c r="Y18" s="942"/>
      <c r="Z18" s="943"/>
      <c r="AA18" s="943"/>
      <c r="AB18" s="943"/>
      <c r="AC18" s="943"/>
      <c r="AD18" s="943"/>
      <c r="AE18" s="943"/>
      <c r="AF18" s="943"/>
      <c r="AG18" s="943"/>
      <c r="AH18" s="943"/>
      <c r="AI18" s="943"/>
      <c r="AJ18" s="943"/>
      <c r="AK18" s="943"/>
      <c r="AL18" s="943"/>
      <c r="AM18" s="943"/>
      <c r="AN18" s="943"/>
      <c r="AO18" s="943"/>
      <c r="AP18" s="943"/>
      <c r="AQ18" s="943"/>
    </row>
    <row r="19" spans="2:45" s="951" customFormat="1" ht="29.25" customHeight="1" thickBot="1">
      <c r="B19" s="944" t="s">
        <v>1572</v>
      </c>
      <c r="C19" s="945" t="s">
        <v>1573</v>
      </c>
      <c r="D19" s="946" t="s">
        <v>1574</v>
      </c>
      <c r="E19" s="946" t="s">
        <v>1575</v>
      </c>
      <c r="F19" s="946" t="s">
        <v>1576</v>
      </c>
      <c r="G19" s="947" t="s">
        <v>1577</v>
      </c>
      <c r="H19" s="944" t="s">
        <v>1578</v>
      </c>
      <c r="I19" s="944" t="s">
        <v>1579</v>
      </c>
      <c r="J19" s="944" t="s">
        <v>1512</v>
      </c>
      <c r="K19" s="944" t="s">
        <v>1580</v>
      </c>
      <c r="L19" s="944" t="s">
        <v>1581</v>
      </c>
      <c r="M19" s="944" t="s">
        <v>1582</v>
      </c>
      <c r="N19" s="944" t="s">
        <v>1583</v>
      </c>
      <c r="O19" s="948" t="s">
        <v>1584</v>
      </c>
      <c r="P19" s="944" t="s">
        <v>1585</v>
      </c>
      <c r="Q19" s="944" t="s">
        <v>1586</v>
      </c>
      <c r="R19" s="944" t="s">
        <v>1587</v>
      </c>
      <c r="S19" s="944" t="s">
        <v>1588</v>
      </c>
      <c r="T19" s="944" t="s">
        <v>1589</v>
      </c>
      <c r="U19" s="944" t="s">
        <v>1590</v>
      </c>
      <c r="V19" s="944" t="s">
        <v>1591</v>
      </c>
      <c r="W19" s="944" t="s">
        <v>1592</v>
      </c>
      <c r="X19" s="944" t="s">
        <v>1593</v>
      </c>
      <c r="Y19" s="944" t="s">
        <v>1594</v>
      </c>
      <c r="Z19" s="944" t="s">
        <v>1595</v>
      </c>
      <c r="AA19" s="944" t="s">
        <v>1596</v>
      </c>
      <c r="AB19" s="944" t="s">
        <v>1597</v>
      </c>
      <c r="AC19" s="949" t="s">
        <v>1598</v>
      </c>
      <c r="AD19" s="949" t="s">
        <v>1599</v>
      </c>
      <c r="AE19" s="949" t="s">
        <v>1600</v>
      </c>
      <c r="AF19" s="949" t="s">
        <v>1601</v>
      </c>
      <c r="AG19" s="949" t="s">
        <v>1602</v>
      </c>
      <c r="AH19" s="949" t="s">
        <v>1603</v>
      </c>
      <c r="AI19" s="945" t="s">
        <v>1604</v>
      </c>
      <c r="AJ19" s="945" t="s">
        <v>1605</v>
      </c>
      <c r="AK19" s="945" t="s">
        <v>1606</v>
      </c>
      <c r="AL19" s="945" t="s">
        <v>1607</v>
      </c>
      <c r="AM19" s="945" t="s">
        <v>1608</v>
      </c>
      <c r="AN19" s="945" t="s">
        <v>1542</v>
      </c>
      <c r="AO19" s="950" t="s">
        <v>1609</v>
      </c>
      <c r="AP19" s="950" t="s">
        <v>1610</v>
      </c>
      <c r="AQ19" s="950" t="s">
        <v>1611</v>
      </c>
    </row>
    <row r="20" spans="2:45">
      <c r="B20" s="915" t="s">
        <v>1612</v>
      </c>
      <c r="C20" s="952">
        <v>42668</v>
      </c>
      <c r="D20" s="953">
        <v>444.08</v>
      </c>
      <c r="E20" s="953">
        <v>0</v>
      </c>
      <c r="F20" s="954" t="s">
        <v>1613</v>
      </c>
      <c r="G20" s="915" t="s">
        <v>1614</v>
      </c>
      <c r="H20" s="955" t="s">
        <v>1615</v>
      </c>
      <c r="I20" s="915" t="s">
        <v>1616</v>
      </c>
      <c r="J20" s="915" t="s">
        <v>1617</v>
      </c>
      <c r="K20" s="915" t="s">
        <v>1618</v>
      </c>
      <c r="L20" s="919" t="s">
        <v>1619</v>
      </c>
      <c r="M20" s="919" t="s">
        <v>1620</v>
      </c>
      <c r="N20" s="919" t="s">
        <v>1621</v>
      </c>
      <c r="O20" s="940">
        <v>42667</v>
      </c>
      <c r="P20" s="919" t="s">
        <v>1622</v>
      </c>
      <c r="Q20" s="956">
        <v>45009</v>
      </c>
      <c r="R20" s="915" t="s">
        <v>1623</v>
      </c>
      <c r="U20" s="915" t="s">
        <v>1624</v>
      </c>
      <c r="V20" s="915" t="s">
        <v>1625</v>
      </c>
      <c r="W20" s="915">
        <v>1010</v>
      </c>
      <c r="X20" s="952">
        <v>42668</v>
      </c>
      <c r="Y20" s="952">
        <v>42675</v>
      </c>
      <c r="Z20" s="915">
        <v>254135</v>
      </c>
      <c r="AA20" s="952">
        <v>42668</v>
      </c>
      <c r="AB20" s="915" t="s">
        <v>1626</v>
      </c>
      <c r="AC20" s="915">
        <v>0</v>
      </c>
      <c r="AD20" s="915">
        <v>0</v>
      </c>
      <c r="AE20" s="915">
        <v>0</v>
      </c>
      <c r="AF20" s="915">
        <v>0</v>
      </c>
      <c r="AG20" s="915">
        <v>0</v>
      </c>
      <c r="AH20" s="915">
        <v>1</v>
      </c>
      <c r="AI20" s="915">
        <v>43001</v>
      </c>
      <c r="AJ20" s="915">
        <v>2010</v>
      </c>
      <c r="AK20" s="915">
        <v>0</v>
      </c>
      <c r="AL20" s="915">
        <v>0</v>
      </c>
      <c r="AO20" s="955"/>
      <c r="AP20" s="955"/>
      <c r="AQ20" s="915" t="str">
        <f>IF(LEFT(U20,2)="VO",U20,"")</f>
        <v>VO04088041</v>
      </c>
      <c r="AS20" s="915" t="str">
        <f>IF(RIGHT(K20,2)="IC",IF(OR(AB20="wci_canada",AB20="wci_can_corp"),"wci_can_Corp","wci_corp"),AB20)</f>
        <v>wci_corp</v>
      </c>
    </row>
    <row r="21" spans="2:45">
      <c r="B21" s="915" t="s">
        <v>1612</v>
      </c>
      <c r="C21" s="952">
        <v>42674</v>
      </c>
      <c r="D21" s="953">
        <v>404.68</v>
      </c>
      <c r="E21" s="953">
        <v>0</v>
      </c>
      <c r="F21" s="954" t="s">
        <v>1613</v>
      </c>
      <c r="G21" s="915" t="s">
        <v>1627</v>
      </c>
      <c r="H21" s="955" t="s">
        <v>1615</v>
      </c>
      <c r="I21" s="915" t="s">
        <v>1628</v>
      </c>
      <c r="J21" s="915" t="s">
        <v>1629</v>
      </c>
      <c r="K21" s="915" t="s">
        <v>1630</v>
      </c>
      <c r="L21" s="919"/>
      <c r="M21" s="919"/>
      <c r="N21" s="919" t="s">
        <v>1631</v>
      </c>
      <c r="O21" s="940"/>
      <c r="P21" s="919"/>
      <c r="Q21" s="956"/>
      <c r="U21" s="915" t="s">
        <v>1627</v>
      </c>
      <c r="X21" s="952">
        <v>42681</v>
      </c>
      <c r="Y21" s="952">
        <v>42682</v>
      </c>
      <c r="AA21" s="952"/>
      <c r="AB21" s="915" t="s">
        <v>1626</v>
      </c>
      <c r="AC21" s="915">
        <v>0</v>
      </c>
      <c r="AD21" s="915">
        <v>0</v>
      </c>
      <c r="AE21" s="915">
        <v>0</v>
      </c>
      <c r="AF21" s="915">
        <v>0</v>
      </c>
      <c r="AG21" s="915">
        <v>0</v>
      </c>
      <c r="AH21" s="915">
        <v>1</v>
      </c>
      <c r="AI21" s="915">
        <v>43001</v>
      </c>
      <c r="AJ21" s="915">
        <v>2010</v>
      </c>
      <c r="AK21" s="915">
        <v>0</v>
      </c>
      <c r="AL21" s="915">
        <v>0</v>
      </c>
      <c r="AO21" s="955"/>
      <c r="AP21" s="955"/>
      <c r="AQ21" s="915" t="str">
        <f t="shared" ref="AQ21:AQ84" si="0">IF(LEFT(U21,2)="VO",U21,"")</f>
        <v/>
      </c>
      <c r="AS21" s="915" t="str">
        <f t="shared" ref="AS21:AS84" si="1">IF(RIGHT(K21,2)="IC",IF(OR(AB21="wci_canada",AB21="wci_can_corp"),"wci_can_Corp","wci_corp"),AB21)</f>
        <v>wci_wa</v>
      </c>
    </row>
    <row r="22" spans="2:45">
      <c r="B22" s="915" t="s">
        <v>1612</v>
      </c>
      <c r="C22" s="952">
        <v>42674</v>
      </c>
      <c r="D22" s="953">
        <v>79341.09</v>
      </c>
      <c r="E22" s="953">
        <v>0</v>
      </c>
      <c r="F22" s="954" t="s">
        <v>1613</v>
      </c>
      <c r="G22" s="915" t="s">
        <v>1632</v>
      </c>
      <c r="H22" s="955" t="s">
        <v>1615</v>
      </c>
      <c r="I22" s="915" t="s">
        <v>1633</v>
      </c>
      <c r="J22" s="915" t="s">
        <v>1629</v>
      </c>
      <c r="K22" s="915" t="s">
        <v>1630</v>
      </c>
      <c r="L22" s="919"/>
      <c r="M22" s="919"/>
      <c r="N22" s="919" t="s">
        <v>1634</v>
      </c>
      <c r="O22" s="940"/>
      <c r="P22" s="919"/>
      <c r="Q22" s="956"/>
      <c r="U22" s="915" t="s">
        <v>1632</v>
      </c>
      <c r="X22" s="952">
        <v>42681</v>
      </c>
      <c r="Y22" s="952">
        <v>42682</v>
      </c>
      <c r="AA22" s="952"/>
      <c r="AB22" s="915" t="s">
        <v>1626</v>
      </c>
      <c r="AC22" s="915">
        <v>0</v>
      </c>
      <c r="AD22" s="915">
        <v>0</v>
      </c>
      <c r="AE22" s="915">
        <v>0</v>
      </c>
      <c r="AF22" s="915">
        <v>0</v>
      </c>
      <c r="AG22" s="915">
        <v>0</v>
      </c>
      <c r="AH22" s="915">
        <v>1</v>
      </c>
      <c r="AI22" s="915">
        <v>43001</v>
      </c>
      <c r="AJ22" s="915">
        <v>2010</v>
      </c>
      <c r="AK22" s="915">
        <v>0</v>
      </c>
      <c r="AL22" s="915">
        <v>0</v>
      </c>
      <c r="AO22" s="955"/>
      <c r="AP22" s="955"/>
      <c r="AQ22" s="915" t="str">
        <f t="shared" si="0"/>
        <v/>
      </c>
      <c r="AS22" s="915" t="str">
        <f t="shared" si="1"/>
        <v>wci_wa</v>
      </c>
    </row>
    <row r="23" spans="2:45">
      <c r="B23" s="915" t="s">
        <v>1612</v>
      </c>
      <c r="C23" s="952">
        <v>42674</v>
      </c>
      <c r="D23" s="953">
        <v>-1461.31</v>
      </c>
      <c r="E23" s="953">
        <v>0</v>
      </c>
      <c r="F23" s="954" t="s">
        <v>1613</v>
      </c>
      <c r="G23" s="915" t="s">
        <v>1635</v>
      </c>
      <c r="H23" s="955" t="s">
        <v>1615</v>
      </c>
      <c r="I23" s="915" t="s">
        <v>1636</v>
      </c>
      <c r="J23" s="915" t="s">
        <v>1629</v>
      </c>
      <c r="K23" s="915" t="s">
        <v>1630</v>
      </c>
      <c r="L23" s="919"/>
      <c r="M23" s="919"/>
      <c r="N23" s="919" t="s">
        <v>1637</v>
      </c>
      <c r="O23" s="940"/>
      <c r="P23" s="919"/>
      <c r="Q23" s="956"/>
      <c r="U23" s="915" t="s">
        <v>1635</v>
      </c>
      <c r="X23" s="952">
        <v>42681</v>
      </c>
      <c r="Y23" s="952">
        <v>42682</v>
      </c>
      <c r="AA23" s="952"/>
      <c r="AB23" s="915" t="s">
        <v>1626</v>
      </c>
      <c r="AC23" s="915">
        <v>0</v>
      </c>
      <c r="AD23" s="915">
        <v>0</v>
      </c>
      <c r="AE23" s="915">
        <v>0</v>
      </c>
      <c r="AF23" s="915">
        <v>0</v>
      </c>
      <c r="AG23" s="915">
        <v>0</v>
      </c>
      <c r="AH23" s="915">
        <v>1</v>
      </c>
      <c r="AI23" s="915">
        <v>43001</v>
      </c>
      <c r="AJ23" s="915">
        <v>2010</v>
      </c>
      <c r="AK23" s="915">
        <v>0</v>
      </c>
      <c r="AL23" s="915">
        <v>0</v>
      </c>
      <c r="AO23" s="955"/>
      <c r="AP23" s="955"/>
      <c r="AQ23" s="915" t="str">
        <f t="shared" si="0"/>
        <v/>
      </c>
      <c r="AS23" s="915" t="str">
        <f t="shared" si="1"/>
        <v>wci_wa</v>
      </c>
    </row>
    <row r="24" spans="2:45">
      <c r="B24" s="915" t="s">
        <v>1612</v>
      </c>
      <c r="C24" s="952">
        <v>42695</v>
      </c>
      <c r="D24" s="953">
        <v>439.21</v>
      </c>
      <c r="E24" s="953">
        <v>0</v>
      </c>
      <c r="F24" s="954" t="s">
        <v>1613</v>
      </c>
      <c r="G24" s="915" t="s">
        <v>1638</v>
      </c>
      <c r="H24" s="955" t="s">
        <v>1615</v>
      </c>
      <c r="I24" s="915" t="s">
        <v>1616</v>
      </c>
      <c r="J24" s="915" t="s">
        <v>1617</v>
      </c>
      <c r="K24" s="915" t="s">
        <v>1618</v>
      </c>
      <c r="L24" s="919" t="s">
        <v>1619</v>
      </c>
      <c r="M24" s="919" t="s">
        <v>1620</v>
      </c>
      <c r="N24" s="919" t="s">
        <v>1621</v>
      </c>
      <c r="O24" s="940">
        <v>42695</v>
      </c>
      <c r="P24" s="919" t="s">
        <v>1639</v>
      </c>
      <c r="Q24" s="956">
        <v>13404</v>
      </c>
      <c r="R24" s="915" t="s">
        <v>1640</v>
      </c>
      <c r="U24" s="915" t="s">
        <v>1641</v>
      </c>
      <c r="V24" s="915" t="s">
        <v>1642</v>
      </c>
      <c r="W24" s="915">
        <v>1010</v>
      </c>
      <c r="X24" s="952">
        <v>42695</v>
      </c>
      <c r="Y24" s="952">
        <v>42697</v>
      </c>
      <c r="Z24" s="915">
        <v>243995</v>
      </c>
      <c r="AA24" s="952">
        <v>42696</v>
      </c>
      <c r="AB24" s="915" t="s">
        <v>1626</v>
      </c>
      <c r="AC24" s="915">
        <v>0</v>
      </c>
      <c r="AD24" s="915">
        <v>0</v>
      </c>
      <c r="AE24" s="915">
        <v>0</v>
      </c>
      <c r="AF24" s="915">
        <v>0</v>
      </c>
      <c r="AG24" s="915">
        <v>0</v>
      </c>
      <c r="AH24" s="915">
        <v>1</v>
      </c>
      <c r="AI24" s="915">
        <v>43001</v>
      </c>
      <c r="AJ24" s="915">
        <v>2010</v>
      </c>
      <c r="AK24" s="915">
        <v>0</v>
      </c>
      <c r="AL24" s="915">
        <v>0</v>
      </c>
      <c r="AO24" s="955"/>
      <c r="AP24" s="955"/>
      <c r="AQ24" s="915" t="str">
        <f t="shared" si="0"/>
        <v>VO04116987</v>
      </c>
      <c r="AS24" s="915" t="str">
        <f t="shared" si="1"/>
        <v>wci_corp</v>
      </c>
    </row>
    <row r="25" spans="2:45">
      <c r="B25" s="915" t="s">
        <v>1612</v>
      </c>
      <c r="C25" s="952">
        <v>42704</v>
      </c>
      <c r="D25" s="953">
        <v>-17.29</v>
      </c>
      <c r="E25" s="953">
        <v>0</v>
      </c>
      <c r="F25" s="954" t="s">
        <v>1613</v>
      </c>
      <c r="G25" s="915" t="s">
        <v>1643</v>
      </c>
      <c r="H25" s="955" t="s">
        <v>1615</v>
      </c>
      <c r="I25" s="915" t="s">
        <v>1628</v>
      </c>
      <c r="J25" s="915" t="s">
        <v>1629</v>
      </c>
      <c r="K25" s="915" t="s">
        <v>1630</v>
      </c>
      <c r="L25" s="919"/>
      <c r="M25" s="919"/>
      <c r="N25" s="919" t="s">
        <v>1644</v>
      </c>
      <c r="O25" s="940"/>
      <c r="P25" s="919"/>
      <c r="Q25" s="956"/>
      <c r="U25" s="915" t="s">
        <v>1643</v>
      </c>
      <c r="X25" s="952">
        <v>42711</v>
      </c>
      <c r="Y25" s="952">
        <v>42711</v>
      </c>
      <c r="AA25" s="952"/>
      <c r="AB25" s="915" t="s">
        <v>1626</v>
      </c>
      <c r="AC25" s="915">
        <v>0</v>
      </c>
      <c r="AD25" s="915">
        <v>0</v>
      </c>
      <c r="AE25" s="915">
        <v>0</v>
      </c>
      <c r="AF25" s="915">
        <v>0</v>
      </c>
      <c r="AG25" s="915">
        <v>0</v>
      </c>
      <c r="AH25" s="915">
        <v>1</v>
      </c>
      <c r="AI25" s="915">
        <v>43001</v>
      </c>
      <c r="AJ25" s="915">
        <v>2010</v>
      </c>
      <c r="AK25" s="915">
        <v>0</v>
      </c>
      <c r="AL25" s="915">
        <v>0</v>
      </c>
      <c r="AO25" s="955"/>
      <c r="AP25" s="955"/>
      <c r="AQ25" s="915" t="str">
        <f t="shared" si="0"/>
        <v/>
      </c>
      <c r="AS25" s="915" t="str">
        <f t="shared" si="1"/>
        <v>wci_wa</v>
      </c>
    </row>
    <row r="26" spans="2:45">
      <c r="B26" s="915" t="s">
        <v>1612</v>
      </c>
      <c r="C26" s="952">
        <v>42704</v>
      </c>
      <c r="D26" s="953">
        <v>79536.37</v>
      </c>
      <c r="E26" s="953">
        <v>0</v>
      </c>
      <c r="F26" s="954" t="s">
        <v>1613</v>
      </c>
      <c r="G26" s="915" t="s">
        <v>1645</v>
      </c>
      <c r="H26" s="955" t="s">
        <v>1615</v>
      </c>
      <c r="I26" s="915" t="s">
        <v>1633</v>
      </c>
      <c r="J26" s="915" t="s">
        <v>1629</v>
      </c>
      <c r="K26" s="915" t="s">
        <v>1630</v>
      </c>
      <c r="L26" s="919"/>
      <c r="M26" s="919"/>
      <c r="N26" s="919" t="s">
        <v>1634</v>
      </c>
      <c r="O26" s="940"/>
      <c r="P26" s="919"/>
      <c r="Q26" s="956"/>
      <c r="U26" s="915" t="s">
        <v>1645</v>
      </c>
      <c r="X26" s="952">
        <v>42711</v>
      </c>
      <c r="Y26" s="952">
        <v>42711</v>
      </c>
      <c r="AA26" s="952"/>
      <c r="AB26" s="915" t="s">
        <v>1626</v>
      </c>
      <c r="AC26" s="915">
        <v>0</v>
      </c>
      <c r="AD26" s="915">
        <v>0</v>
      </c>
      <c r="AE26" s="915">
        <v>0</v>
      </c>
      <c r="AF26" s="915">
        <v>0</v>
      </c>
      <c r="AG26" s="915">
        <v>0</v>
      </c>
      <c r="AH26" s="915">
        <v>1</v>
      </c>
      <c r="AI26" s="915">
        <v>43001</v>
      </c>
      <c r="AJ26" s="915">
        <v>2010</v>
      </c>
      <c r="AK26" s="915">
        <v>0</v>
      </c>
      <c r="AL26" s="915">
        <v>0</v>
      </c>
      <c r="AO26" s="955"/>
      <c r="AP26" s="955"/>
      <c r="AQ26" s="915" t="str">
        <f t="shared" si="0"/>
        <v/>
      </c>
      <c r="AS26" s="915" t="str">
        <f t="shared" si="1"/>
        <v>wci_wa</v>
      </c>
    </row>
    <row r="27" spans="2:45">
      <c r="B27" s="915" t="s">
        <v>1612</v>
      </c>
      <c r="C27" s="952">
        <v>42724</v>
      </c>
      <c r="D27" s="953">
        <v>423.17</v>
      </c>
      <c r="E27" s="953">
        <v>0</v>
      </c>
      <c r="F27" s="954" t="s">
        <v>1613</v>
      </c>
      <c r="G27" s="915" t="s">
        <v>1646</v>
      </c>
      <c r="H27" s="955" t="s">
        <v>1615</v>
      </c>
      <c r="I27" s="915" t="s">
        <v>1616</v>
      </c>
      <c r="J27" s="915" t="s">
        <v>1617</v>
      </c>
      <c r="K27" s="915" t="s">
        <v>1618</v>
      </c>
      <c r="L27" s="919" t="s">
        <v>1619</v>
      </c>
      <c r="M27" s="919" t="s">
        <v>1620</v>
      </c>
      <c r="N27" s="919" t="s">
        <v>1621</v>
      </c>
      <c r="O27" s="940">
        <v>42724</v>
      </c>
      <c r="P27" s="919" t="s">
        <v>1647</v>
      </c>
      <c r="Q27" s="956">
        <v>1263</v>
      </c>
      <c r="R27" s="915" t="s">
        <v>1648</v>
      </c>
      <c r="U27" s="915" t="s">
        <v>1649</v>
      </c>
      <c r="V27" s="915" t="s">
        <v>1650</v>
      </c>
      <c r="W27" s="915">
        <v>1010</v>
      </c>
      <c r="X27" s="952">
        <v>42724</v>
      </c>
      <c r="Y27" s="952">
        <v>42727</v>
      </c>
      <c r="Z27" s="915">
        <v>244376</v>
      </c>
      <c r="AA27" s="952">
        <v>42725</v>
      </c>
      <c r="AB27" s="915" t="s">
        <v>1626</v>
      </c>
      <c r="AC27" s="915">
        <v>0</v>
      </c>
      <c r="AD27" s="915">
        <v>0</v>
      </c>
      <c r="AE27" s="915">
        <v>0</v>
      </c>
      <c r="AF27" s="915">
        <v>0</v>
      </c>
      <c r="AG27" s="915">
        <v>0</v>
      </c>
      <c r="AH27" s="915">
        <v>1</v>
      </c>
      <c r="AI27" s="915">
        <v>43001</v>
      </c>
      <c r="AJ27" s="915">
        <v>2010</v>
      </c>
      <c r="AK27" s="915">
        <v>0</v>
      </c>
      <c r="AL27" s="915">
        <v>0</v>
      </c>
      <c r="AO27" s="955"/>
      <c r="AP27" s="955"/>
      <c r="AQ27" s="915" t="str">
        <f t="shared" si="0"/>
        <v>VO04143566</v>
      </c>
      <c r="AS27" s="915" t="str">
        <f t="shared" si="1"/>
        <v>wci_corp</v>
      </c>
    </row>
    <row r="28" spans="2:45">
      <c r="B28" s="915" t="s">
        <v>1612</v>
      </c>
      <c r="C28" s="952">
        <v>42735</v>
      </c>
      <c r="D28" s="953">
        <v>78460.740000000005</v>
      </c>
      <c r="E28" s="953">
        <v>0</v>
      </c>
      <c r="F28" s="954" t="s">
        <v>1613</v>
      </c>
      <c r="G28" s="915" t="s">
        <v>1651</v>
      </c>
      <c r="H28" s="955" t="s">
        <v>1615</v>
      </c>
      <c r="I28" s="915" t="s">
        <v>1633</v>
      </c>
      <c r="J28" s="915" t="s">
        <v>1629</v>
      </c>
      <c r="K28" s="915" t="s">
        <v>1630</v>
      </c>
      <c r="L28" s="919"/>
      <c r="M28" s="919"/>
      <c r="N28" s="919" t="s">
        <v>1634</v>
      </c>
      <c r="O28" s="940"/>
      <c r="P28" s="919"/>
      <c r="Q28" s="956"/>
      <c r="U28" s="915" t="s">
        <v>1651</v>
      </c>
      <c r="X28" s="952">
        <v>42741</v>
      </c>
      <c r="Y28" s="952">
        <v>42741</v>
      </c>
      <c r="AA28" s="952"/>
      <c r="AB28" s="915" t="s">
        <v>1626</v>
      </c>
      <c r="AC28" s="915">
        <v>0</v>
      </c>
      <c r="AD28" s="915">
        <v>0</v>
      </c>
      <c r="AE28" s="915">
        <v>0</v>
      </c>
      <c r="AF28" s="915">
        <v>0</v>
      </c>
      <c r="AG28" s="915">
        <v>0</v>
      </c>
      <c r="AH28" s="915">
        <v>1</v>
      </c>
      <c r="AI28" s="915">
        <v>43001</v>
      </c>
      <c r="AJ28" s="915">
        <v>2010</v>
      </c>
      <c r="AK28" s="915">
        <v>0</v>
      </c>
      <c r="AL28" s="915">
        <v>0</v>
      </c>
      <c r="AO28" s="955"/>
      <c r="AP28" s="955"/>
      <c r="AQ28" s="915" t="str">
        <f t="shared" si="0"/>
        <v/>
      </c>
      <c r="AS28" s="915" t="str">
        <f t="shared" si="1"/>
        <v>wci_wa</v>
      </c>
    </row>
    <row r="29" spans="2:45">
      <c r="B29" s="915" t="s">
        <v>1612</v>
      </c>
      <c r="C29" s="952">
        <v>42735</v>
      </c>
      <c r="D29" s="953">
        <v>-121.77</v>
      </c>
      <c r="E29" s="953">
        <v>0</v>
      </c>
      <c r="F29" s="954" t="s">
        <v>1613</v>
      </c>
      <c r="G29" s="915" t="s">
        <v>1651</v>
      </c>
      <c r="H29" s="955" t="s">
        <v>1615</v>
      </c>
      <c r="I29" s="915" t="s">
        <v>1633</v>
      </c>
      <c r="J29" s="915" t="s">
        <v>1629</v>
      </c>
      <c r="K29" s="915" t="s">
        <v>1630</v>
      </c>
      <c r="L29" s="919"/>
      <c r="M29" s="919"/>
      <c r="N29" s="919" t="s">
        <v>1652</v>
      </c>
      <c r="O29" s="940"/>
      <c r="P29" s="919"/>
      <c r="Q29" s="956"/>
      <c r="U29" s="915" t="s">
        <v>1651</v>
      </c>
      <c r="X29" s="952">
        <v>42741</v>
      </c>
      <c r="Y29" s="952">
        <v>42741</v>
      </c>
      <c r="AA29" s="952"/>
      <c r="AB29" s="915" t="s">
        <v>1626</v>
      </c>
      <c r="AC29" s="915">
        <v>0</v>
      </c>
      <c r="AD29" s="915">
        <v>0</v>
      </c>
      <c r="AE29" s="915">
        <v>0</v>
      </c>
      <c r="AF29" s="915">
        <v>0</v>
      </c>
      <c r="AG29" s="915">
        <v>0</v>
      </c>
      <c r="AH29" s="915">
        <v>1</v>
      </c>
      <c r="AI29" s="915">
        <v>43001</v>
      </c>
      <c r="AJ29" s="915">
        <v>2010</v>
      </c>
      <c r="AK29" s="915">
        <v>0</v>
      </c>
      <c r="AL29" s="915">
        <v>0</v>
      </c>
      <c r="AO29" s="955"/>
      <c r="AP29" s="955"/>
      <c r="AQ29" s="915" t="str">
        <f t="shared" si="0"/>
        <v/>
      </c>
      <c r="AS29" s="915" t="str">
        <f t="shared" si="1"/>
        <v>wci_wa</v>
      </c>
    </row>
    <row r="30" spans="2:45">
      <c r="B30" s="915" t="s">
        <v>1612</v>
      </c>
      <c r="C30" s="952">
        <v>42735</v>
      </c>
      <c r="D30" s="953">
        <v>-928</v>
      </c>
      <c r="E30" s="953">
        <v>0</v>
      </c>
      <c r="F30" s="954" t="s">
        <v>1613</v>
      </c>
      <c r="G30" s="915" t="s">
        <v>1653</v>
      </c>
      <c r="H30" s="955" t="s">
        <v>1615</v>
      </c>
      <c r="I30" s="915" t="s">
        <v>1654</v>
      </c>
      <c r="J30" s="915" t="s">
        <v>1629</v>
      </c>
      <c r="K30" s="915" t="s">
        <v>1630</v>
      </c>
      <c r="L30" s="919"/>
      <c r="M30" s="919"/>
      <c r="N30" s="919" t="s">
        <v>1655</v>
      </c>
      <c r="O30" s="940"/>
      <c r="P30" s="919"/>
      <c r="Q30" s="956"/>
      <c r="U30" s="915" t="s">
        <v>1653</v>
      </c>
      <c r="X30" s="952">
        <v>42744</v>
      </c>
      <c r="Y30" s="952">
        <v>42744</v>
      </c>
      <c r="AA30" s="952"/>
      <c r="AB30" s="915" t="s">
        <v>1626</v>
      </c>
      <c r="AC30" s="915">
        <v>0</v>
      </c>
      <c r="AD30" s="915">
        <v>0</v>
      </c>
      <c r="AE30" s="915">
        <v>0</v>
      </c>
      <c r="AF30" s="915">
        <v>0</v>
      </c>
      <c r="AG30" s="915">
        <v>0</v>
      </c>
      <c r="AH30" s="915">
        <v>1</v>
      </c>
      <c r="AI30" s="915">
        <v>43001</v>
      </c>
      <c r="AJ30" s="915">
        <v>2010</v>
      </c>
      <c r="AK30" s="915">
        <v>0</v>
      </c>
      <c r="AL30" s="915">
        <v>0</v>
      </c>
      <c r="AO30" s="955"/>
      <c r="AP30" s="955"/>
      <c r="AQ30" s="915" t="str">
        <f t="shared" si="0"/>
        <v/>
      </c>
      <c r="AS30" s="915" t="str">
        <f t="shared" si="1"/>
        <v>wci_wa</v>
      </c>
    </row>
    <row r="31" spans="2:45">
      <c r="B31" s="915" t="s">
        <v>1612</v>
      </c>
      <c r="C31" s="952">
        <v>42735</v>
      </c>
      <c r="D31" s="953">
        <v>1351.03</v>
      </c>
      <c r="E31" s="953">
        <v>0</v>
      </c>
      <c r="F31" s="954" t="s">
        <v>1613</v>
      </c>
      <c r="G31" s="915" t="s">
        <v>1656</v>
      </c>
      <c r="H31" s="955" t="s">
        <v>1615</v>
      </c>
      <c r="I31" s="915" t="s">
        <v>1657</v>
      </c>
      <c r="J31" s="915" t="s">
        <v>1629</v>
      </c>
      <c r="K31" s="915" t="s">
        <v>1630</v>
      </c>
      <c r="L31" s="919"/>
      <c r="M31" s="919"/>
      <c r="N31" s="919" t="s">
        <v>1658</v>
      </c>
      <c r="O31" s="940"/>
      <c r="P31" s="919"/>
      <c r="Q31" s="956"/>
      <c r="U31" s="915" t="s">
        <v>1656</v>
      </c>
      <c r="X31" s="952">
        <v>42744</v>
      </c>
      <c r="Y31" s="952">
        <v>42745</v>
      </c>
      <c r="AA31" s="952"/>
      <c r="AB31" s="915" t="s">
        <v>1626</v>
      </c>
      <c r="AC31" s="915">
        <v>0</v>
      </c>
      <c r="AD31" s="915">
        <v>0</v>
      </c>
      <c r="AE31" s="915">
        <v>0</v>
      </c>
      <c r="AF31" s="915">
        <v>0</v>
      </c>
      <c r="AG31" s="915">
        <v>0</v>
      </c>
      <c r="AH31" s="915">
        <v>1</v>
      </c>
      <c r="AI31" s="915">
        <v>43001</v>
      </c>
      <c r="AJ31" s="915">
        <v>2010</v>
      </c>
      <c r="AK31" s="915">
        <v>0</v>
      </c>
      <c r="AL31" s="915">
        <v>0</v>
      </c>
      <c r="AO31" s="955"/>
      <c r="AP31" s="955"/>
      <c r="AQ31" s="915" t="str">
        <f t="shared" si="0"/>
        <v/>
      </c>
      <c r="AS31" s="915" t="str">
        <f t="shared" si="1"/>
        <v>wci_wa</v>
      </c>
    </row>
    <row r="32" spans="2:45">
      <c r="B32" s="915" t="s">
        <v>1612</v>
      </c>
      <c r="C32" s="952">
        <v>42758</v>
      </c>
      <c r="D32" s="953">
        <v>435.66</v>
      </c>
      <c r="E32" s="953">
        <v>0</v>
      </c>
      <c r="F32" s="954" t="s">
        <v>1613</v>
      </c>
      <c r="G32" s="915" t="s">
        <v>1659</v>
      </c>
      <c r="H32" s="955" t="s">
        <v>1615</v>
      </c>
      <c r="I32" s="915" t="s">
        <v>1616</v>
      </c>
      <c r="J32" s="915" t="s">
        <v>1617</v>
      </c>
      <c r="K32" s="915" t="s">
        <v>1618</v>
      </c>
      <c r="L32" s="919" t="s">
        <v>1619</v>
      </c>
      <c r="M32" s="919" t="s">
        <v>1620</v>
      </c>
      <c r="N32" s="919" t="s">
        <v>1621</v>
      </c>
      <c r="O32" s="940">
        <v>42758</v>
      </c>
      <c r="P32" s="919" t="s">
        <v>1660</v>
      </c>
      <c r="Q32" s="956">
        <v>31513</v>
      </c>
      <c r="R32" s="915" t="s">
        <v>1661</v>
      </c>
      <c r="U32" s="915" t="s">
        <v>1662</v>
      </c>
      <c r="V32" s="915" t="s">
        <v>1663</v>
      </c>
      <c r="W32" s="915">
        <v>2010</v>
      </c>
      <c r="X32" s="952">
        <v>42758</v>
      </c>
      <c r="Y32" s="952">
        <v>42759</v>
      </c>
      <c r="Z32" s="915">
        <v>237383</v>
      </c>
      <c r="AA32" s="952">
        <v>42759</v>
      </c>
      <c r="AB32" s="915" t="s">
        <v>1626</v>
      </c>
      <c r="AC32" s="915">
        <v>0</v>
      </c>
      <c r="AD32" s="915">
        <v>0</v>
      </c>
      <c r="AE32" s="915">
        <v>0</v>
      </c>
      <c r="AF32" s="915">
        <v>0</v>
      </c>
      <c r="AG32" s="915">
        <v>0</v>
      </c>
      <c r="AH32" s="915">
        <v>1</v>
      </c>
      <c r="AI32" s="915">
        <v>43001</v>
      </c>
      <c r="AJ32" s="915">
        <v>2010</v>
      </c>
      <c r="AK32" s="915">
        <v>0</v>
      </c>
      <c r="AL32" s="915">
        <v>0</v>
      </c>
      <c r="AO32" s="955"/>
      <c r="AP32" s="955"/>
      <c r="AQ32" s="915" t="str">
        <f t="shared" si="0"/>
        <v>VO04180659</v>
      </c>
      <c r="AS32" s="915" t="str">
        <f t="shared" si="1"/>
        <v>wci_corp</v>
      </c>
    </row>
    <row r="33" spans="2:45">
      <c r="B33" s="915" t="s">
        <v>1612</v>
      </c>
      <c r="C33" s="952">
        <v>42766</v>
      </c>
      <c r="D33" s="953">
        <v>76812.59</v>
      </c>
      <c r="E33" s="953">
        <v>0</v>
      </c>
      <c r="F33" s="954" t="s">
        <v>1613</v>
      </c>
      <c r="G33" s="915" t="s">
        <v>1664</v>
      </c>
      <c r="H33" s="955" t="s">
        <v>1615</v>
      </c>
      <c r="I33" s="915" t="s">
        <v>1633</v>
      </c>
      <c r="J33" s="915" t="s">
        <v>1629</v>
      </c>
      <c r="K33" s="915" t="s">
        <v>1630</v>
      </c>
      <c r="L33" s="919"/>
      <c r="M33" s="919"/>
      <c r="N33" s="919" t="s">
        <v>1634</v>
      </c>
      <c r="O33" s="940"/>
      <c r="P33" s="919"/>
      <c r="Q33" s="956"/>
      <c r="U33" s="915" t="s">
        <v>1664</v>
      </c>
      <c r="X33" s="952">
        <v>42772</v>
      </c>
      <c r="Y33" s="952">
        <v>42773</v>
      </c>
      <c r="AA33" s="952"/>
      <c r="AB33" s="915" t="s">
        <v>1626</v>
      </c>
      <c r="AC33" s="915">
        <v>0</v>
      </c>
      <c r="AD33" s="915">
        <v>0</v>
      </c>
      <c r="AE33" s="915">
        <v>0</v>
      </c>
      <c r="AF33" s="915">
        <v>0</v>
      </c>
      <c r="AG33" s="915">
        <v>0</v>
      </c>
      <c r="AH33" s="915">
        <v>1</v>
      </c>
      <c r="AI33" s="915">
        <v>43001</v>
      </c>
      <c r="AJ33" s="915">
        <v>2010</v>
      </c>
      <c r="AK33" s="915">
        <v>0</v>
      </c>
      <c r="AL33" s="915">
        <v>0</v>
      </c>
      <c r="AO33" s="955"/>
      <c r="AP33" s="955"/>
      <c r="AQ33" s="915" t="str">
        <f t="shared" si="0"/>
        <v/>
      </c>
      <c r="AS33" s="915" t="str">
        <f t="shared" si="1"/>
        <v>wci_wa</v>
      </c>
    </row>
    <row r="34" spans="2:45">
      <c r="B34" s="915" t="s">
        <v>1612</v>
      </c>
      <c r="C34" s="952">
        <v>42789</v>
      </c>
      <c r="D34" s="953">
        <v>440.54</v>
      </c>
      <c r="E34" s="953">
        <v>0</v>
      </c>
      <c r="F34" s="954" t="s">
        <v>1613</v>
      </c>
      <c r="G34" s="915" t="s">
        <v>1665</v>
      </c>
      <c r="H34" s="955" t="s">
        <v>1615</v>
      </c>
      <c r="I34" s="915" t="s">
        <v>1616</v>
      </c>
      <c r="J34" s="915" t="s">
        <v>1617</v>
      </c>
      <c r="K34" s="915" t="s">
        <v>1618</v>
      </c>
      <c r="L34" s="919" t="s">
        <v>1619</v>
      </c>
      <c r="M34" s="919" t="s">
        <v>1620</v>
      </c>
      <c r="N34" s="919" t="s">
        <v>1621</v>
      </c>
      <c r="O34" s="940">
        <v>42787</v>
      </c>
      <c r="P34" s="919" t="s">
        <v>1666</v>
      </c>
      <c r="Q34" s="956">
        <v>10669</v>
      </c>
      <c r="R34" s="915" t="s">
        <v>1667</v>
      </c>
      <c r="U34" s="915" t="s">
        <v>1668</v>
      </c>
      <c r="V34" s="915" t="s">
        <v>1669</v>
      </c>
      <c r="W34" s="915">
        <v>2010</v>
      </c>
      <c r="X34" s="952">
        <v>42789</v>
      </c>
      <c r="Y34" s="952">
        <v>42793</v>
      </c>
      <c r="Z34" s="915">
        <v>239045</v>
      </c>
      <c r="AA34" s="952">
        <v>42788</v>
      </c>
      <c r="AB34" s="915" t="s">
        <v>1626</v>
      </c>
      <c r="AC34" s="915">
        <v>0</v>
      </c>
      <c r="AD34" s="915">
        <v>0</v>
      </c>
      <c r="AE34" s="915">
        <v>0</v>
      </c>
      <c r="AF34" s="915">
        <v>0</v>
      </c>
      <c r="AG34" s="915">
        <v>0</v>
      </c>
      <c r="AH34" s="915">
        <v>1</v>
      </c>
      <c r="AI34" s="915">
        <v>43001</v>
      </c>
      <c r="AJ34" s="915">
        <v>2010</v>
      </c>
      <c r="AK34" s="915">
        <v>0</v>
      </c>
      <c r="AL34" s="915">
        <v>0</v>
      </c>
      <c r="AO34" s="955"/>
      <c r="AP34" s="955"/>
      <c r="AQ34" s="915" t="str">
        <f t="shared" si="0"/>
        <v>VO04210229</v>
      </c>
      <c r="AS34" s="915" t="str">
        <f t="shared" si="1"/>
        <v>wci_corp</v>
      </c>
    </row>
    <row r="35" spans="2:45">
      <c r="B35" s="915" t="s">
        <v>1612</v>
      </c>
      <c r="C35" s="952">
        <v>42794</v>
      </c>
      <c r="D35" s="953">
        <v>2066.6799999999998</v>
      </c>
      <c r="E35" s="953">
        <v>0</v>
      </c>
      <c r="F35" s="954" t="s">
        <v>1613</v>
      </c>
      <c r="G35" s="915" t="s">
        <v>1670</v>
      </c>
      <c r="H35" s="955" t="s">
        <v>1615</v>
      </c>
      <c r="I35" s="915" t="s">
        <v>1671</v>
      </c>
      <c r="J35" s="915" t="s">
        <v>1672</v>
      </c>
      <c r="K35" s="915" t="s">
        <v>1630</v>
      </c>
      <c r="L35" s="919"/>
      <c r="M35" s="919"/>
      <c r="N35" s="919" t="s">
        <v>1673</v>
      </c>
      <c r="O35" s="940"/>
      <c r="P35" s="919"/>
      <c r="Q35" s="956"/>
      <c r="U35" s="915" t="s">
        <v>1670</v>
      </c>
      <c r="X35" s="952">
        <v>42799</v>
      </c>
      <c r="Y35" s="952">
        <v>42800</v>
      </c>
      <c r="AA35" s="952"/>
      <c r="AB35" s="915" t="s">
        <v>1626</v>
      </c>
      <c r="AC35" s="915">
        <v>0</v>
      </c>
      <c r="AD35" s="915">
        <v>0</v>
      </c>
      <c r="AE35" s="915">
        <v>0</v>
      </c>
      <c r="AF35" s="915">
        <v>0</v>
      </c>
      <c r="AG35" s="915">
        <v>0</v>
      </c>
      <c r="AH35" s="915">
        <v>1</v>
      </c>
      <c r="AI35" s="915">
        <v>43001</v>
      </c>
      <c r="AJ35" s="915">
        <v>2010</v>
      </c>
      <c r="AK35" s="915">
        <v>0</v>
      </c>
      <c r="AL35" s="915">
        <v>0</v>
      </c>
      <c r="AO35" s="955"/>
      <c r="AP35" s="955"/>
      <c r="AQ35" s="915" t="str">
        <f t="shared" si="0"/>
        <v/>
      </c>
      <c r="AS35" s="915" t="str">
        <f t="shared" si="1"/>
        <v>wci_wa</v>
      </c>
    </row>
    <row r="36" spans="2:45">
      <c r="B36" s="915" t="s">
        <v>1612</v>
      </c>
      <c r="C36" s="952">
        <v>42794</v>
      </c>
      <c r="D36" s="953">
        <v>77694.36</v>
      </c>
      <c r="E36" s="953">
        <v>0</v>
      </c>
      <c r="F36" s="954" t="s">
        <v>1613</v>
      </c>
      <c r="G36" s="915" t="s">
        <v>1674</v>
      </c>
      <c r="H36" s="955" t="s">
        <v>1615</v>
      </c>
      <c r="I36" s="915" t="s">
        <v>1633</v>
      </c>
      <c r="J36" s="915" t="s">
        <v>1672</v>
      </c>
      <c r="K36" s="915" t="s">
        <v>1630</v>
      </c>
      <c r="L36" s="919"/>
      <c r="M36" s="919"/>
      <c r="N36" s="919" t="s">
        <v>1634</v>
      </c>
      <c r="O36" s="940"/>
      <c r="P36" s="919"/>
      <c r="Q36" s="956"/>
      <c r="U36" s="915" t="s">
        <v>1674</v>
      </c>
      <c r="X36" s="952">
        <v>42799</v>
      </c>
      <c r="Y36" s="952">
        <v>42800</v>
      </c>
      <c r="AA36" s="952"/>
      <c r="AB36" s="915" t="s">
        <v>1626</v>
      </c>
      <c r="AC36" s="915">
        <v>0</v>
      </c>
      <c r="AD36" s="915">
        <v>0</v>
      </c>
      <c r="AE36" s="915">
        <v>0</v>
      </c>
      <c r="AF36" s="915">
        <v>0</v>
      </c>
      <c r="AG36" s="915">
        <v>0</v>
      </c>
      <c r="AH36" s="915">
        <v>1</v>
      </c>
      <c r="AI36" s="915">
        <v>43001</v>
      </c>
      <c r="AJ36" s="915">
        <v>2010</v>
      </c>
      <c r="AK36" s="915">
        <v>0</v>
      </c>
      <c r="AL36" s="915">
        <v>0</v>
      </c>
      <c r="AO36" s="955"/>
      <c r="AP36" s="955"/>
      <c r="AQ36" s="915" t="str">
        <f t="shared" si="0"/>
        <v/>
      </c>
      <c r="AS36" s="915" t="str">
        <f t="shared" si="1"/>
        <v>wci_wa</v>
      </c>
    </row>
    <row r="37" spans="2:45">
      <c r="B37" s="915" t="s">
        <v>1612</v>
      </c>
      <c r="C37" s="952">
        <v>42816</v>
      </c>
      <c r="D37" s="953">
        <v>466.01</v>
      </c>
      <c r="E37" s="953">
        <v>0</v>
      </c>
      <c r="F37" s="954" t="s">
        <v>1613</v>
      </c>
      <c r="G37" s="915" t="s">
        <v>1675</v>
      </c>
      <c r="H37" s="955" t="s">
        <v>1615</v>
      </c>
      <c r="I37" s="915" t="s">
        <v>1616</v>
      </c>
      <c r="J37" s="915" t="s">
        <v>1617</v>
      </c>
      <c r="K37" s="915" t="s">
        <v>1618</v>
      </c>
      <c r="L37" s="919" t="s">
        <v>1619</v>
      </c>
      <c r="M37" s="919" t="s">
        <v>1620</v>
      </c>
      <c r="N37" s="919" t="s">
        <v>1621</v>
      </c>
      <c r="O37" s="940">
        <v>42815</v>
      </c>
      <c r="P37" s="919" t="s">
        <v>1676</v>
      </c>
      <c r="Q37" s="956">
        <v>13605</v>
      </c>
      <c r="R37" s="915" t="s">
        <v>1677</v>
      </c>
      <c r="U37" s="915" t="s">
        <v>1678</v>
      </c>
      <c r="V37" s="915" t="s">
        <v>1679</v>
      </c>
      <c r="W37" s="915">
        <v>2010</v>
      </c>
      <c r="X37" s="952">
        <v>42816</v>
      </c>
      <c r="Y37" s="952">
        <v>42822</v>
      </c>
      <c r="Z37" s="915">
        <v>243196</v>
      </c>
      <c r="AA37" s="952">
        <v>42816</v>
      </c>
      <c r="AB37" s="915" t="s">
        <v>1626</v>
      </c>
      <c r="AC37" s="915">
        <v>0</v>
      </c>
      <c r="AD37" s="915">
        <v>0</v>
      </c>
      <c r="AE37" s="915">
        <v>0</v>
      </c>
      <c r="AF37" s="915">
        <v>0</v>
      </c>
      <c r="AG37" s="915">
        <v>0</v>
      </c>
      <c r="AH37" s="915">
        <v>1</v>
      </c>
      <c r="AI37" s="915">
        <v>43001</v>
      </c>
      <c r="AJ37" s="915">
        <v>2010</v>
      </c>
      <c r="AK37" s="915">
        <v>0</v>
      </c>
      <c r="AL37" s="915">
        <v>0</v>
      </c>
      <c r="AO37" s="955"/>
      <c r="AP37" s="955"/>
      <c r="AQ37" s="915" t="str">
        <f t="shared" si="0"/>
        <v>VO04236912</v>
      </c>
      <c r="AS37" s="915" t="str">
        <f t="shared" si="1"/>
        <v>wci_corp</v>
      </c>
    </row>
    <row r="38" spans="2:45">
      <c r="B38" s="915" t="s">
        <v>1612</v>
      </c>
      <c r="C38" s="952">
        <v>42825</v>
      </c>
      <c r="D38" s="953">
        <v>1033.32</v>
      </c>
      <c r="E38" s="953">
        <v>0</v>
      </c>
      <c r="F38" s="954" t="s">
        <v>1613</v>
      </c>
      <c r="G38" s="915" t="s">
        <v>1680</v>
      </c>
      <c r="H38" s="955" t="s">
        <v>1615</v>
      </c>
      <c r="I38" s="915" t="s">
        <v>1671</v>
      </c>
      <c r="J38" s="915" t="s">
        <v>1672</v>
      </c>
      <c r="K38" s="915" t="s">
        <v>1630</v>
      </c>
      <c r="L38" s="919"/>
      <c r="M38" s="919"/>
      <c r="N38" s="919" t="s">
        <v>1673</v>
      </c>
      <c r="O38" s="940"/>
      <c r="P38" s="919"/>
      <c r="Q38" s="956"/>
      <c r="U38" s="915" t="s">
        <v>1680</v>
      </c>
      <c r="X38" s="952">
        <v>42831</v>
      </c>
      <c r="Y38" s="952">
        <v>42831</v>
      </c>
      <c r="AA38" s="952"/>
      <c r="AB38" s="915" t="s">
        <v>1626</v>
      </c>
      <c r="AC38" s="915">
        <v>0</v>
      </c>
      <c r="AD38" s="915">
        <v>0</v>
      </c>
      <c r="AE38" s="915">
        <v>0</v>
      </c>
      <c r="AF38" s="915">
        <v>0</v>
      </c>
      <c r="AG38" s="915">
        <v>0</v>
      </c>
      <c r="AH38" s="915">
        <v>1</v>
      </c>
      <c r="AI38" s="915">
        <v>43001</v>
      </c>
      <c r="AJ38" s="915">
        <v>2010</v>
      </c>
      <c r="AK38" s="915">
        <v>0</v>
      </c>
      <c r="AL38" s="915">
        <v>0</v>
      </c>
      <c r="AO38" s="955"/>
      <c r="AP38" s="955"/>
      <c r="AQ38" s="915" t="str">
        <f t="shared" si="0"/>
        <v/>
      </c>
      <c r="AS38" s="915" t="str">
        <f t="shared" si="1"/>
        <v>wci_wa</v>
      </c>
    </row>
    <row r="39" spans="2:45">
      <c r="B39" s="915" t="s">
        <v>1612</v>
      </c>
      <c r="C39" s="952">
        <v>42825</v>
      </c>
      <c r="D39" s="953">
        <v>104.23</v>
      </c>
      <c r="E39" s="953">
        <v>0</v>
      </c>
      <c r="F39" s="954" t="s">
        <v>1613</v>
      </c>
      <c r="G39" s="915" t="s">
        <v>1681</v>
      </c>
      <c r="H39" s="955" t="s">
        <v>1615</v>
      </c>
      <c r="I39" s="915" t="s">
        <v>1628</v>
      </c>
      <c r="J39" s="915" t="s">
        <v>1672</v>
      </c>
      <c r="K39" s="915" t="s">
        <v>1630</v>
      </c>
      <c r="L39" s="919"/>
      <c r="M39" s="919"/>
      <c r="N39" s="919" t="s">
        <v>1644</v>
      </c>
      <c r="O39" s="940"/>
      <c r="P39" s="919"/>
      <c r="Q39" s="956"/>
      <c r="U39" s="915" t="s">
        <v>1681</v>
      </c>
      <c r="X39" s="952">
        <v>42831</v>
      </c>
      <c r="Y39" s="952">
        <v>42831</v>
      </c>
      <c r="AA39" s="952"/>
      <c r="AB39" s="915" t="s">
        <v>1626</v>
      </c>
      <c r="AC39" s="915">
        <v>0</v>
      </c>
      <c r="AD39" s="915">
        <v>0</v>
      </c>
      <c r="AE39" s="915">
        <v>0</v>
      </c>
      <c r="AF39" s="915">
        <v>0</v>
      </c>
      <c r="AG39" s="915">
        <v>0</v>
      </c>
      <c r="AH39" s="915">
        <v>1</v>
      </c>
      <c r="AI39" s="915">
        <v>43001</v>
      </c>
      <c r="AJ39" s="915">
        <v>2010</v>
      </c>
      <c r="AK39" s="915">
        <v>0</v>
      </c>
      <c r="AL39" s="915">
        <v>0</v>
      </c>
      <c r="AO39" s="955"/>
      <c r="AP39" s="955"/>
      <c r="AQ39" s="915" t="str">
        <f t="shared" si="0"/>
        <v/>
      </c>
      <c r="AS39" s="915" t="str">
        <f t="shared" si="1"/>
        <v>wci_wa</v>
      </c>
    </row>
    <row r="40" spans="2:45">
      <c r="B40" s="915" t="s">
        <v>1612</v>
      </c>
      <c r="C40" s="952">
        <v>42825</v>
      </c>
      <c r="D40" s="953">
        <v>231.37</v>
      </c>
      <c r="E40" s="953">
        <v>0</v>
      </c>
      <c r="F40" s="954" t="s">
        <v>1613</v>
      </c>
      <c r="G40" s="915" t="s">
        <v>1681</v>
      </c>
      <c r="H40" s="955" t="s">
        <v>1615</v>
      </c>
      <c r="I40" s="915" t="s">
        <v>1628</v>
      </c>
      <c r="J40" s="915" t="s">
        <v>1672</v>
      </c>
      <c r="K40" s="915" t="s">
        <v>1630</v>
      </c>
      <c r="L40" s="919"/>
      <c r="M40" s="919"/>
      <c r="N40" s="919" t="s">
        <v>1631</v>
      </c>
      <c r="O40" s="940"/>
      <c r="P40" s="919"/>
      <c r="Q40" s="956"/>
      <c r="U40" s="915" t="s">
        <v>1681</v>
      </c>
      <c r="X40" s="952">
        <v>42831</v>
      </c>
      <c r="Y40" s="952">
        <v>42831</v>
      </c>
      <c r="AA40" s="952"/>
      <c r="AB40" s="915" t="s">
        <v>1626</v>
      </c>
      <c r="AC40" s="915">
        <v>0</v>
      </c>
      <c r="AD40" s="915">
        <v>0</v>
      </c>
      <c r="AE40" s="915">
        <v>0</v>
      </c>
      <c r="AF40" s="915">
        <v>0</v>
      </c>
      <c r="AG40" s="915">
        <v>0</v>
      </c>
      <c r="AH40" s="915">
        <v>1</v>
      </c>
      <c r="AI40" s="915">
        <v>43001</v>
      </c>
      <c r="AJ40" s="915">
        <v>2010</v>
      </c>
      <c r="AK40" s="915">
        <v>0</v>
      </c>
      <c r="AL40" s="915">
        <v>0</v>
      </c>
      <c r="AO40" s="955"/>
      <c r="AP40" s="955"/>
      <c r="AQ40" s="915" t="str">
        <f t="shared" si="0"/>
        <v/>
      </c>
      <c r="AS40" s="915" t="str">
        <f t="shared" si="1"/>
        <v>wci_wa</v>
      </c>
    </row>
    <row r="41" spans="2:45">
      <c r="B41" s="915" t="s">
        <v>1612</v>
      </c>
      <c r="C41" s="952">
        <v>42825</v>
      </c>
      <c r="D41" s="953">
        <v>-1409.63</v>
      </c>
      <c r="E41" s="953">
        <v>0</v>
      </c>
      <c r="F41" s="954" t="s">
        <v>1613</v>
      </c>
      <c r="G41" s="915" t="s">
        <v>1681</v>
      </c>
      <c r="H41" s="955" t="s">
        <v>1615</v>
      </c>
      <c r="I41" s="915" t="s">
        <v>1628</v>
      </c>
      <c r="J41" s="915" t="s">
        <v>1672</v>
      </c>
      <c r="K41" s="915" t="s">
        <v>1630</v>
      </c>
      <c r="L41" s="919"/>
      <c r="M41" s="919"/>
      <c r="N41" s="919" t="s">
        <v>1682</v>
      </c>
      <c r="O41" s="940"/>
      <c r="P41" s="919"/>
      <c r="Q41" s="956"/>
      <c r="U41" s="915" t="s">
        <v>1681</v>
      </c>
      <c r="X41" s="952">
        <v>42831</v>
      </c>
      <c r="Y41" s="952">
        <v>42831</v>
      </c>
      <c r="AA41" s="952"/>
      <c r="AB41" s="915" t="s">
        <v>1626</v>
      </c>
      <c r="AC41" s="915">
        <v>0</v>
      </c>
      <c r="AD41" s="915">
        <v>0</v>
      </c>
      <c r="AE41" s="915">
        <v>0</v>
      </c>
      <c r="AF41" s="915">
        <v>0</v>
      </c>
      <c r="AG41" s="915">
        <v>0</v>
      </c>
      <c r="AH41" s="915">
        <v>1</v>
      </c>
      <c r="AI41" s="915">
        <v>43001</v>
      </c>
      <c r="AJ41" s="915">
        <v>2010</v>
      </c>
      <c r="AK41" s="915">
        <v>0</v>
      </c>
      <c r="AL41" s="915">
        <v>0</v>
      </c>
      <c r="AO41" s="955"/>
      <c r="AP41" s="955"/>
      <c r="AQ41" s="915" t="str">
        <f t="shared" si="0"/>
        <v/>
      </c>
      <c r="AS41" s="915" t="str">
        <f t="shared" si="1"/>
        <v>wci_wa</v>
      </c>
    </row>
    <row r="42" spans="2:45">
      <c r="B42" s="915" t="s">
        <v>1612</v>
      </c>
      <c r="C42" s="952">
        <v>42825</v>
      </c>
      <c r="D42" s="953">
        <v>236.9</v>
      </c>
      <c r="E42" s="953">
        <v>0</v>
      </c>
      <c r="F42" s="954" t="s">
        <v>1613</v>
      </c>
      <c r="G42" s="915" t="s">
        <v>1681</v>
      </c>
      <c r="H42" s="955" t="s">
        <v>1615</v>
      </c>
      <c r="I42" s="915" t="s">
        <v>1628</v>
      </c>
      <c r="J42" s="915" t="s">
        <v>1672</v>
      </c>
      <c r="K42" s="915" t="s">
        <v>1630</v>
      </c>
      <c r="L42" s="919"/>
      <c r="M42" s="919"/>
      <c r="N42" s="919" t="s">
        <v>1683</v>
      </c>
      <c r="O42" s="940"/>
      <c r="P42" s="919"/>
      <c r="Q42" s="956"/>
      <c r="U42" s="915" t="s">
        <v>1681</v>
      </c>
      <c r="X42" s="952">
        <v>42831</v>
      </c>
      <c r="Y42" s="952">
        <v>42831</v>
      </c>
      <c r="AA42" s="952"/>
      <c r="AB42" s="915" t="s">
        <v>1626</v>
      </c>
      <c r="AC42" s="915">
        <v>0</v>
      </c>
      <c r="AD42" s="915">
        <v>0</v>
      </c>
      <c r="AE42" s="915">
        <v>0</v>
      </c>
      <c r="AF42" s="915">
        <v>0</v>
      </c>
      <c r="AG42" s="915">
        <v>0</v>
      </c>
      <c r="AH42" s="915">
        <v>1</v>
      </c>
      <c r="AI42" s="915">
        <v>43001</v>
      </c>
      <c r="AJ42" s="915">
        <v>2010</v>
      </c>
      <c r="AK42" s="915">
        <v>0</v>
      </c>
      <c r="AL42" s="915">
        <v>0</v>
      </c>
      <c r="AO42" s="955"/>
      <c r="AP42" s="955"/>
      <c r="AQ42" s="915" t="str">
        <f t="shared" si="0"/>
        <v/>
      </c>
      <c r="AS42" s="915" t="str">
        <f t="shared" si="1"/>
        <v>wci_wa</v>
      </c>
    </row>
    <row r="43" spans="2:45">
      <c r="B43" s="915" t="s">
        <v>1612</v>
      </c>
      <c r="C43" s="952">
        <v>42825</v>
      </c>
      <c r="D43" s="953">
        <v>83503.820000000007</v>
      </c>
      <c r="E43" s="953">
        <v>0</v>
      </c>
      <c r="F43" s="954" t="s">
        <v>1613</v>
      </c>
      <c r="G43" s="915" t="s">
        <v>1684</v>
      </c>
      <c r="H43" s="955" t="s">
        <v>1615</v>
      </c>
      <c r="I43" s="915" t="s">
        <v>1633</v>
      </c>
      <c r="J43" s="915" t="s">
        <v>1672</v>
      </c>
      <c r="K43" s="915" t="s">
        <v>1630</v>
      </c>
      <c r="L43" s="919"/>
      <c r="M43" s="919"/>
      <c r="N43" s="919" t="s">
        <v>1634</v>
      </c>
      <c r="O43" s="940"/>
      <c r="P43" s="919"/>
      <c r="Q43" s="956"/>
      <c r="U43" s="915" t="s">
        <v>1684</v>
      </c>
      <c r="X43" s="952">
        <v>42831</v>
      </c>
      <c r="Y43" s="952">
        <v>42831</v>
      </c>
      <c r="AA43" s="952"/>
      <c r="AB43" s="915" t="s">
        <v>1626</v>
      </c>
      <c r="AC43" s="915">
        <v>0</v>
      </c>
      <c r="AD43" s="915">
        <v>0</v>
      </c>
      <c r="AE43" s="915">
        <v>0</v>
      </c>
      <c r="AF43" s="915">
        <v>0</v>
      </c>
      <c r="AG43" s="915">
        <v>0</v>
      </c>
      <c r="AH43" s="915">
        <v>1</v>
      </c>
      <c r="AI43" s="915">
        <v>43001</v>
      </c>
      <c r="AJ43" s="915">
        <v>2010</v>
      </c>
      <c r="AK43" s="915">
        <v>0</v>
      </c>
      <c r="AL43" s="915">
        <v>0</v>
      </c>
      <c r="AO43" s="955"/>
      <c r="AP43" s="955"/>
      <c r="AQ43" s="915" t="str">
        <f t="shared" si="0"/>
        <v/>
      </c>
      <c r="AS43" s="915" t="str">
        <f t="shared" si="1"/>
        <v>wci_wa</v>
      </c>
    </row>
    <row r="44" spans="2:45">
      <c r="B44" s="915" t="s">
        <v>1612</v>
      </c>
      <c r="C44" s="952">
        <v>42825</v>
      </c>
      <c r="D44" s="953">
        <v>-1002.73</v>
      </c>
      <c r="E44" s="953">
        <v>0</v>
      </c>
      <c r="F44" s="954" t="s">
        <v>1613</v>
      </c>
      <c r="G44" s="915" t="s">
        <v>1684</v>
      </c>
      <c r="H44" s="955" t="s">
        <v>1615</v>
      </c>
      <c r="I44" s="915" t="s">
        <v>1633</v>
      </c>
      <c r="J44" s="915" t="s">
        <v>1672</v>
      </c>
      <c r="K44" s="915" t="s">
        <v>1630</v>
      </c>
      <c r="L44" s="919"/>
      <c r="M44" s="919"/>
      <c r="N44" s="919" t="s">
        <v>1652</v>
      </c>
      <c r="O44" s="940"/>
      <c r="P44" s="919"/>
      <c r="Q44" s="956"/>
      <c r="U44" s="915" t="s">
        <v>1684</v>
      </c>
      <c r="X44" s="952">
        <v>42831</v>
      </c>
      <c r="Y44" s="952">
        <v>42831</v>
      </c>
      <c r="AA44" s="952"/>
      <c r="AB44" s="915" t="s">
        <v>1626</v>
      </c>
      <c r="AC44" s="915">
        <v>0</v>
      </c>
      <c r="AD44" s="915">
        <v>0</v>
      </c>
      <c r="AE44" s="915">
        <v>0</v>
      </c>
      <c r="AF44" s="915">
        <v>0</v>
      </c>
      <c r="AG44" s="915">
        <v>0</v>
      </c>
      <c r="AH44" s="915">
        <v>1</v>
      </c>
      <c r="AI44" s="915">
        <v>43001</v>
      </c>
      <c r="AJ44" s="915">
        <v>2010</v>
      </c>
      <c r="AK44" s="915">
        <v>0</v>
      </c>
      <c r="AL44" s="915">
        <v>0</v>
      </c>
      <c r="AO44" s="955"/>
      <c r="AP44" s="955"/>
      <c r="AQ44" s="915" t="str">
        <f t="shared" si="0"/>
        <v/>
      </c>
      <c r="AS44" s="915" t="str">
        <f t="shared" si="1"/>
        <v>wci_wa</v>
      </c>
    </row>
    <row r="45" spans="2:45">
      <c r="B45" s="915" t="s">
        <v>1612</v>
      </c>
      <c r="C45" s="952">
        <v>42825</v>
      </c>
      <c r="D45" s="953">
        <v>-97.72</v>
      </c>
      <c r="E45" s="953">
        <v>0</v>
      </c>
      <c r="F45" s="954" t="s">
        <v>1613</v>
      </c>
      <c r="G45" s="915" t="s">
        <v>1684</v>
      </c>
      <c r="H45" s="955" t="s">
        <v>1615</v>
      </c>
      <c r="I45" s="915" t="s">
        <v>1633</v>
      </c>
      <c r="J45" s="915" t="s">
        <v>1672</v>
      </c>
      <c r="K45" s="915" t="s">
        <v>1630</v>
      </c>
      <c r="L45" s="919"/>
      <c r="M45" s="919"/>
      <c r="N45" s="919" t="s">
        <v>1685</v>
      </c>
      <c r="O45" s="940"/>
      <c r="P45" s="919"/>
      <c r="Q45" s="956"/>
      <c r="U45" s="915" t="s">
        <v>1684</v>
      </c>
      <c r="X45" s="952">
        <v>42831</v>
      </c>
      <c r="Y45" s="952">
        <v>42831</v>
      </c>
      <c r="AA45" s="952"/>
      <c r="AB45" s="915" t="s">
        <v>1626</v>
      </c>
      <c r="AC45" s="915">
        <v>0</v>
      </c>
      <c r="AD45" s="915">
        <v>0</v>
      </c>
      <c r="AE45" s="915">
        <v>0</v>
      </c>
      <c r="AF45" s="915">
        <v>0</v>
      </c>
      <c r="AG45" s="915">
        <v>0</v>
      </c>
      <c r="AH45" s="915">
        <v>1</v>
      </c>
      <c r="AI45" s="915">
        <v>43001</v>
      </c>
      <c r="AJ45" s="915">
        <v>2010</v>
      </c>
      <c r="AK45" s="915">
        <v>0</v>
      </c>
      <c r="AL45" s="915">
        <v>0</v>
      </c>
      <c r="AO45" s="955"/>
      <c r="AP45" s="955"/>
      <c r="AQ45" s="915" t="str">
        <f t="shared" si="0"/>
        <v/>
      </c>
      <c r="AS45" s="915" t="str">
        <f t="shared" si="1"/>
        <v>wci_wa</v>
      </c>
    </row>
    <row r="46" spans="2:45">
      <c r="B46" s="915" t="s">
        <v>1612</v>
      </c>
      <c r="C46" s="952">
        <v>42846</v>
      </c>
      <c r="D46" s="953">
        <v>493.08</v>
      </c>
      <c r="E46" s="953">
        <v>0</v>
      </c>
      <c r="F46" s="954" t="s">
        <v>1613</v>
      </c>
      <c r="G46" s="915" t="s">
        <v>1686</v>
      </c>
      <c r="H46" s="955" t="s">
        <v>1615</v>
      </c>
      <c r="I46" s="915" t="s">
        <v>1616</v>
      </c>
      <c r="J46" s="915" t="s">
        <v>1617</v>
      </c>
      <c r="K46" s="915" t="s">
        <v>1618</v>
      </c>
      <c r="L46" s="919" t="s">
        <v>1619</v>
      </c>
      <c r="M46" s="919" t="s">
        <v>1620</v>
      </c>
      <c r="N46" s="919" t="s">
        <v>1621</v>
      </c>
      <c r="O46" s="940">
        <v>42845</v>
      </c>
      <c r="P46" s="919" t="s">
        <v>1687</v>
      </c>
      <c r="Q46" s="956">
        <v>4583</v>
      </c>
      <c r="R46" s="915" t="s">
        <v>1688</v>
      </c>
      <c r="U46" s="915" t="s">
        <v>1689</v>
      </c>
      <c r="V46" s="915" t="s">
        <v>1690</v>
      </c>
      <c r="W46" s="915">
        <v>1010</v>
      </c>
      <c r="X46" s="952">
        <v>42846</v>
      </c>
      <c r="Y46" s="952">
        <v>42850</v>
      </c>
      <c r="Z46" s="915">
        <v>258399</v>
      </c>
      <c r="AA46" s="952">
        <v>42846</v>
      </c>
      <c r="AB46" s="915" t="s">
        <v>1626</v>
      </c>
      <c r="AC46" s="915">
        <v>0</v>
      </c>
      <c r="AD46" s="915">
        <v>0</v>
      </c>
      <c r="AE46" s="915">
        <v>0</v>
      </c>
      <c r="AF46" s="915">
        <v>0</v>
      </c>
      <c r="AG46" s="915">
        <v>0</v>
      </c>
      <c r="AH46" s="915">
        <v>1</v>
      </c>
      <c r="AI46" s="915">
        <v>43001</v>
      </c>
      <c r="AJ46" s="915">
        <v>2010</v>
      </c>
      <c r="AK46" s="915">
        <v>0</v>
      </c>
      <c r="AL46" s="915">
        <v>0</v>
      </c>
      <c r="AO46" s="955"/>
      <c r="AP46" s="955"/>
      <c r="AQ46" s="915" t="str">
        <f t="shared" si="0"/>
        <v>VO04268843</v>
      </c>
      <c r="AS46" s="915" t="str">
        <f t="shared" si="1"/>
        <v>wci_corp</v>
      </c>
    </row>
    <row r="47" spans="2:45">
      <c r="B47" s="915" t="s">
        <v>1612</v>
      </c>
      <c r="C47" s="952">
        <v>42855</v>
      </c>
      <c r="D47" s="953">
        <v>950</v>
      </c>
      <c r="E47" s="953">
        <v>0</v>
      </c>
      <c r="F47" s="954" t="s">
        <v>1613</v>
      </c>
      <c r="G47" s="915" t="s">
        <v>1691</v>
      </c>
      <c r="H47" s="955" t="s">
        <v>1615</v>
      </c>
      <c r="I47" s="915" t="s">
        <v>1671</v>
      </c>
      <c r="J47" s="915" t="s">
        <v>1672</v>
      </c>
      <c r="K47" s="915" t="s">
        <v>1630</v>
      </c>
      <c r="L47" s="919"/>
      <c r="M47" s="919"/>
      <c r="N47" s="919" t="s">
        <v>1692</v>
      </c>
      <c r="O47" s="940"/>
      <c r="P47" s="919"/>
      <c r="Q47" s="956"/>
      <c r="U47" s="915" t="s">
        <v>1691</v>
      </c>
      <c r="X47" s="952">
        <v>42859</v>
      </c>
      <c r="Y47" s="952">
        <v>42859</v>
      </c>
      <c r="AA47" s="952"/>
      <c r="AB47" s="915" t="s">
        <v>1626</v>
      </c>
      <c r="AC47" s="915">
        <v>0</v>
      </c>
      <c r="AD47" s="915">
        <v>0</v>
      </c>
      <c r="AE47" s="915">
        <v>0</v>
      </c>
      <c r="AF47" s="915">
        <v>0</v>
      </c>
      <c r="AG47" s="915">
        <v>0</v>
      </c>
      <c r="AH47" s="915">
        <v>1</v>
      </c>
      <c r="AI47" s="915">
        <v>43001</v>
      </c>
      <c r="AJ47" s="915">
        <v>2010</v>
      </c>
      <c r="AK47" s="915">
        <v>0</v>
      </c>
      <c r="AL47" s="915">
        <v>0</v>
      </c>
      <c r="AO47" s="955"/>
      <c r="AP47" s="955"/>
      <c r="AQ47" s="915" t="str">
        <f t="shared" si="0"/>
        <v/>
      </c>
      <c r="AS47" s="915" t="str">
        <f t="shared" si="1"/>
        <v>wci_wa</v>
      </c>
    </row>
    <row r="48" spans="2:45">
      <c r="B48" s="915" t="s">
        <v>1612</v>
      </c>
      <c r="C48" s="952">
        <v>42855</v>
      </c>
      <c r="D48" s="953">
        <v>397.97</v>
      </c>
      <c r="E48" s="953">
        <v>0</v>
      </c>
      <c r="F48" s="954" t="s">
        <v>1613</v>
      </c>
      <c r="G48" s="915" t="s">
        <v>1691</v>
      </c>
      <c r="H48" s="955" t="s">
        <v>1615</v>
      </c>
      <c r="I48" s="915" t="s">
        <v>1671</v>
      </c>
      <c r="J48" s="915" t="s">
        <v>1672</v>
      </c>
      <c r="K48" s="915" t="s">
        <v>1630</v>
      </c>
      <c r="L48" s="919"/>
      <c r="M48" s="919"/>
      <c r="N48" s="919" t="s">
        <v>1693</v>
      </c>
      <c r="O48" s="940"/>
      <c r="P48" s="919"/>
      <c r="Q48" s="956"/>
      <c r="U48" s="915" t="s">
        <v>1691</v>
      </c>
      <c r="X48" s="952">
        <v>42859</v>
      </c>
      <c r="Y48" s="952">
        <v>42859</v>
      </c>
      <c r="AA48" s="952"/>
      <c r="AB48" s="915" t="s">
        <v>1626</v>
      </c>
      <c r="AC48" s="915">
        <v>0</v>
      </c>
      <c r="AD48" s="915">
        <v>0</v>
      </c>
      <c r="AE48" s="915">
        <v>0</v>
      </c>
      <c r="AF48" s="915">
        <v>0</v>
      </c>
      <c r="AG48" s="915">
        <v>0</v>
      </c>
      <c r="AH48" s="915">
        <v>1</v>
      </c>
      <c r="AI48" s="915">
        <v>43001</v>
      </c>
      <c r="AJ48" s="915">
        <v>2010</v>
      </c>
      <c r="AK48" s="915">
        <v>0</v>
      </c>
      <c r="AL48" s="915">
        <v>0</v>
      </c>
      <c r="AO48" s="955"/>
      <c r="AP48" s="955"/>
      <c r="AQ48" s="915" t="str">
        <f t="shared" si="0"/>
        <v/>
      </c>
      <c r="AS48" s="915" t="str">
        <f t="shared" si="1"/>
        <v>wci_wa</v>
      </c>
    </row>
    <row r="49" spans="2:45">
      <c r="B49" s="915" t="s">
        <v>1612</v>
      </c>
      <c r="C49" s="952">
        <v>42855</v>
      </c>
      <c r="D49" s="953">
        <v>81357.429999999993</v>
      </c>
      <c r="E49" s="953">
        <v>0</v>
      </c>
      <c r="F49" s="954" t="s">
        <v>1613</v>
      </c>
      <c r="G49" s="915" t="s">
        <v>1694</v>
      </c>
      <c r="H49" s="955" t="s">
        <v>1615</v>
      </c>
      <c r="I49" s="915" t="s">
        <v>1633</v>
      </c>
      <c r="J49" s="915" t="s">
        <v>1672</v>
      </c>
      <c r="K49" s="915" t="s">
        <v>1630</v>
      </c>
      <c r="L49" s="919"/>
      <c r="M49" s="919"/>
      <c r="N49" s="919" t="s">
        <v>1634</v>
      </c>
      <c r="O49" s="940"/>
      <c r="P49" s="919"/>
      <c r="Q49" s="956"/>
      <c r="U49" s="915" t="s">
        <v>1694</v>
      </c>
      <c r="X49" s="952">
        <v>42859</v>
      </c>
      <c r="Y49" s="952">
        <v>42859</v>
      </c>
      <c r="AA49" s="952"/>
      <c r="AB49" s="915" t="s">
        <v>1626</v>
      </c>
      <c r="AC49" s="915">
        <v>0</v>
      </c>
      <c r="AD49" s="915">
        <v>0</v>
      </c>
      <c r="AE49" s="915">
        <v>0</v>
      </c>
      <c r="AF49" s="915">
        <v>0</v>
      </c>
      <c r="AG49" s="915">
        <v>0</v>
      </c>
      <c r="AH49" s="915">
        <v>1</v>
      </c>
      <c r="AI49" s="915">
        <v>43001</v>
      </c>
      <c r="AJ49" s="915">
        <v>2010</v>
      </c>
      <c r="AK49" s="915">
        <v>0</v>
      </c>
      <c r="AL49" s="915">
        <v>0</v>
      </c>
      <c r="AO49" s="955"/>
      <c r="AP49" s="955"/>
      <c r="AQ49" s="915" t="str">
        <f t="shared" si="0"/>
        <v/>
      </c>
      <c r="AS49" s="915" t="str">
        <f t="shared" si="1"/>
        <v>wci_wa</v>
      </c>
    </row>
    <row r="50" spans="2:45">
      <c r="B50" s="915" t="s">
        <v>1612</v>
      </c>
      <c r="C50" s="952">
        <v>42855</v>
      </c>
      <c r="D50" s="953">
        <v>-162.25</v>
      </c>
      <c r="E50" s="953">
        <v>0</v>
      </c>
      <c r="F50" s="954" t="s">
        <v>1613</v>
      </c>
      <c r="G50" s="915" t="s">
        <v>1694</v>
      </c>
      <c r="H50" s="955" t="s">
        <v>1615</v>
      </c>
      <c r="I50" s="915" t="s">
        <v>1633</v>
      </c>
      <c r="J50" s="915" t="s">
        <v>1672</v>
      </c>
      <c r="K50" s="915" t="s">
        <v>1630</v>
      </c>
      <c r="L50" s="919"/>
      <c r="M50" s="919"/>
      <c r="N50" s="919" t="s">
        <v>1652</v>
      </c>
      <c r="O50" s="940"/>
      <c r="P50" s="919"/>
      <c r="Q50" s="956"/>
      <c r="U50" s="915" t="s">
        <v>1694</v>
      </c>
      <c r="X50" s="952">
        <v>42859</v>
      </c>
      <c r="Y50" s="952">
        <v>42859</v>
      </c>
      <c r="AA50" s="952"/>
      <c r="AB50" s="915" t="s">
        <v>1626</v>
      </c>
      <c r="AC50" s="915">
        <v>0</v>
      </c>
      <c r="AD50" s="915">
        <v>0</v>
      </c>
      <c r="AE50" s="915">
        <v>0</v>
      </c>
      <c r="AF50" s="915">
        <v>0</v>
      </c>
      <c r="AG50" s="915">
        <v>0</v>
      </c>
      <c r="AH50" s="915">
        <v>1</v>
      </c>
      <c r="AI50" s="915">
        <v>43001</v>
      </c>
      <c r="AJ50" s="915">
        <v>2010</v>
      </c>
      <c r="AK50" s="915">
        <v>0</v>
      </c>
      <c r="AL50" s="915">
        <v>0</v>
      </c>
      <c r="AO50" s="955"/>
      <c r="AP50" s="955"/>
      <c r="AQ50" s="915" t="str">
        <f t="shared" si="0"/>
        <v/>
      </c>
      <c r="AS50" s="915" t="str">
        <f t="shared" si="1"/>
        <v>wci_wa</v>
      </c>
    </row>
    <row r="51" spans="2:45">
      <c r="B51" s="915" t="s">
        <v>1612</v>
      </c>
      <c r="C51" s="952">
        <v>42874</v>
      </c>
      <c r="D51" s="953">
        <v>495.25</v>
      </c>
      <c r="E51" s="953">
        <v>0</v>
      </c>
      <c r="F51" s="954" t="s">
        <v>1613</v>
      </c>
      <c r="G51" s="915" t="s">
        <v>1695</v>
      </c>
      <c r="H51" s="955" t="s">
        <v>1615</v>
      </c>
      <c r="I51" s="915" t="s">
        <v>1616</v>
      </c>
      <c r="J51" s="915" t="s">
        <v>1617</v>
      </c>
      <c r="K51" s="915" t="s">
        <v>1618</v>
      </c>
      <c r="L51" s="919" t="s">
        <v>1619</v>
      </c>
      <c r="M51" s="919" t="s">
        <v>1620</v>
      </c>
      <c r="N51" s="919" t="s">
        <v>1621</v>
      </c>
      <c r="O51" s="940">
        <v>42874</v>
      </c>
      <c r="P51" s="919" t="s">
        <v>1696</v>
      </c>
      <c r="Q51" s="956">
        <v>91268</v>
      </c>
      <c r="R51" s="915" t="s">
        <v>1697</v>
      </c>
      <c r="U51" s="915" t="s">
        <v>1698</v>
      </c>
      <c r="V51" s="915" t="s">
        <v>1699</v>
      </c>
      <c r="W51" s="915">
        <v>1010</v>
      </c>
      <c r="X51" s="952">
        <v>42874</v>
      </c>
      <c r="Y51" s="952">
        <v>42877</v>
      </c>
      <c r="Z51" s="915">
        <v>263007</v>
      </c>
      <c r="AA51" s="952">
        <v>42875</v>
      </c>
      <c r="AB51" s="915" t="s">
        <v>1626</v>
      </c>
      <c r="AC51" s="915">
        <v>0</v>
      </c>
      <c r="AD51" s="915">
        <v>0</v>
      </c>
      <c r="AE51" s="915">
        <v>0</v>
      </c>
      <c r="AF51" s="915">
        <v>0</v>
      </c>
      <c r="AG51" s="915">
        <v>0</v>
      </c>
      <c r="AH51" s="915">
        <v>1</v>
      </c>
      <c r="AI51" s="915">
        <v>43001</v>
      </c>
      <c r="AJ51" s="915">
        <v>2010</v>
      </c>
      <c r="AK51" s="915">
        <v>0</v>
      </c>
      <c r="AL51" s="915">
        <v>0</v>
      </c>
      <c r="AO51" s="955"/>
      <c r="AP51" s="955"/>
      <c r="AQ51" s="915" t="str">
        <f t="shared" si="0"/>
        <v>VO04296722</v>
      </c>
      <c r="AS51" s="915" t="str">
        <f t="shared" si="1"/>
        <v>wci_corp</v>
      </c>
    </row>
    <row r="52" spans="2:45">
      <c r="B52" s="915" t="s">
        <v>1612</v>
      </c>
      <c r="C52" s="952">
        <v>42886</v>
      </c>
      <c r="D52" s="953">
        <v>185.92</v>
      </c>
      <c r="E52" s="953">
        <v>0</v>
      </c>
      <c r="F52" s="954" t="s">
        <v>1613</v>
      </c>
      <c r="G52" s="915" t="s">
        <v>1700</v>
      </c>
      <c r="H52" s="955" t="s">
        <v>1615</v>
      </c>
      <c r="I52" s="915" t="s">
        <v>1628</v>
      </c>
      <c r="J52" s="915" t="s">
        <v>1672</v>
      </c>
      <c r="K52" s="915" t="s">
        <v>1630</v>
      </c>
      <c r="L52" s="919"/>
      <c r="M52" s="919"/>
      <c r="N52" s="919" t="s">
        <v>1644</v>
      </c>
      <c r="O52" s="940"/>
      <c r="P52" s="919"/>
      <c r="Q52" s="956"/>
      <c r="U52" s="915" t="s">
        <v>1700</v>
      </c>
      <c r="X52" s="952">
        <v>42892</v>
      </c>
      <c r="Y52" s="952">
        <v>42892</v>
      </c>
      <c r="AA52" s="952"/>
      <c r="AB52" s="915" t="s">
        <v>1626</v>
      </c>
      <c r="AC52" s="915">
        <v>0</v>
      </c>
      <c r="AD52" s="915">
        <v>0</v>
      </c>
      <c r="AE52" s="915">
        <v>0</v>
      </c>
      <c r="AF52" s="915">
        <v>0</v>
      </c>
      <c r="AG52" s="915">
        <v>0</v>
      </c>
      <c r="AH52" s="915">
        <v>1</v>
      </c>
      <c r="AI52" s="915">
        <v>43001</v>
      </c>
      <c r="AJ52" s="915">
        <v>2010</v>
      </c>
      <c r="AK52" s="915">
        <v>0</v>
      </c>
      <c r="AL52" s="915">
        <v>0</v>
      </c>
      <c r="AO52" s="955"/>
      <c r="AP52" s="955"/>
      <c r="AQ52" s="915" t="str">
        <f t="shared" si="0"/>
        <v/>
      </c>
      <c r="AS52" s="915" t="str">
        <f t="shared" si="1"/>
        <v>wci_wa</v>
      </c>
    </row>
    <row r="53" spans="2:45">
      <c r="B53" s="915" t="s">
        <v>1612</v>
      </c>
      <c r="C53" s="952">
        <v>42886</v>
      </c>
      <c r="D53" s="953">
        <v>160.47999999999999</v>
      </c>
      <c r="E53" s="953">
        <v>0</v>
      </c>
      <c r="F53" s="954" t="s">
        <v>1613</v>
      </c>
      <c r="G53" s="915" t="s">
        <v>1700</v>
      </c>
      <c r="H53" s="955" t="s">
        <v>1615</v>
      </c>
      <c r="I53" s="915" t="s">
        <v>1628</v>
      </c>
      <c r="J53" s="915" t="s">
        <v>1672</v>
      </c>
      <c r="K53" s="915" t="s">
        <v>1630</v>
      </c>
      <c r="L53" s="919"/>
      <c r="M53" s="919"/>
      <c r="N53" s="919" t="s">
        <v>1631</v>
      </c>
      <c r="O53" s="940"/>
      <c r="P53" s="919"/>
      <c r="Q53" s="956"/>
      <c r="U53" s="915" t="s">
        <v>1700</v>
      </c>
      <c r="X53" s="952">
        <v>42892</v>
      </c>
      <c r="Y53" s="952">
        <v>42892</v>
      </c>
      <c r="AA53" s="952"/>
      <c r="AB53" s="915" t="s">
        <v>1626</v>
      </c>
      <c r="AC53" s="915">
        <v>0</v>
      </c>
      <c r="AD53" s="915">
        <v>0</v>
      </c>
      <c r="AE53" s="915">
        <v>0</v>
      </c>
      <c r="AF53" s="915">
        <v>0</v>
      </c>
      <c r="AG53" s="915">
        <v>0</v>
      </c>
      <c r="AH53" s="915">
        <v>1</v>
      </c>
      <c r="AI53" s="915">
        <v>43001</v>
      </c>
      <c r="AJ53" s="915">
        <v>2010</v>
      </c>
      <c r="AK53" s="915">
        <v>0</v>
      </c>
      <c r="AL53" s="915">
        <v>0</v>
      </c>
      <c r="AO53" s="955"/>
      <c r="AP53" s="955"/>
      <c r="AQ53" s="915" t="str">
        <f t="shared" si="0"/>
        <v/>
      </c>
      <c r="AS53" s="915" t="str">
        <f t="shared" si="1"/>
        <v>wci_wa</v>
      </c>
    </row>
    <row r="54" spans="2:45">
      <c r="B54" s="915" t="s">
        <v>1612</v>
      </c>
      <c r="C54" s="952">
        <v>42886</v>
      </c>
      <c r="D54" s="953">
        <v>-1131.98</v>
      </c>
      <c r="E54" s="953">
        <v>0</v>
      </c>
      <c r="F54" s="954" t="s">
        <v>1613</v>
      </c>
      <c r="G54" s="915" t="s">
        <v>1700</v>
      </c>
      <c r="H54" s="955" t="s">
        <v>1615</v>
      </c>
      <c r="I54" s="915" t="s">
        <v>1628</v>
      </c>
      <c r="J54" s="915" t="s">
        <v>1672</v>
      </c>
      <c r="K54" s="915" t="s">
        <v>1630</v>
      </c>
      <c r="L54" s="919"/>
      <c r="M54" s="919"/>
      <c r="N54" s="919" t="s">
        <v>1682</v>
      </c>
      <c r="O54" s="940"/>
      <c r="P54" s="919"/>
      <c r="Q54" s="956"/>
      <c r="U54" s="915" t="s">
        <v>1700</v>
      </c>
      <c r="X54" s="952">
        <v>42892</v>
      </c>
      <c r="Y54" s="952">
        <v>42892</v>
      </c>
      <c r="AA54" s="952"/>
      <c r="AB54" s="915" t="s">
        <v>1626</v>
      </c>
      <c r="AC54" s="915">
        <v>0</v>
      </c>
      <c r="AD54" s="915">
        <v>0</v>
      </c>
      <c r="AE54" s="915">
        <v>0</v>
      </c>
      <c r="AF54" s="915">
        <v>0</v>
      </c>
      <c r="AG54" s="915">
        <v>0</v>
      </c>
      <c r="AH54" s="915">
        <v>1</v>
      </c>
      <c r="AI54" s="915">
        <v>43001</v>
      </c>
      <c r="AJ54" s="915">
        <v>2010</v>
      </c>
      <c r="AK54" s="915">
        <v>0</v>
      </c>
      <c r="AL54" s="915">
        <v>0</v>
      </c>
      <c r="AO54" s="955"/>
      <c r="AP54" s="955"/>
      <c r="AQ54" s="915" t="str">
        <f t="shared" si="0"/>
        <v/>
      </c>
      <c r="AS54" s="915" t="str">
        <f t="shared" si="1"/>
        <v>wci_wa</v>
      </c>
    </row>
    <row r="55" spans="2:45">
      <c r="B55" s="915" t="s">
        <v>1612</v>
      </c>
      <c r="C55" s="952">
        <v>42886</v>
      </c>
      <c r="D55" s="953">
        <v>84993.94</v>
      </c>
      <c r="E55" s="953">
        <v>0</v>
      </c>
      <c r="F55" s="954" t="s">
        <v>1613</v>
      </c>
      <c r="G55" s="915" t="s">
        <v>1701</v>
      </c>
      <c r="H55" s="955" t="s">
        <v>1615</v>
      </c>
      <c r="I55" s="915" t="s">
        <v>1633</v>
      </c>
      <c r="J55" s="915" t="s">
        <v>1672</v>
      </c>
      <c r="K55" s="915" t="s">
        <v>1630</v>
      </c>
      <c r="L55" s="919"/>
      <c r="M55" s="919"/>
      <c r="N55" s="919" t="s">
        <v>1634</v>
      </c>
      <c r="O55" s="940"/>
      <c r="P55" s="919"/>
      <c r="Q55" s="956"/>
      <c r="U55" s="915" t="s">
        <v>1701</v>
      </c>
      <c r="X55" s="952">
        <v>42892</v>
      </c>
      <c r="Y55" s="952">
        <v>42892</v>
      </c>
      <c r="AA55" s="952"/>
      <c r="AB55" s="915" t="s">
        <v>1626</v>
      </c>
      <c r="AC55" s="915">
        <v>0</v>
      </c>
      <c r="AD55" s="915">
        <v>0</v>
      </c>
      <c r="AE55" s="915">
        <v>0</v>
      </c>
      <c r="AF55" s="915">
        <v>0</v>
      </c>
      <c r="AG55" s="915">
        <v>0</v>
      </c>
      <c r="AH55" s="915">
        <v>1</v>
      </c>
      <c r="AI55" s="915">
        <v>43001</v>
      </c>
      <c r="AJ55" s="915">
        <v>2010</v>
      </c>
      <c r="AK55" s="915">
        <v>0</v>
      </c>
      <c r="AL55" s="915">
        <v>0</v>
      </c>
      <c r="AO55" s="955"/>
      <c r="AP55" s="955"/>
      <c r="AQ55" s="915" t="str">
        <f t="shared" si="0"/>
        <v/>
      </c>
      <c r="AS55" s="915" t="str">
        <f t="shared" si="1"/>
        <v>wci_wa</v>
      </c>
    </row>
    <row r="56" spans="2:45">
      <c r="B56" s="915" t="s">
        <v>1612</v>
      </c>
      <c r="C56" s="952">
        <v>42886</v>
      </c>
      <c r="D56" s="953">
        <v>-21.23</v>
      </c>
      <c r="E56" s="953">
        <v>0</v>
      </c>
      <c r="F56" s="954" t="s">
        <v>1613</v>
      </c>
      <c r="G56" s="915" t="s">
        <v>1701</v>
      </c>
      <c r="H56" s="955" t="s">
        <v>1615</v>
      </c>
      <c r="I56" s="915" t="s">
        <v>1633</v>
      </c>
      <c r="J56" s="915" t="s">
        <v>1672</v>
      </c>
      <c r="K56" s="915" t="s">
        <v>1630</v>
      </c>
      <c r="L56" s="919"/>
      <c r="M56" s="919"/>
      <c r="N56" s="919" t="s">
        <v>1652</v>
      </c>
      <c r="O56" s="940"/>
      <c r="P56" s="919"/>
      <c r="Q56" s="956"/>
      <c r="U56" s="915" t="s">
        <v>1701</v>
      </c>
      <c r="X56" s="952">
        <v>42892</v>
      </c>
      <c r="Y56" s="952">
        <v>42892</v>
      </c>
      <c r="AA56" s="952"/>
      <c r="AB56" s="915" t="s">
        <v>1626</v>
      </c>
      <c r="AC56" s="915">
        <v>0</v>
      </c>
      <c r="AD56" s="915">
        <v>0</v>
      </c>
      <c r="AE56" s="915">
        <v>0</v>
      </c>
      <c r="AF56" s="915">
        <v>0</v>
      </c>
      <c r="AG56" s="915">
        <v>0</v>
      </c>
      <c r="AH56" s="915">
        <v>1</v>
      </c>
      <c r="AI56" s="915">
        <v>43001</v>
      </c>
      <c r="AJ56" s="915">
        <v>2010</v>
      </c>
      <c r="AK56" s="915">
        <v>0</v>
      </c>
      <c r="AL56" s="915">
        <v>0</v>
      </c>
      <c r="AO56" s="955"/>
      <c r="AP56" s="955"/>
      <c r="AQ56" s="915" t="str">
        <f t="shared" si="0"/>
        <v/>
      </c>
      <c r="AS56" s="915" t="str">
        <f t="shared" si="1"/>
        <v>wci_wa</v>
      </c>
    </row>
    <row r="57" spans="2:45">
      <c r="B57" s="915" t="s">
        <v>1612</v>
      </c>
      <c r="C57" s="952">
        <v>42886</v>
      </c>
      <c r="D57" s="953">
        <v>950</v>
      </c>
      <c r="E57" s="953">
        <v>0</v>
      </c>
      <c r="F57" s="954" t="s">
        <v>1613</v>
      </c>
      <c r="G57" s="915" t="s">
        <v>1702</v>
      </c>
      <c r="H57" s="955" t="s">
        <v>1615</v>
      </c>
      <c r="I57" s="915" t="s">
        <v>1671</v>
      </c>
      <c r="J57" s="915" t="s">
        <v>1672</v>
      </c>
      <c r="K57" s="915" t="s">
        <v>1630</v>
      </c>
      <c r="L57" s="919"/>
      <c r="M57" s="919"/>
      <c r="N57" s="919" t="s">
        <v>1692</v>
      </c>
      <c r="O57" s="940"/>
      <c r="P57" s="919"/>
      <c r="Q57" s="956"/>
      <c r="U57" s="915" t="s">
        <v>1702</v>
      </c>
      <c r="X57" s="952">
        <v>42892</v>
      </c>
      <c r="Y57" s="952">
        <v>42892</v>
      </c>
      <c r="AA57" s="952"/>
      <c r="AB57" s="915" t="s">
        <v>1626</v>
      </c>
      <c r="AC57" s="915">
        <v>0</v>
      </c>
      <c r="AD57" s="915">
        <v>0</v>
      </c>
      <c r="AE57" s="915">
        <v>0</v>
      </c>
      <c r="AF57" s="915">
        <v>0</v>
      </c>
      <c r="AG57" s="915">
        <v>0</v>
      </c>
      <c r="AH57" s="915">
        <v>1</v>
      </c>
      <c r="AI57" s="915">
        <v>43001</v>
      </c>
      <c r="AJ57" s="915">
        <v>2010</v>
      </c>
      <c r="AK57" s="915">
        <v>0</v>
      </c>
      <c r="AL57" s="915">
        <v>0</v>
      </c>
      <c r="AO57" s="955"/>
      <c r="AP57" s="955"/>
      <c r="AQ57" s="915" t="str">
        <f t="shared" si="0"/>
        <v/>
      </c>
      <c r="AS57" s="915" t="str">
        <f t="shared" si="1"/>
        <v>wci_wa</v>
      </c>
    </row>
    <row r="58" spans="2:45">
      <c r="B58" s="915" t="s">
        <v>1612</v>
      </c>
      <c r="C58" s="952">
        <v>42907</v>
      </c>
      <c r="D58" s="953">
        <v>540.16999999999996</v>
      </c>
      <c r="E58" s="953">
        <v>0</v>
      </c>
      <c r="F58" s="954" t="s">
        <v>1613</v>
      </c>
      <c r="G58" s="915" t="s">
        <v>1703</v>
      </c>
      <c r="H58" s="955" t="s">
        <v>1615</v>
      </c>
      <c r="I58" s="915" t="s">
        <v>1616</v>
      </c>
      <c r="J58" s="915" t="s">
        <v>1617</v>
      </c>
      <c r="K58" s="915" t="s">
        <v>1618</v>
      </c>
      <c r="L58" s="919" t="s">
        <v>1619</v>
      </c>
      <c r="M58" s="919" t="s">
        <v>1620</v>
      </c>
      <c r="N58" s="919" t="s">
        <v>1621</v>
      </c>
      <c r="O58" s="940">
        <v>42907</v>
      </c>
      <c r="P58" s="919" t="s">
        <v>1704</v>
      </c>
      <c r="Q58" s="956">
        <v>10606</v>
      </c>
      <c r="R58" s="915" t="s">
        <v>1705</v>
      </c>
      <c r="U58" s="915" t="s">
        <v>1706</v>
      </c>
      <c r="V58" s="915" t="s">
        <v>1707</v>
      </c>
      <c r="W58" s="915">
        <v>1010</v>
      </c>
      <c r="X58" s="952">
        <v>42907</v>
      </c>
      <c r="Y58" s="952">
        <v>42907</v>
      </c>
      <c r="Z58" s="915">
        <v>264685</v>
      </c>
      <c r="AA58" s="952">
        <v>42908</v>
      </c>
      <c r="AB58" s="915" t="s">
        <v>1626</v>
      </c>
      <c r="AC58" s="915">
        <v>0</v>
      </c>
      <c r="AD58" s="915">
        <v>0</v>
      </c>
      <c r="AE58" s="915">
        <v>0</v>
      </c>
      <c r="AF58" s="915">
        <v>0</v>
      </c>
      <c r="AG58" s="915">
        <v>0</v>
      </c>
      <c r="AH58" s="915">
        <v>1</v>
      </c>
      <c r="AI58" s="915">
        <v>43001</v>
      </c>
      <c r="AJ58" s="915">
        <v>2010</v>
      </c>
      <c r="AK58" s="915">
        <v>0</v>
      </c>
      <c r="AL58" s="915">
        <v>0</v>
      </c>
      <c r="AO58" s="955"/>
      <c r="AP58" s="955"/>
      <c r="AQ58" s="915" t="str">
        <f t="shared" si="0"/>
        <v>VO04326155</v>
      </c>
      <c r="AS58" s="915" t="str">
        <f t="shared" si="1"/>
        <v>wci_corp</v>
      </c>
    </row>
    <row r="59" spans="2:45">
      <c r="B59" s="915" t="s">
        <v>1612</v>
      </c>
      <c r="C59" s="952">
        <v>42916</v>
      </c>
      <c r="D59" s="953">
        <v>-284.62</v>
      </c>
      <c r="E59" s="953">
        <v>0</v>
      </c>
      <c r="F59" s="954" t="s">
        <v>1613</v>
      </c>
      <c r="G59" s="915" t="s">
        <v>1708</v>
      </c>
      <c r="H59" s="955" t="s">
        <v>1615</v>
      </c>
      <c r="I59" s="915" t="s">
        <v>1628</v>
      </c>
      <c r="J59" s="915" t="s">
        <v>1672</v>
      </c>
      <c r="K59" s="915" t="s">
        <v>1630</v>
      </c>
      <c r="L59" s="919"/>
      <c r="M59" s="919"/>
      <c r="N59" s="919" t="s">
        <v>1644</v>
      </c>
      <c r="O59" s="940"/>
      <c r="P59" s="919"/>
      <c r="Q59" s="956"/>
      <c r="U59" s="915" t="s">
        <v>1708</v>
      </c>
      <c r="X59" s="952">
        <v>42926</v>
      </c>
      <c r="Y59" s="952">
        <v>42926</v>
      </c>
      <c r="AA59" s="952"/>
      <c r="AB59" s="915" t="s">
        <v>1626</v>
      </c>
      <c r="AC59" s="915">
        <v>0</v>
      </c>
      <c r="AD59" s="915">
        <v>0</v>
      </c>
      <c r="AE59" s="915">
        <v>0</v>
      </c>
      <c r="AF59" s="915">
        <v>0</v>
      </c>
      <c r="AG59" s="915">
        <v>0</v>
      </c>
      <c r="AH59" s="915">
        <v>1</v>
      </c>
      <c r="AI59" s="915">
        <v>43001</v>
      </c>
      <c r="AJ59" s="915">
        <v>2010</v>
      </c>
      <c r="AK59" s="915">
        <v>0</v>
      </c>
      <c r="AL59" s="915">
        <v>0</v>
      </c>
      <c r="AO59" s="955"/>
      <c r="AP59" s="955"/>
      <c r="AQ59" s="915" t="str">
        <f t="shared" si="0"/>
        <v/>
      </c>
      <c r="AS59" s="915" t="str">
        <f t="shared" si="1"/>
        <v>wci_wa</v>
      </c>
    </row>
    <row r="60" spans="2:45">
      <c r="B60" s="915" t="s">
        <v>1612</v>
      </c>
      <c r="C60" s="952">
        <v>42916</v>
      </c>
      <c r="D60" s="953">
        <v>49.77</v>
      </c>
      <c r="E60" s="953">
        <v>0</v>
      </c>
      <c r="F60" s="954" t="s">
        <v>1613</v>
      </c>
      <c r="G60" s="915" t="s">
        <v>1708</v>
      </c>
      <c r="H60" s="955" t="s">
        <v>1615</v>
      </c>
      <c r="I60" s="915" t="s">
        <v>1628</v>
      </c>
      <c r="J60" s="915" t="s">
        <v>1672</v>
      </c>
      <c r="K60" s="915" t="s">
        <v>1630</v>
      </c>
      <c r="L60" s="919"/>
      <c r="M60" s="919"/>
      <c r="N60" s="919" t="s">
        <v>1631</v>
      </c>
      <c r="O60" s="940"/>
      <c r="P60" s="919"/>
      <c r="Q60" s="956"/>
      <c r="U60" s="915" t="s">
        <v>1708</v>
      </c>
      <c r="X60" s="952">
        <v>42926</v>
      </c>
      <c r="Y60" s="952">
        <v>42926</v>
      </c>
      <c r="AA60" s="952"/>
      <c r="AB60" s="915" t="s">
        <v>1626</v>
      </c>
      <c r="AC60" s="915">
        <v>0</v>
      </c>
      <c r="AD60" s="915">
        <v>0</v>
      </c>
      <c r="AE60" s="915">
        <v>0</v>
      </c>
      <c r="AF60" s="915">
        <v>0</v>
      </c>
      <c r="AG60" s="915">
        <v>0</v>
      </c>
      <c r="AH60" s="915">
        <v>1</v>
      </c>
      <c r="AI60" s="915">
        <v>43001</v>
      </c>
      <c r="AJ60" s="915">
        <v>2010</v>
      </c>
      <c r="AK60" s="915">
        <v>0</v>
      </c>
      <c r="AL60" s="915">
        <v>0</v>
      </c>
      <c r="AO60" s="955"/>
      <c r="AP60" s="955"/>
      <c r="AQ60" s="915" t="str">
        <f t="shared" si="0"/>
        <v/>
      </c>
      <c r="AS60" s="915" t="str">
        <f t="shared" si="1"/>
        <v>wci_wa</v>
      </c>
    </row>
    <row r="61" spans="2:45">
      <c r="B61" s="915" t="s">
        <v>1612</v>
      </c>
      <c r="C61" s="952">
        <v>42916</v>
      </c>
      <c r="D61" s="953">
        <v>-385.99</v>
      </c>
      <c r="E61" s="953">
        <v>0</v>
      </c>
      <c r="F61" s="954" t="s">
        <v>1613</v>
      </c>
      <c r="G61" s="915" t="s">
        <v>1708</v>
      </c>
      <c r="H61" s="955" t="s">
        <v>1615</v>
      </c>
      <c r="I61" s="915" t="s">
        <v>1628</v>
      </c>
      <c r="J61" s="915" t="s">
        <v>1672</v>
      </c>
      <c r="K61" s="915" t="s">
        <v>1630</v>
      </c>
      <c r="L61" s="919"/>
      <c r="M61" s="919"/>
      <c r="N61" s="919" t="s">
        <v>1682</v>
      </c>
      <c r="O61" s="940"/>
      <c r="P61" s="919"/>
      <c r="Q61" s="956"/>
      <c r="U61" s="915" t="s">
        <v>1708</v>
      </c>
      <c r="X61" s="952">
        <v>42926</v>
      </c>
      <c r="Y61" s="952">
        <v>42926</v>
      </c>
      <c r="AA61" s="952"/>
      <c r="AB61" s="915" t="s">
        <v>1626</v>
      </c>
      <c r="AC61" s="915">
        <v>0</v>
      </c>
      <c r="AD61" s="915">
        <v>0</v>
      </c>
      <c r="AE61" s="915">
        <v>0</v>
      </c>
      <c r="AF61" s="915">
        <v>0</v>
      </c>
      <c r="AG61" s="915">
        <v>0</v>
      </c>
      <c r="AH61" s="915">
        <v>1</v>
      </c>
      <c r="AI61" s="915">
        <v>43001</v>
      </c>
      <c r="AJ61" s="915">
        <v>2010</v>
      </c>
      <c r="AK61" s="915">
        <v>0</v>
      </c>
      <c r="AL61" s="915">
        <v>0</v>
      </c>
      <c r="AO61" s="955"/>
      <c r="AP61" s="955"/>
      <c r="AQ61" s="915" t="str">
        <f t="shared" si="0"/>
        <v/>
      </c>
      <c r="AS61" s="915" t="str">
        <f t="shared" si="1"/>
        <v>wci_wa</v>
      </c>
    </row>
    <row r="62" spans="2:45">
      <c r="B62" s="915" t="s">
        <v>1612</v>
      </c>
      <c r="C62" s="952">
        <v>42916</v>
      </c>
      <c r="D62" s="953">
        <v>950</v>
      </c>
      <c r="E62" s="953">
        <v>0</v>
      </c>
      <c r="F62" s="954" t="s">
        <v>1613</v>
      </c>
      <c r="G62" s="915" t="s">
        <v>1709</v>
      </c>
      <c r="H62" s="955" t="s">
        <v>1615</v>
      </c>
      <c r="I62" s="915" t="s">
        <v>1671</v>
      </c>
      <c r="J62" s="915" t="s">
        <v>1672</v>
      </c>
      <c r="K62" s="915" t="s">
        <v>1630</v>
      </c>
      <c r="L62" s="919"/>
      <c r="M62" s="919"/>
      <c r="N62" s="919" t="s">
        <v>1692</v>
      </c>
      <c r="O62" s="940"/>
      <c r="P62" s="919"/>
      <c r="Q62" s="956"/>
      <c r="U62" s="915" t="s">
        <v>1709</v>
      </c>
      <c r="X62" s="952">
        <v>42926</v>
      </c>
      <c r="Y62" s="952">
        <v>42926</v>
      </c>
      <c r="AA62" s="952"/>
      <c r="AB62" s="915" t="s">
        <v>1626</v>
      </c>
      <c r="AC62" s="915">
        <v>0</v>
      </c>
      <c r="AD62" s="915">
        <v>0</v>
      </c>
      <c r="AE62" s="915">
        <v>0</v>
      </c>
      <c r="AF62" s="915">
        <v>0</v>
      </c>
      <c r="AG62" s="915">
        <v>0</v>
      </c>
      <c r="AH62" s="915">
        <v>1</v>
      </c>
      <c r="AI62" s="915">
        <v>43001</v>
      </c>
      <c r="AJ62" s="915">
        <v>2010</v>
      </c>
      <c r="AK62" s="915">
        <v>0</v>
      </c>
      <c r="AL62" s="915">
        <v>0</v>
      </c>
      <c r="AO62" s="955"/>
      <c r="AP62" s="955"/>
      <c r="AQ62" s="915" t="str">
        <f t="shared" si="0"/>
        <v/>
      </c>
      <c r="AS62" s="915" t="str">
        <f t="shared" si="1"/>
        <v>wci_wa</v>
      </c>
    </row>
    <row r="63" spans="2:45">
      <c r="B63" s="915" t="s">
        <v>1612</v>
      </c>
      <c r="C63" s="952">
        <v>42916</v>
      </c>
      <c r="D63" s="953">
        <v>86493.61</v>
      </c>
      <c r="E63" s="953">
        <v>0</v>
      </c>
      <c r="F63" s="954" t="s">
        <v>1613</v>
      </c>
      <c r="G63" s="915" t="s">
        <v>1710</v>
      </c>
      <c r="H63" s="955" t="s">
        <v>1615</v>
      </c>
      <c r="I63" s="915" t="s">
        <v>1633</v>
      </c>
      <c r="J63" s="915" t="s">
        <v>1672</v>
      </c>
      <c r="K63" s="915" t="s">
        <v>1630</v>
      </c>
      <c r="L63" s="919"/>
      <c r="M63" s="919"/>
      <c r="N63" s="919" t="s">
        <v>1634</v>
      </c>
      <c r="O63" s="940"/>
      <c r="P63" s="919"/>
      <c r="Q63" s="956"/>
      <c r="U63" s="915" t="s">
        <v>1710</v>
      </c>
      <c r="X63" s="952">
        <v>42926</v>
      </c>
      <c r="Y63" s="952">
        <v>42926</v>
      </c>
      <c r="AA63" s="952"/>
      <c r="AB63" s="915" t="s">
        <v>1626</v>
      </c>
      <c r="AC63" s="915">
        <v>0</v>
      </c>
      <c r="AD63" s="915">
        <v>0</v>
      </c>
      <c r="AE63" s="915">
        <v>0</v>
      </c>
      <c r="AF63" s="915">
        <v>0</v>
      </c>
      <c r="AG63" s="915">
        <v>0</v>
      </c>
      <c r="AH63" s="915">
        <v>1</v>
      </c>
      <c r="AI63" s="915">
        <v>43001</v>
      </c>
      <c r="AJ63" s="915">
        <v>2010</v>
      </c>
      <c r="AK63" s="915">
        <v>0</v>
      </c>
      <c r="AL63" s="915">
        <v>0</v>
      </c>
      <c r="AO63" s="955"/>
      <c r="AP63" s="955"/>
      <c r="AQ63" s="915" t="str">
        <f t="shared" si="0"/>
        <v/>
      </c>
      <c r="AS63" s="915" t="str">
        <f t="shared" si="1"/>
        <v>wci_wa</v>
      </c>
    </row>
    <row r="64" spans="2:45">
      <c r="B64" s="915" t="s">
        <v>1612</v>
      </c>
      <c r="C64" s="952">
        <v>42916</v>
      </c>
      <c r="D64" s="953">
        <v>-66.150000000000006</v>
      </c>
      <c r="E64" s="953">
        <v>0</v>
      </c>
      <c r="F64" s="954" t="s">
        <v>1613</v>
      </c>
      <c r="G64" s="915" t="s">
        <v>1710</v>
      </c>
      <c r="H64" s="955" t="s">
        <v>1615</v>
      </c>
      <c r="I64" s="915" t="s">
        <v>1633</v>
      </c>
      <c r="J64" s="915" t="s">
        <v>1672</v>
      </c>
      <c r="K64" s="915" t="s">
        <v>1630</v>
      </c>
      <c r="L64" s="919"/>
      <c r="M64" s="919"/>
      <c r="N64" s="919" t="s">
        <v>1652</v>
      </c>
      <c r="O64" s="940"/>
      <c r="P64" s="919"/>
      <c r="Q64" s="956"/>
      <c r="U64" s="915" t="s">
        <v>1710</v>
      </c>
      <c r="X64" s="952">
        <v>42926</v>
      </c>
      <c r="Y64" s="952">
        <v>42926</v>
      </c>
      <c r="AA64" s="952"/>
      <c r="AB64" s="915" t="s">
        <v>1626</v>
      </c>
      <c r="AC64" s="915">
        <v>0</v>
      </c>
      <c r="AD64" s="915">
        <v>0</v>
      </c>
      <c r="AE64" s="915">
        <v>0</v>
      </c>
      <c r="AF64" s="915">
        <v>0</v>
      </c>
      <c r="AG64" s="915">
        <v>0</v>
      </c>
      <c r="AH64" s="915">
        <v>1</v>
      </c>
      <c r="AI64" s="915">
        <v>43001</v>
      </c>
      <c r="AJ64" s="915">
        <v>2010</v>
      </c>
      <c r="AK64" s="915">
        <v>0</v>
      </c>
      <c r="AL64" s="915">
        <v>0</v>
      </c>
      <c r="AO64" s="955"/>
      <c r="AP64" s="955"/>
      <c r="AQ64" s="915" t="str">
        <f t="shared" si="0"/>
        <v/>
      </c>
      <c r="AS64" s="915" t="str">
        <f t="shared" si="1"/>
        <v>wci_wa</v>
      </c>
    </row>
    <row r="65" spans="2:45">
      <c r="B65" s="915" t="s">
        <v>1612</v>
      </c>
      <c r="C65" s="952">
        <v>42936</v>
      </c>
      <c r="D65" s="953">
        <v>811.83</v>
      </c>
      <c r="E65" s="953">
        <v>0</v>
      </c>
      <c r="F65" s="954" t="s">
        <v>1613</v>
      </c>
      <c r="G65" s="915" t="s">
        <v>1711</v>
      </c>
      <c r="H65" s="955" t="s">
        <v>1615</v>
      </c>
      <c r="I65" s="915" t="s">
        <v>1616</v>
      </c>
      <c r="J65" s="915" t="s">
        <v>1712</v>
      </c>
      <c r="K65" s="915" t="s">
        <v>1618</v>
      </c>
      <c r="L65" s="919" t="s">
        <v>1713</v>
      </c>
      <c r="M65" s="919"/>
      <c r="N65" s="919" t="s">
        <v>1714</v>
      </c>
      <c r="O65" s="940">
        <v>42935</v>
      </c>
      <c r="P65" s="919" t="s">
        <v>1715</v>
      </c>
      <c r="Q65" s="956">
        <v>90888</v>
      </c>
      <c r="R65" s="915" t="s">
        <v>1716</v>
      </c>
      <c r="U65" s="915" t="s">
        <v>1717</v>
      </c>
      <c r="V65" s="915" t="s">
        <v>1718</v>
      </c>
      <c r="W65" s="915">
        <v>1010</v>
      </c>
      <c r="X65" s="952">
        <v>42936</v>
      </c>
      <c r="Y65" s="952">
        <v>42937</v>
      </c>
      <c r="Z65" s="915">
        <v>811.83</v>
      </c>
      <c r="AA65" s="952">
        <v>42936</v>
      </c>
      <c r="AB65" s="915" t="s">
        <v>1626</v>
      </c>
      <c r="AC65" s="915">
        <v>0</v>
      </c>
      <c r="AD65" s="915">
        <v>0</v>
      </c>
      <c r="AE65" s="915">
        <v>0</v>
      </c>
      <c r="AF65" s="915">
        <v>0</v>
      </c>
      <c r="AG65" s="915">
        <v>0</v>
      </c>
      <c r="AH65" s="915">
        <v>1</v>
      </c>
      <c r="AI65" s="915">
        <v>43001</v>
      </c>
      <c r="AJ65" s="915">
        <v>2010</v>
      </c>
      <c r="AK65" s="915">
        <v>0</v>
      </c>
      <c r="AL65" s="915">
        <v>0</v>
      </c>
      <c r="AO65" s="955"/>
      <c r="AP65" s="955"/>
      <c r="AQ65" s="915" t="str">
        <f t="shared" si="0"/>
        <v>VO04353552</v>
      </c>
      <c r="AS65" s="915" t="str">
        <f t="shared" si="1"/>
        <v>wci_corp</v>
      </c>
    </row>
    <row r="66" spans="2:45">
      <c r="B66" s="915" t="s">
        <v>1612</v>
      </c>
      <c r="C66" s="952">
        <v>42936</v>
      </c>
      <c r="D66" s="953">
        <v>557.54999999999995</v>
      </c>
      <c r="E66" s="953">
        <v>0</v>
      </c>
      <c r="F66" s="954" t="s">
        <v>1613</v>
      </c>
      <c r="G66" s="915" t="s">
        <v>1719</v>
      </c>
      <c r="H66" s="955" t="s">
        <v>1615</v>
      </c>
      <c r="I66" s="915" t="s">
        <v>1616</v>
      </c>
      <c r="J66" s="915" t="s">
        <v>1712</v>
      </c>
      <c r="K66" s="915" t="s">
        <v>1618</v>
      </c>
      <c r="L66" s="919" t="s">
        <v>1619</v>
      </c>
      <c r="M66" s="919" t="s">
        <v>1620</v>
      </c>
      <c r="N66" s="919" t="s">
        <v>1621</v>
      </c>
      <c r="O66" s="940">
        <v>42936</v>
      </c>
      <c r="P66" s="919" t="s">
        <v>1720</v>
      </c>
      <c r="Q66" s="956">
        <v>325</v>
      </c>
      <c r="R66" s="915" t="s">
        <v>1721</v>
      </c>
      <c r="U66" s="915" t="s">
        <v>1722</v>
      </c>
      <c r="V66" s="915" t="s">
        <v>1723</v>
      </c>
      <c r="W66" s="915">
        <v>1010</v>
      </c>
      <c r="X66" s="952">
        <v>42936</v>
      </c>
      <c r="Y66" s="952">
        <v>42937</v>
      </c>
      <c r="Z66" s="915">
        <v>274103</v>
      </c>
      <c r="AA66" s="952">
        <v>42937</v>
      </c>
      <c r="AB66" s="915" t="s">
        <v>1626</v>
      </c>
      <c r="AC66" s="915">
        <v>0</v>
      </c>
      <c r="AD66" s="915">
        <v>0</v>
      </c>
      <c r="AE66" s="915">
        <v>0</v>
      </c>
      <c r="AF66" s="915">
        <v>0</v>
      </c>
      <c r="AG66" s="915">
        <v>0</v>
      </c>
      <c r="AH66" s="915">
        <v>1</v>
      </c>
      <c r="AI66" s="915">
        <v>43001</v>
      </c>
      <c r="AJ66" s="915">
        <v>2010</v>
      </c>
      <c r="AK66" s="915">
        <v>0</v>
      </c>
      <c r="AL66" s="915">
        <v>0</v>
      </c>
      <c r="AO66" s="955"/>
      <c r="AP66" s="955"/>
      <c r="AQ66" s="915" t="str">
        <f t="shared" si="0"/>
        <v>VO04353858</v>
      </c>
      <c r="AS66" s="915" t="str">
        <f t="shared" si="1"/>
        <v>wci_corp</v>
      </c>
    </row>
    <row r="67" spans="2:45">
      <c r="B67" s="915" t="s">
        <v>1612</v>
      </c>
      <c r="C67" s="952">
        <v>42947</v>
      </c>
      <c r="D67" s="953">
        <v>284.61</v>
      </c>
      <c r="E67" s="953">
        <v>0</v>
      </c>
      <c r="F67" s="954" t="s">
        <v>1613</v>
      </c>
      <c r="G67" s="915" t="s">
        <v>1724</v>
      </c>
      <c r="H67" s="955" t="s">
        <v>1615</v>
      </c>
      <c r="I67" s="915" t="s">
        <v>1628</v>
      </c>
      <c r="J67" s="915" t="s">
        <v>1672</v>
      </c>
      <c r="K67" s="915" t="s">
        <v>1630</v>
      </c>
      <c r="L67" s="919"/>
      <c r="M67" s="919"/>
      <c r="N67" s="919" t="s">
        <v>1644</v>
      </c>
      <c r="O67" s="940"/>
      <c r="P67" s="919"/>
      <c r="Q67" s="956"/>
      <c r="U67" s="915" t="s">
        <v>1724</v>
      </c>
      <c r="X67" s="952">
        <v>42949</v>
      </c>
      <c r="Y67" s="952">
        <v>42950</v>
      </c>
      <c r="AA67" s="952"/>
      <c r="AB67" s="915" t="s">
        <v>1626</v>
      </c>
      <c r="AC67" s="915">
        <v>0</v>
      </c>
      <c r="AD67" s="915">
        <v>0</v>
      </c>
      <c r="AE67" s="915">
        <v>0</v>
      </c>
      <c r="AF67" s="915">
        <v>0</v>
      </c>
      <c r="AG67" s="915">
        <v>0</v>
      </c>
      <c r="AH67" s="915">
        <v>1</v>
      </c>
      <c r="AI67" s="915">
        <v>43001</v>
      </c>
      <c r="AJ67" s="915">
        <v>2010</v>
      </c>
      <c r="AK67" s="915">
        <v>0</v>
      </c>
      <c r="AL67" s="915">
        <v>0</v>
      </c>
      <c r="AO67" s="955"/>
      <c r="AP67" s="955"/>
      <c r="AQ67" s="915" t="str">
        <f t="shared" si="0"/>
        <v/>
      </c>
      <c r="AS67" s="915" t="str">
        <f t="shared" si="1"/>
        <v>wci_wa</v>
      </c>
    </row>
    <row r="68" spans="2:45">
      <c r="B68" s="915" t="s">
        <v>1612</v>
      </c>
      <c r="C68" s="952">
        <v>42947</v>
      </c>
      <c r="D68" s="953">
        <v>126.09</v>
      </c>
      <c r="E68" s="953">
        <v>0</v>
      </c>
      <c r="F68" s="954" t="s">
        <v>1613</v>
      </c>
      <c r="G68" s="915" t="s">
        <v>1724</v>
      </c>
      <c r="H68" s="955" t="s">
        <v>1615</v>
      </c>
      <c r="I68" s="915" t="s">
        <v>1628</v>
      </c>
      <c r="J68" s="915" t="s">
        <v>1672</v>
      </c>
      <c r="K68" s="915" t="s">
        <v>1630</v>
      </c>
      <c r="L68" s="919"/>
      <c r="M68" s="919"/>
      <c r="N68" s="919" t="s">
        <v>1631</v>
      </c>
      <c r="O68" s="940"/>
      <c r="P68" s="919"/>
      <c r="Q68" s="956"/>
      <c r="U68" s="915" t="s">
        <v>1724</v>
      </c>
      <c r="X68" s="952">
        <v>42949</v>
      </c>
      <c r="Y68" s="952">
        <v>42950</v>
      </c>
      <c r="AA68" s="952"/>
      <c r="AB68" s="915" t="s">
        <v>1626</v>
      </c>
      <c r="AC68" s="915">
        <v>0</v>
      </c>
      <c r="AD68" s="915">
        <v>0</v>
      </c>
      <c r="AE68" s="915">
        <v>0</v>
      </c>
      <c r="AF68" s="915">
        <v>0</v>
      </c>
      <c r="AG68" s="915">
        <v>0</v>
      </c>
      <c r="AH68" s="915">
        <v>1</v>
      </c>
      <c r="AI68" s="915">
        <v>43001</v>
      </c>
      <c r="AJ68" s="915">
        <v>2010</v>
      </c>
      <c r="AK68" s="915">
        <v>0</v>
      </c>
      <c r="AL68" s="915">
        <v>0</v>
      </c>
      <c r="AO68" s="955"/>
      <c r="AP68" s="955"/>
      <c r="AQ68" s="915" t="str">
        <f t="shared" si="0"/>
        <v/>
      </c>
      <c r="AS68" s="915" t="str">
        <f t="shared" si="1"/>
        <v>wci_wa</v>
      </c>
    </row>
    <row r="69" spans="2:45">
      <c r="B69" s="915" t="s">
        <v>1612</v>
      </c>
      <c r="C69" s="952">
        <v>42947</v>
      </c>
      <c r="D69" s="953">
        <v>-111.6</v>
      </c>
      <c r="E69" s="953">
        <v>0</v>
      </c>
      <c r="F69" s="954" t="s">
        <v>1613</v>
      </c>
      <c r="G69" s="915" t="s">
        <v>1724</v>
      </c>
      <c r="H69" s="955" t="s">
        <v>1615</v>
      </c>
      <c r="I69" s="915" t="s">
        <v>1628</v>
      </c>
      <c r="J69" s="915" t="s">
        <v>1672</v>
      </c>
      <c r="K69" s="915" t="s">
        <v>1630</v>
      </c>
      <c r="L69" s="919"/>
      <c r="M69" s="919"/>
      <c r="N69" s="919" t="s">
        <v>1682</v>
      </c>
      <c r="O69" s="940"/>
      <c r="P69" s="919"/>
      <c r="Q69" s="956"/>
      <c r="U69" s="915" t="s">
        <v>1724</v>
      </c>
      <c r="X69" s="952">
        <v>42949</v>
      </c>
      <c r="Y69" s="952">
        <v>42950</v>
      </c>
      <c r="AA69" s="952"/>
      <c r="AB69" s="915" t="s">
        <v>1626</v>
      </c>
      <c r="AC69" s="915">
        <v>0</v>
      </c>
      <c r="AD69" s="915">
        <v>0</v>
      </c>
      <c r="AE69" s="915">
        <v>0</v>
      </c>
      <c r="AF69" s="915">
        <v>0</v>
      </c>
      <c r="AG69" s="915">
        <v>0</v>
      </c>
      <c r="AH69" s="915">
        <v>1</v>
      </c>
      <c r="AI69" s="915">
        <v>43001</v>
      </c>
      <c r="AJ69" s="915">
        <v>2010</v>
      </c>
      <c r="AK69" s="915">
        <v>0</v>
      </c>
      <c r="AL69" s="915">
        <v>0</v>
      </c>
      <c r="AO69" s="955"/>
      <c r="AP69" s="955"/>
      <c r="AQ69" s="915" t="str">
        <f t="shared" si="0"/>
        <v/>
      </c>
      <c r="AS69" s="915" t="str">
        <f t="shared" si="1"/>
        <v>wci_wa</v>
      </c>
    </row>
    <row r="70" spans="2:45">
      <c r="B70" s="915" t="s">
        <v>1612</v>
      </c>
      <c r="C70" s="952">
        <v>42947</v>
      </c>
      <c r="D70" s="953">
        <v>1233.33</v>
      </c>
      <c r="E70" s="953">
        <v>0</v>
      </c>
      <c r="F70" s="954" t="s">
        <v>1613</v>
      </c>
      <c r="G70" s="915" t="s">
        <v>1725</v>
      </c>
      <c r="H70" s="955" t="s">
        <v>1615</v>
      </c>
      <c r="I70" s="915" t="s">
        <v>1671</v>
      </c>
      <c r="J70" s="915" t="s">
        <v>1672</v>
      </c>
      <c r="K70" s="915" t="s">
        <v>1630</v>
      </c>
      <c r="L70" s="919"/>
      <c r="M70" s="919"/>
      <c r="N70" s="919" t="s">
        <v>1692</v>
      </c>
      <c r="O70" s="940"/>
      <c r="P70" s="919"/>
      <c r="Q70" s="956"/>
      <c r="U70" s="915" t="s">
        <v>1725</v>
      </c>
      <c r="X70" s="952">
        <v>42951</v>
      </c>
      <c r="Y70" s="952">
        <v>42951</v>
      </c>
      <c r="AA70" s="952"/>
      <c r="AB70" s="915" t="s">
        <v>1626</v>
      </c>
      <c r="AC70" s="915">
        <v>0</v>
      </c>
      <c r="AD70" s="915">
        <v>0</v>
      </c>
      <c r="AE70" s="915">
        <v>0</v>
      </c>
      <c r="AF70" s="915">
        <v>0</v>
      </c>
      <c r="AG70" s="915">
        <v>0</v>
      </c>
      <c r="AH70" s="915">
        <v>1</v>
      </c>
      <c r="AI70" s="915">
        <v>43001</v>
      </c>
      <c r="AJ70" s="915">
        <v>2010</v>
      </c>
      <c r="AK70" s="915">
        <v>0</v>
      </c>
      <c r="AL70" s="915">
        <v>0</v>
      </c>
      <c r="AO70" s="955"/>
      <c r="AP70" s="955"/>
      <c r="AQ70" s="915" t="str">
        <f t="shared" si="0"/>
        <v/>
      </c>
      <c r="AS70" s="915" t="str">
        <f t="shared" si="1"/>
        <v>wci_wa</v>
      </c>
    </row>
    <row r="71" spans="2:45">
      <c r="B71" s="915" t="s">
        <v>1612</v>
      </c>
      <c r="C71" s="952">
        <v>42947</v>
      </c>
      <c r="D71" s="953">
        <v>84992.86</v>
      </c>
      <c r="E71" s="953">
        <v>0</v>
      </c>
      <c r="F71" s="954" t="s">
        <v>1613</v>
      </c>
      <c r="G71" s="915" t="s">
        <v>1726</v>
      </c>
      <c r="H71" s="955" t="s">
        <v>1615</v>
      </c>
      <c r="I71" s="915" t="s">
        <v>1633</v>
      </c>
      <c r="J71" s="915" t="s">
        <v>1672</v>
      </c>
      <c r="K71" s="915" t="s">
        <v>1630</v>
      </c>
      <c r="L71" s="919"/>
      <c r="M71" s="919"/>
      <c r="N71" s="919" t="s">
        <v>1634</v>
      </c>
      <c r="O71" s="940"/>
      <c r="P71" s="919"/>
      <c r="Q71" s="956"/>
      <c r="U71" s="915" t="s">
        <v>1726</v>
      </c>
      <c r="X71" s="952">
        <v>42951</v>
      </c>
      <c r="Y71" s="952">
        <v>42951</v>
      </c>
      <c r="AA71" s="952"/>
      <c r="AB71" s="915" t="s">
        <v>1626</v>
      </c>
      <c r="AC71" s="915">
        <v>0</v>
      </c>
      <c r="AD71" s="915">
        <v>0</v>
      </c>
      <c r="AE71" s="915">
        <v>0</v>
      </c>
      <c r="AF71" s="915">
        <v>0</v>
      </c>
      <c r="AG71" s="915">
        <v>0</v>
      </c>
      <c r="AH71" s="915">
        <v>1</v>
      </c>
      <c r="AI71" s="915">
        <v>43001</v>
      </c>
      <c r="AJ71" s="915">
        <v>2010</v>
      </c>
      <c r="AK71" s="915">
        <v>0</v>
      </c>
      <c r="AL71" s="915">
        <v>0</v>
      </c>
      <c r="AO71" s="955"/>
      <c r="AP71" s="955"/>
      <c r="AQ71" s="915" t="str">
        <f t="shared" si="0"/>
        <v/>
      </c>
      <c r="AS71" s="915" t="str">
        <f t="shared" si="1"/>
        <v>wci_wa</v>
      </c>
    </row>
    <row r="72" spans="2:45">
      <c r="B72" s="915" t="s">
        <v>1612</v>
      </c>
      <c r="C72" s="952">
        <v>42947</v>
      </c>
      <c r="D72" s="953">
        <v>-763.84</v>
      </c>
      <c r="E72" s="953">
        <v>0</v>
      </c>
      <c r="F72" s="954" t="s">
        <v>1613</v>
      </c>
      <c r="G72" s="915" t="s">
        <v>1726</v>
      </c>
      <c r="H72" s="955" t="s">
        <v>1615</v>
      </c>
      <c r="I72" s="915" t="s">
        <v>1633</v>
      </c>
      <c r="J72" s="915" t="s">
        <v>1672</v>
      </c>
      <c r="K72" s="915" t="s">
        <v>1630</v>
      </c>
      <c r="L72" s="919"/>
      <c r="M72" s="919"/>
      <c r="N72" s="919" t="s">
        <v>1652</v>
      </c>
      <c r="O72" s="940"/>
      <c r="P72" s="919"/>
      <c r="Q72" s="956"/>
      <c r="U72" s="915" t="s">
        <v>1726</v>
      </c>
      <c r="X72" s="952">
        <v>42951</v>
      </c>
      <c r="Y72" s="952">
        <v>42951</v>
      </c>
      <c r="AA72" s="952"/>
      <c r="AB72" s="915" t="s">
        <v>1626</v>
      </c>
      <c r="AC72" s="915">
        <v>0</v>
      </c>
      <c r="AD72" s="915">
        <v>0</v>
      </c>
      <c r="AE72" s="915">
        <v>0</v>
      </c>
      <c r="AF72" s="915">
        <v>0</v>
      </c>
      <c r="AG72" s="915">
        <v>0</v>
      </c>
      <c r="AH72" s="915">
        <v>1</v>
      </c>
      <c r="AI72" s="915">
        <v>43001</v>
      </c>
      <c r="AJ72" s="915">
        <v>2010</v>
      </c>
      <c r="AK72" s="915">
        <v>0</v>
      </c>
      <c r="AL72" s="915">
        <v>0</v>
      </c>
      <c r="AO72" s="955"/>
      <c r="AP72" s="955"/>
      <c r="AQ72" s="915" t="str">
        <f t="shared" si="0"/>
        <v/>
      </c>
      <c r="AS72" s="915" t="str">
        <f t="shared" si="1"/>
        <v>wci_wa</v>
      </c>
    </row>
    <row r="73" spans="2:45">
      <c r="B73" s="915" t="s">
        <v>1612</v>
      </c>
      <c r="C73" s="952">
        <v>42947</v>
      </c>
      <c r="D73" s="953">
        <v>-24.85</v>
      </c>
      <c r="E73" s="953">
        <v>0</v>
      </c>
      <c r="F73" s="954" t="s">
        <v>1613</v>
      </c>
      <c r="G73" s="915" t="s">
        <v>1726</v>
      </c>
      <c r="H73" s="955" t="s">
        <v>1615</v>
      </c>
      <c r="I73" s="915" t="s">
        <v>1633</v>
      </c>
      <c r="J73" s="915" t="s">
        <v>1672</v>
      </c>
      <c r="K73" s="915" t="s">
        <v>1630</v>
      </c>
      <c r="L73" s="919"/>
      <c r="M73" s="919"/>
      <c r="N73" s="919" t="s">
        <v>1685</v>
      </c>
      <c r="O73" s="940"/>
      <c r="P73" s="919"/>
      <c r="Q73" s="956"/>
      <c r="U73" s="915" t="s">
        <v>1726</v>
      </c>
      <c r="X73" s="952">
        <v>42951</v>
      </c>
      <c r="Y73" s="952">
        <v>42951</v>
      </c>
      <c r="AA73" s="952"/>
      <c r="AB73" s="915" t="s">
        <v>1626</v>
      </c>
      <c r="AC73" s="915">
        <v>0</v>
      </c>
      <c r="AD73" s="915">
        <v>0</v>
      </c>
      <c r="AE73" s="915">
        <v>0</v>
      </c>
      <c r="AF73" s="915">
        <v>0</v>
      </c>
      <c r="AG73" s="915">
        <v>0</v>
      </c>
      <c r="AH73" s="915">
        <v>1</v>
      </c>
      <c r="AI73" s="915">
        <v>43001</v>
      </c>
      <c r="AJ73" s="915">
        <v>2010</v>
      </c>
      <c r="AK73" s="915">
        <v>0</v>
      </c>
      <c r="AL73" s="915">
        <v>0</v>
      </c>
      <c r="AO73" s="955"/>
      <c r="AP73" s="955"/>
      <c r="AQ73" s="915" t="str">
        <f t="shared" si="0"/>
        <v/>
      </c>
      <c r="AS73" s="915" t="str">
        <f t="shared" si="1"/>
        <v>wci_wa</v>
      </c>
    </row>
    <row r="74" spans="2:45">
      <c r="B74" s="915" t="s">
        <v>1612</v>
      </c>
      <c r="C74" s="952">
        <v>42970</v>
      </c>
      <c r="D74" s="953">
        <v>565.45000000000005</v>
      </c>
      <c r="E74" s="953">
        <v>0</v>
      </c>
      <c r="F74" s="954" t="s">
        <v>1613</v>
      </c>
      <c r="G74" s="915" t="s">
        <v>1727</v>
      </c>
      <c r="H74" s="955" t="s">
        <v>1615</v>
      </c>
      <c r="I74" s="915" t="s">
        <v>1616</v>
      </c>
      <c r="J74" s="915" t="s">
        <v>1617</v>
      </c>
      <c r="K74" s="915" t="s">
        <v>1618</v>
      </c>
      <c r="L74" s="919" t="s">
        <v>1619</v>
      </c>
      <c r="M74" s="919" t="s">
        <v>1620</v>
      </c>
      <c r="N74" s="919" t="s">
        <v>1621</v>
      </c>
      <c r="O74" s="940">
        <v>42968</v>
      </c>
      <c r="P74" s="919" t="s">
        <v>1728</v>
      </c>
      <c r="Q74" s="956">
        <v>13370</v>
      </c>
      <c r="R74" s="915" t="s">
        <v>1729</v>
      </c>
      <c r="U74" s="915" t="s">
        <v>1730</v>
      </c>
      <c r="V74" s="915" t="s">
        <v>1731</v>
      </c>
      <c r="W74" s="915">
        <v>1010</v>
      </c>
      <c r="X74" s="952">
        <v>42970</v>
      </c>
      <c r="Y74" s="952">
        <v>42971</v>
      </c>
      <c r="Z74" s="915">
        <v>264217</v>
      </c>
      <c r="AA74" s="952">
        <v>42969</v>
      </c>
      <c r="AB74" s="915" t="s">
        <v>1626</v>
      </c>
      <c r="AC74" s="915">
        <v>0</v>
      </c>
      <c r="AD74" s="915">
        <v>0</v>
      </c>
      <c r="AE74" s="915">
        <v>0</v>
      </c>
      <c r="AF74" s="915">
        <v>0</v>
      </c>
      <c r="AG74" s="915">
        <v>0</v>
      </c>
      <c r="AH74" s="915">
        <v>1</v>
      </c>
      <c r="AI74" s="915">
        <v>43001</v>
      </c>
      <c r="AJ74" s="915">
        <v>2010</v>
      </c>
      <c r="AK74" s="915">
        <v>0</v>
      </c>
      <c r="AL74" s="915">
        <v>0</v>
      </c>
      <c r="AO74" s="955"/>
      <c r="AP74" s="955"/>
      <c r="AQ74" s="915" t="str">
        <f t="shared" si="0"/>
        <v>VO04388839</v>
      </c>
      <c r="AS74" s="915" t="str">
        <f t="shared" si="1"/>
        <v>wci_corp</v>
      </c>
    </row>
    <row r="75" spans="2:45">
      <c r="B75" s="915" t="s">
        <v>1612</v>
      </c>
      <c r="C75" s="952">
        <v>42978</v>
      </c>
      <c r="D75" s="953">
        <v>-247.72</v>
      </c>
      <c r="E75" s="953">
        <v>0</v>
      </c>
      <c r="F75" s="954" t="s">
        <v>1613</v>
      </c>
      <c r="G75" s="915" t="s">
        <v>1732</v>
      </c>
      <c r="H75" s="955" t="s">
        <v>1615</v>
      </c>
      <c r="I75" s="915" t="s">
        <v>1628</v>
      </c>
      <c r="J75" s="915" t="s">
        <v>1672</v>
      </c>
      <c r="K75" s="915" t="s">
        <v>1630</v>
      </c>
      <c r="L75" s="919"/>
      <c r="M75" s="919"/>
      <c r="N75" s="919" t="s">
        <v>1644</v>
      </c>
      <c r="O75" s="940"/>
      <c r="P75" s="919"/>
      <c r="Q75" s="956"/>
      <c r="U75" s="915" t="s">
        <v>1732</v>
      </c>
      <c r="X75" s="952">
        <v>42984</v>
      </c>
      <c r="Y75" s="952">
        <v>42985</v>
      </c>
      <c r="AA75" s="952"/>
      <c r="AB75" s="915" t="s">
        <v>1626</v>
      </c>
      <c r="AC75" s="915">
        <v>0</v>
      </c>
      <c r="AD75" s="915">
        <v>0</v>
      </c>
      <c r="AE75" s="915">
        <v>0</v>
      </c>
      <c r="AF75" s="915">
        <v>0</v>
      </c>
      <c r="AG75" s="915">
        <v>0</v>
      </c>
      <c r="AH75" s="915">
        <v>1</v>
      </c>
      <c r="AI75" s="915">
        <v>43001</v>
      </c>
      <c r="AJ75" s="915">
        <v>2010</v>
      </c>
      <c r="AK75" s="915">
        <v>0</v>
      </c>
      <c r="AL75" s="915">
        <v>0</v>
      </c>
      <c r="AO75" s="955"/>
      <c r="AP75" s="955"/>
      <c r="AQ75" s="915" t="str">
        <f t="shared" si="0"/>
        <v/>
      </c>
      <c r="AS75" s="915" t="str">
        <f t="shared" si="1"/>
        <v>wci_wa</v>
      </c>
    </row>
    <row r="76" spans="2:45">
      <c r="B76" s="915" t="s">
        <v>1612</v>
      </c>
      <c r="C76" s="952">
        <v>42978</v>
      </c>
      <c r="D76" s="953">
        <v>46.48</v>
      </c>
      <c r="E76" s="953">
        <v>0</v>
      </c>
      <c r="F76" s="954" t="s">
        <v>1613</v>
      </c>
      <c r="G76" s="915" t="s">
        <v>1732</v>
      </c>
      <c r="H76" s="955" t="s">
        <v>1615</v>
      </c>
      <c r="I76" s="915" t="s">
        <v>1628</v>
      </c>
      <c r="J76" s="915" t="s">
        <v>1672</v>
      </c>
      <c r="K76" s="915" t="s">
        <v>1630</v>
      </c>
      <c r="L76" s="919"/>
      <c r="M76" s="919"/>
      <c r="N76" s="919" t="s">
        <v>1631</v>
      </c>
      <c r="O76" s="940"/>
      <c r="P76" s="919"/>
      <c r="Q76" s="956"/>
      <c r="U76" s="915" t="s">
        <v>1732</v>
      </c>
      <c r="X76" s="952">
        <v>42984</v>
      </c>
      <c r="Y76" s="952">
        <v>42985</v>
      </c>
      <c r="AA76" s="952"/>
      <c r="AB76" s="915" t="s">
        <v>1626</v>
      </c>
      <c r="AC76" s="915">
        <v>0</v>
      </c>
      <c r="AD76" s="915">
        <v>0</v>
      </c>
      <c r="AE76" s="915">
        <v>0</v>
      </c>
      <c r="AF76" s="915">
        <v>0</v>
      </c>
      <c r="AG76" s="915">
        <v>0</v>
      </c>
      <c r="AH76" s="915">
        <v>1</v>
      </c>
      <c r="AI76" s="915">
        <v>43001</v>
      </c>
      <c r="AJ76" s="915">
        <v>2010</v>
      </c>
      <c r="AK76" s="915">
        <v>0</v>
      </c>
      <c r="AL76" s="915">
        <v>0</v>
      </c>
      <c r="AO76" s="955"/>
      <c r="AP76" s="955"/>
      <c r="AQ76" s="915" t="str">
        <f t="shared" si="0"/>
        <v/>
      </c>
      <c r="AS76" s="915" t="str">
        <f t="shared" si="1"/>
        <v>wci_wa</v>
      </c>
    </row>
    <row r="77" spans="2:45">
      <c r="B77" s="915" t="s">
        <v>1612</v>
      </c>
      <c r="C77" s="952">
        <v>42978</v>
      </c>
      <c r="D77" s="953">
        <v>20.99</v>
      </c>
      <c r="E77" s="953">
        <v>0</v>
      </c>
      <c r="F77" s="954" t="s">
        <v>1613</v>
      </c>
      <c r="G77" s="915" t="s">
        <v>1732</v>
      </c>
      <c r="H77" s="955" t="s">
        <v>1615</v>
      </c>
      <c r="I77" s="915" t="s">
        <v>1628</v>
      </c>
      <c r="J77" s="915" t="s">
        <v>1672</v>
      </c>
      <c r="K77" s="915" t="s">
        <v>1630</v>
      </c>
      <c r="L77" s="919"/>
      <c r="M77" s="919"/>
      <c r="N77" s="919" t="s">
        <v>1682</v>
      </c>
      <c r="O77" s="940"/>
      <c r="P77" s="919"/>
      <c r="Q77" s="956"/>
      <c r="U77" s="915" t="s">
        <v>1732</v>
      </c>
      <c r="X77" s="952">
        <v>42984</v>
      </c>
      <c r="Y77" s="952">
        <v>42985</v>
      </c>
      <c r="AA77" s="952"/>
      <c r="AB77" s="915" t="s">
        <v>1626</v>
      </c>
      <c r="AC77" s="915">
        <v>0</v>
      </c>
      <c r="AD77" s="915">
        <v>0</v>
      </c>
      <c r="AE77" s="915">
        <v>0</v>
      </c>
      <c r="AF77" s="915">
        <v>0</v>
      </c>
      <c r="AG77" s="915">
        <v>0</v>
      </c>
      <c r="AH77" s="915">
        <v>1</v>
      </c>
      <c r="AI77" s="915">
        <v>43001</v>
      </c>
      <c r="AJ77" s="915">
        <v>2010</v>
      </c>
      <c r="AK77" s="915">
        <v>0</v>
      </c>
      <c r="AL77" s="915">
        <v>0</v>
      </c>
      <c r="AO77" s="955"/>
      <c r="AP77" s="955"/>
      <c r="AQ77" s="915" t="str">
        <f t="shared" si="0"/>
        <v/>
      </c>
      <c r="AS77" s="915" t="str">
        <f t="shared" si="1"/>
        <v>wci_wa</v>
      </c>
    </row>
    <row r="78" spans="2:45">
      <c r="B78" s="915" t="s">
        <v>1612</v>
      </c>
      <c r="C78" s="952">
        <v>42978</v>
      </c>
      <c r="D78" s="953">
        <v>1233.33</v>
      </c>
      <c r="E78" s="953">
        <v>0</v>
      </c>
      <c r="F78" s="954" t="s">
        <v>1613</v>
      </c>
      <c r="G78" s="915" t="s">
        <v>1733</v>
      </c>
      <c r="H78" s="955" t="s">
        <v>1615</v>
      </c>
      <c r="I78" s="915" t="s">
        <v>1671</v>
      </c>
      <c r="J78" s="915" t="s">
        <v>1672</v>
      </c>
      <c r="K78" s="915" t="s">
        <v>1630</v>
      </c>
      <c r="L78" s="919"/>
      <c r="M78" s="919"/>
      <c r="N78" s="919" t="s">
        <v>1692</v>
      </c>
      <c r="O78" s="940"/>
      <c r="P78" s="919"/>
      <c r="Q78" s="956"/>
      <c r="U78" s="915" t="s">
        <v>1733</v>
      </c>
      <c r="X78" s="952">
        <v>42985</v>
      </c>
      <c r="Y78" s="952">
        <v>42985</v>
      </c>
      <c r="AA78" s="952"/>
      <c r="AB78" s="915" t="s">
        <v>1626</v>
      </c>
      <c r="AC78" s="915">
        <v>0</v>
      </c>
      <c r="AD78" s="915">
        <v>0</v>
      </c>
      <c r="AE78" s="915">
        <v>0</v>
      </c>
      <c r="AF78" s="915">
        <v>0</v>
      </c>
      <c r="AG78" s="915">
        <v>0</v>
      </c>
      <c r="AH78" s="915">
        <v>1</v>
      </c>
      <c r="AI78" s="915">
        <v>43001</v>
      </c>
      <c r="AJ78" s="915">
        <v>2010</v>
      </c>
      <c r="AK78" s="915">
        <v>0</v>
      </c>
      <c r="AL78" s="915">
        <v>0</v>
      </c>
      <c r="AO78" s="955"/>
      <c r="AP78" s="955"/>
      <c r="AQ78" s="915" t="str">
        <f t="shared" si="0"/>
        <v/>
      </c>
      <c r="AS78" s="915" t="str">
        <f t="shared" si="1"/>
        <v>wci_wa</v>
      </c>
    </row>
    <row r="79" spans="2:45">
      <c r="B79" s="915" t="s">
        <v>1612</v>
      </c>
      <c r="C79" s="952">
        <v>42978</v>
      </c>
      <c r="D79" s="953">
        <v>85746.22</v>
      </c>
      <c r="E79" s="953">
        <v>0</v>
      </c>
      <c r="F79" s="954" t="s">
        <v>1613</v>
      </c>
      <c r="G79" s="915" t="s">
        <v>1734</v>
      </c>
      <c r="H79" s="955" t="s">
        <v>1615</v>
      </c>
      <c r="I79" s="915" t="s">
        <v>1633</v>
      </c>
      <c r="J79" s="915" t="s">
        <v>1672</v>
      </c>
      <c r="K79" s="915" t="s">
        <v>1630</v>
      </c>
      <c r="L79" s="919"/>
      <c r="M79" s="919"/>
      <c r="N79" s="919" t="s">
        <v>1634</v>
      </c>
      <c r="O79" s="940"/>
      <c r="P79" s="919"/>
      <c r="Q79" s="956"/>
      <c r="U79" s="915" t="s">
        <v>1734</v>
      </c>
      <c r="X79" s="952">
        <v>42985</v>
      </c>
      <c r="Y79" s="952">
        <v>42985</v>
      </c>
      <c r="AA79" s="952"/>
      <c r="AB79" s="915" t="s">
        <v>1626</v>
      </c>
      <c r="AC79" s="915">
        <v>0</v>
      </c>
      <c r="AD79" s="915">
        <v>0</v>
      </c>
      <c r="AE79" s="915">
        <v>0</v>
      </c>
      <c r="AF79" s="915">
        <v>0</v>
      </c>
      <c r="AG79" s="915">
        <v>0</v>
      </c>
      <c r="AH79" s="915">
        <v>1</v>
      </c>
      <c r="AI79" s="915">
        <v>43001</v>
      </c>
      <c r="AJ79" s="915">
        <v>2010</v>
      </c>
      <c r="AK79" s="915">
        <v>0</v>
      </c>
      <c r="AL79" s="915">
        <v>0</v>
      </c>
      <c r="AO79" s="955"/>
      <c r="AP79" s="955"/>
      <c r="AQ79" s="915" t="str">
        <f t="shared" si="0"/>
        <v/>
      </c>
      <c r="AS79" s="915" t="str">
        <f t="shared" si="1"/>
        <v>wci_wa</v>
      </c>
    </row>
    <row r="80" spans="2:45">
      <c r="B80" s="915" t="s">
        <v>1612</v>
      </c>
      <c r="C80" s="952">
        <v>42978</v>
      </c>
      <c r="D80" s="953">
        <v>-180.71</v>
      </c>
      <c r="E80" s="953">
        <v>0</v>
      </c>
      <c r="F80" s="954" t="s">
        <v>1613</v>
      </c>
      <c r="G80" s="915" t="s">
        <v>1734</v>
      </c>
      <c r="H80" s="955" t="s">
        <v>1615</v>
      </c>
      <c r="I80" s="915" t="s">
        <v>1633</v>
      </c>
      <c r="J80" s="915" t="s">
        <v>1672</v>
      </c>
      <c r="K80" s="915" t="s">
        <v>1630</v>
      </c>
      <c r="L80" s="919"/>
      <c r="M80" s="919"/>
      <c r="N80" s="919" t="s">
        <v>1652</v>
      </c>
      <c r="O80" s="940"/>
      <c r="P80" s="919"/>
      <c r="Q80" s="956"/>
      <c r="U80" s="915" t="s">
        <v>1734</v>
      </c>
      <c r="X80" s="952">
        <v>42985</v>
      </c>
      <c r="Y80" s="952">
        <v>42985</v>
      </c>
      <c r="AA80" s="952"/>
      <c r="AB80" s="915" t="s">
        <v>1626</v>
      </c>
      <c r="AC80" s="915">
        <v>0</v>
      </c>
      <c r="AD80" s="915">
        <v>0</v>
      </c>
      <c r="AE80" s="915">
        <v>0</v>
      </c>
      <c r="AF80" s="915">
        <v>0</v>
      </c>
      <c r="AG80" s="915">
        <v>0</v>
      </c>
      <c r="AH80" s="915">
        <v>1</v>
      </c>
      <c r="AI80" s="915">
        <v>43001</v>
      </c>
      <c r="AJ80" s="915">
        <v>2010</v>
      </c>
      <c r="AK80" s="915">
        <v>0</v>
      </c>
      <c r="AL80" s="915">
        <v>0</v>
      </c>
      <c r="AO80" s="955"/>
      <c r="AP80" s="955"/>
      <c r="AQ80" s="915" t="str">
        <f t="shared" si="0"/>
        <v/>
      </c>
      <c r="AS80" s="915" t="str">
        <f t="shared" si="1"/>
        <v>wci_wa</v>
      </c>
    </row>
    <row r="81" spans="2:45">
      <c r="B81" s="915" t="s">
        <v>1612</v>
      </c>
      <c r="C81" s="952">
        <v>42978</v>
      </c>
      <c r="D81" s="953">
        <v>23.96</v>
      </c>
      <c r="E81" s="953">
        <v>0</v>
      </c>
      <c r="F81" s="954" t="s">
        <v>1613</v>
      </c>
      <c r="G81" s="915" t="s">
        <v>1734</v>
      </c>
      <c r="H81" s="955" t="s">
        <v>1615</v>
      </c>
      <c r="I81" s="915" t="s">
        <v>1633</v>
      </c>
      <c r="J81" s="915" t="s">
        <v>1672</v>
      </c>
      <c r="K81" s="915" t="s">
        <v>1630</v>
      </c>
      <c r="L81" s="919"/>
      <c r="M81" s="919"/>
      <c r="N81" s="919" t="s">
        <v>1685</v>
      </c>
      <c r="O81" s="940"/>
      <c r="P81" s="919"/>
      <c r="Q81" s="956"/>
      <c r="U81" s="915" t="s">
        <v>1734</v>
      </c>
      <c r="X81" s="952">
        <v>42985</v>
      </c>
      <c r="Y81" s="952">
        <v>42985</v>
      </c>
      <c r="AA81" s="952"/>
      <c r="AB81" s="915" t="s">
        <v>1626</v>
      </c>
      <c r="AC81" s="915">
        <v>0</v>
      </c>
      <c r="AD81" s="915">
        <v>0</v>
      </c>
      <c r="AE81" s="915">
        <v>0</v>
      </c>
      <c r="AF81" s="915">
        <v>0</v>
      </c>
      <c r="AG81" s="915">
        <v>0</v>
      </c>
      <c r="AH81" s="915">
        <v>1</v>
      </c>
      <c r="AI81" s="915">
        <v>43001</v>
      </c>
      <c r="AJ81" s="915">
        <v>2010</v>
      </c>
      <c r="AK81" s="915">
        <v>0</v>
      </c>
      <c r="AL81" s="915">
        <v>0</v>
      </c>
      <c r="AO81" s="955"/>
      <c r="AP81" s="955"/>
      <c r="AQ81" s="915" t="str">
        <f t="shared" si="0"/>
        <v/>
      </c>
      <c r="AS81" s="915" t="str">
        <f t="shared" si="1"/>
        <v>wci_wa</v>
      </c>
    </row>
    <row r="82" spans="2:45">
      <c r="B82" s="915" t="s">
        <v>1612</v>
      </c>
      <c r="C82" s="952">
        <v>42999</v>
      </c>
      <c r="D82" s="953">
        <v>573.98</v>
      </c>
      <c r="E82" s="953">
        <v>0</v>
      </c>
      <c r="F82" s="954" t="s">
        <v>1613</v>
      </c>
      <c r="G82" s="915" t="s">
        <v>1735</v>
      </c>
      <c r="H82" s="955" t="s">
        <v>1615</v>
      </c>
      <c r="I82" s="915" t="s">
        <v>1616</v>
      </c>
      <c r="J82" s="915" t="s">
        <v>1617</v>
      </c>
      <c r="K82" s="915" t="s">
        <v>1618</v>
      </c>
      <c r="L82" s="919" t="s">
        <v>1619</v>
      </c>
      <c r="M82" s="919" t="s">
        <v>1620</v>
      </c>
      <c r="N82" s="919" t="s">
        <v>1621</v>
      </c>
      <c r="O82" s="940">
        <v>42998</v>
      </c>
      <c r="P82" s="919" t="s">
        <v>1736</v>
      </c>
      <c r="Q82" s="956">
        <v>3312</v>
      </c>
      <c r="R82" s="915" t="s">
        <v>1737</v>
      </c>
      <c r="U82" s="915" t="s">
        <v>1738</v>
      </c>
      <c r="V82" s="915" t="s">
        <v>1739</v>
      </c>
      <c r="W82" s="915">
        <v>1010</v>
      </c>
      <c r="X82" s="952">
        <v>42999</v>
      </c>
      <c r="Y82" s="952">
        <v>43000</v>
      </c>
      <c r="Z82" s="915">
        <v>268911</v>
      </c>
      <c r="AA82" s="952">
        <v>42999</v>
      </c>
      <c r="AB82" s="915" t="s">
        <v>1626</v>
      </c>
      <c r="AC82" s="915">
        <v>0</v>
      </c>
      <c r="AD82" s="915">
        <v>0</v>
      </c>
      <c r="AE82" s="915">
        <v>0</v>
      </c>
      <c r="AF82" s="915">
        <v>0</v>
      </c>
      <c r="AG82" s="915">
        <v>0</v>
      </c>
      <c r="AH82" s="915">
        <v>1</v>
      </c>
      <c r="AI82" s="915">
        <v>43001</v>
      </c>
      <c r="AJ82" s="915">
        <v>2010</v>
      </c>
      <c r="AK82" s="915">
        <v>0</v>
      </c>
      <c r="AL82" s="915">
        <v>0</v>
      </c>
      <c r="AO82" s="955"/>
      <c r="AP82" s="955"/>
      <c r="AQ82" s="915" t="str">
        <f t="shared" si="0"/>
        <v>VO04416888</v>
      </c>
      <c r="AS82" s="915" t="str">
        <f t="shared" si="1"/>
        <v>wci_corp</v>
      </c>
    </row>
    <row r="83" spans="2:45">
      <c r="B83" s="915" t="s">
        <v>1612</v>
      </c>
      <c r="C83" s="952">
        <v>43008</v>
      </c>
      <c r="D83" s="953">
        <v>50.27</v>
      </c>
      <c r="E83" s="953">
        <v>0</v>
      </c>
      <c r="F83" s="954" t="s">
        <v>1613</v>
      </c>
      <c r="G83" s="915" t="s">
        <v>1740</v>
      </c>
      <c r="H83" s="955" t="s">
        <v>1615</v>
      </c>
      <c r="I83" s="915" t="s">
        <v>1628</v>
      </c>
      <c r="J83" s="915" t="s">
        <v>1672</v>
      </c>
      <c r="K83" s="915" t="s">
        <v>1630</v>
      </c>
      <c r="L83" s="919"/>
      <c r="M83" s="919"/>
      <c r="N83" s="919" t="s">
        <v>1644</v>
      </c>
      <c r="O83" s="940"/>
      <c r="P83" s="919"/>
      <c r="Q83" s="956"/>
      <c r="U83" s="915" t="s">
        <v>1740</v>
      </c>
      <c r="X83" s="952">
        <v>43011</v>
      </c>
      <c r="Y83" s="952">
        <v>43011</v>
      </c>
      <c r="AA83" s="952"/>
      <c r="AB83" s="915" t="s">
        <v>1626</v>
      </c>
      <c r="AC83" s="915">
        <v>0</v>
      </c>
      <c r="AD83" s="915">
        <v>0</v>
      </c>
      <c r="AE83" s="915">
        <v>0</v>
      </c>
      <c r="AF83" s="915">
        <v>0</v>
      </c>
      <c r="AG83" s="915">
        <v>0</v>
      </c>
      <c r="AH83" s="915">
        <v>1</v>
      </c>
      <c r="AI83" s="915">
        <v>43001</v>
      </c>
      <c r="AJ83" s="915">
        <v>2010</v>
      </c>
      <c r="AK83" s="915">
        <v>0</v>
      </c>
      <c r="AL83" s="915">
        <v>0</v>
      </c>
      <c r="AO83" s="955"/>
      <c r="AP83" s="955"/>
      <c r="AQ83" s="915" t="str">
        <f t="shared" si="0"/>
        <v/>
      </c>
      <c r="AS83" s="915" t="str">
        <f t="shared" si="1"/>
        <v>wci_wa</v>
      </c>
    </row>
    <row r="84" spans="2:45">
      <c r="B84" s="915" t="s">
        <v>1612</v>
      </c>
      <c r="C84" s="952">
        <v>43008</v>
      </c>
      <c r="D84" s="953">
        <v>99.27</v>
      </c>
      <c r="E84" s="953">
        <v>0</v>
      </c>
      <c r="F84" s="954" t="s">
        <v>1613</v>
      </c>
      <c r="G84" s="915" t="s">
        <v>1740</v>
      </c>
      <c r="H84" s="955" t="s">
        <v>1615</v>
      </c>
      <c r="I84" s="915" t="s">
        <v>1628</v>
      </c>
      <c r="J84" s="915" t="s">
        <v>1672</v>
      </c>
      <c r="K84" s="915" t="s">
        <v>1630</v>
      </c>
      <c r="L84" s="919"/>
      <c r="M84" s="919"/>
      <c r="N84" s="919" t="s">
        <v>1631</v>
      </c>
      <c r="O84" s="940"/>
      <c r="P84" s="919"/>
      <c r="Q84" s="956"/>
      <c r="U84" s="915" t="s">
        <v>1740</v>
      </c>
      <c r="X84" s="952">
        <v>43011</v>
      </c>
      <c r="Y84" s="952">
        <v>43011</v>
      </c>
      <c r="AA84" s="952"/>
      <c r="AB84" s="915" t="s">
        <v>1626</v>
      </c>
      <c r="AC84" s="915">
        <v>0</v>
      </c>
      <c r="AD84" s="915">
        <v>0</v>
      </c>
      <c r="AE84" s="915">
        <v>0</v>
      </c>
      <c r="AF84" s="915">
        <v>0</v>
      </c>
      <c r="AG84" s="915">
        <v>0</v>
      </c>
      <c r="AH84" s="915">
        <v>1</v>
      </c>
      <c r="AI84" s="915">
        <v>43001</v>
      </c>
      <c r="AJ84" s="915">
        <v>2010</v>
      </c>
      <c r="AK84" s="915">
        <v>0</v>
      </c>
      <c r="AL84" s="915">
        <v>0</v>
      </c>
      <c r="AO84" s="955"/>
      <c r="AP84" s="955"/>
      <c r="AQ84" s="915" t="str">
        <f t="shared" si="0"/>
        <v/>
      </c>
      <c r="AS84" s="915" t="str">
        <f t="shared" si="1"/>
        <v>wci_wa</v>
      </c>
    </row>
    <row r="85" spans="2:45">
      <c r="B85" s="915" t="s">
        <v>1612</v>
      </c>
      <c r="C85" s="952">
        <v>43008</v>
      </c>
      <c r="D85" s="953">
        <v>818.04</v>
      </c>
      <c r="E85" s="953">
        <v>0</v>
      </c>
      <c r="F85" s="954" t="s">
        <v>1613</v>
      </c>
      <c r="G85" s="915" t="s">
        <v>1740</v>
      </c>
      <c r="H85" s="955" t="s">
        <v>1615</v>
      </c>
      <c r="I85" s="915" t="s">
        <v>1628</v>
      </c>
      <c r="J85" s="915" t="s">
        <v>1672</v>
      </c>
      <c r="K85" s="915" t="s">
        <v>1630</v>
      </c>
      <c r="L85" s="919"/>
      <c r="M85" s="919"/>
      <c r="N85" s="919" t="s">
        <v>1682</v>
      </c>
      <c r="O85" s="940"/>
      <c r="P85" s="919"/>
      <c r="Q85" s="956"/>
      <c r="U85" s="915" t="s">
        <v>1740</v>
      </c>
      <c r="X85" s="952">
        <v>43011</v>
      </c>
      <c r="Y85" s="952">
        <v>43011</v>
      </c>
      <c r="AA85" s="952"/>
      <c r="AB85" s="915" t="s">
        <v>1626</v>
      </c>
      <c r="AC85" s="915">
        <v>0</v>
      </c>
      <c r="AD85" s="915">
        <v>0</v>
      </c>
      <c r="AE85" s="915">
        <v>0</v>
      </c>
      <c r="AF85" s="915">
        <v>0</v>
      </c>
      <c r="AG85" s="915">
        <v>0</v>
      </c>
      <c r="AH85" s="915">
        <v>1</v>
      </c>
      <c r="AI85" s="915">
        <v>43001</v>
      </c>
      <c r="AJ85" s="915">
        <v>2010</v>
      </c>
      <c r="AK85" s="915">
        <v>0</v>
      </c>
      <c r="AL85" s="915">
        <v>0</v>
      </c>
      <c r="AO85" s="955"/>
      <c r="AP85" s="955"/>
      <c r="AQ85" s="915" t="str">
        <f t="shared" ref="AQ85:AQ89" si="2">IF(LEFT(U85,2)="VO",U85,"")</f>
        <v/>
      </c>
      <c r="AS85" s="915" t="str">
        <f t="shared" ref="AS85:AS89" si="3">IF(RIGHT(K85,2)="IC",IF(OR(AB85="wci_canada",AB85="wci_can_corp"),"wci_can_Corp","wci_corp"),AB85)</f>
        <v>wci_wa</v>
      </c>
    </row>
    <row r="86" spans="2:45">
      <c r="B86" s="915" t="s">
        <v>1612</v>
      </c>
      <c r="C86" s="952">
        <v>43008</v>
      </c>
      <c r="D86" s="953">
        <v>84410.86</v>
      </c>
      <c r="E86" s="953">
        <v>0</v>
      </c>
      <c r="F86" s="954" t="s">
        <v>1613</v>
      </c>
      <c r="G86" s="915" t="s">
        <v>1741</v>
      </c>
      <c r="H86" s="955" t="s">
        <v>1615</v>
      </c>
      <c r="I86" s="915" t="s">
        <v>1633</v>
      </c>
      <c r="J86" s="915" t="s">
        <v>1672</v>
      </c>
      <c r="K86" s="915" t="s">
        <v>1630</v>
      </c>
      <c r="L86" s="919"/>
      <c r="M86" s="919"/>
      <c r="N86" s="919" t="s">
        <v>1634</v>
      </c>
      <c r="O86" s="940"/>
      <c r="P86" s="919"/>
      <c r="Q86" s="956"/>
      <c r="U86" s="915" t="s">
        <v>1741</v>
      </c>
      <c r="X86" s="952">
        <v>43013</v>
      </c>
      <c r="Y86" s="952">
        <v>43013</v>
      </c>
      <c r="AA86" s="952"/>
      <c r="AB86" s="915" t="s">
        <v>1626</v>
      </c>
      <c r="AC86" s="915">
        <v>0</v>
      </c>
      <c r="AD86" s="915">
        <v>0</v>
      </c>
      <c r="AE86" s="915">
        <v>0</v>
      </c>
      <c r="AF86" s="915">
        <v>0</v>
      </c>
      <c r="AG86" s="915">
        <v>0</v>
      </c>
      <c r="AH86" s="915">
        <v>1</v>
      </c>
      <c r="AI86" s="915">
        <v>43001</v>
      </c>
      <c r="AJ86" s="915">
        <v>2010</v>
      </c>
      <c r="AK86" s="915">
        <v>0</v>
      </c>
      <c r="AL86" s="915">
        <v>0</v>
      </c>
      <c r="AO86" s="955"/>
      <c r="AP86" s="955"/>
      <c r="AQ86" s="915" t="str">
        <f t="shared" si="2"/>
        <v/>
      </c>
      <c r="AS86" s="915" t="str">
        <f t="shared" si="3"/>
        <v>wci_wa</v>
      </c>
    </row>
    <row r="87" spans="2:45">
      <c r="B87" s="915" t="s">
        <v>1612</v>
      </c>
      <c r="C87" s="952">
        <v>43008</v>
      </c>
      <c r="D87" s="953">
        <v>-387.72</v>
      </c>
      <c r="E87" s="953">
        <v>0</v>
      </c>
      <c r="F87" s="954" t="s">
        <v>1613</v>
      </c>
      <c r="G87" s="915" t="s">
        <v>1741</v>
      </c>
      <c r="H87" s="955" t="s">
        <v>1615</v>
      </c>
      <c r="I87" s="915" t="s">
        <v>1633</v>
      </c>
      <c r="J87" s="915" t="s">
        <v>1672</v>
      </c>
      <c r="K87" s="915" t="s">
        <v>1630</v>
      </c>
      <c r="L87" s="919"/>
      <c r="M87" s="919"/>
      <c r="N87" s="919" t="s">
        <v>1652</v>
      </c>
      <c r="O87" s="940"/>
      <c r="P87" s="919"/>
      <c r="Q87" s="956"/>
      <c r="U87" s="915" t="s">
        <v>1741</v>
      </c>
      <c r="X87" s="952">
        <v>43013</v>
      </c>
      <c r="Y87" s="952">
        <v>43013</v>
      </c>
      <c r="AA87" s="952"/>
      <c r="AB87" s="915" t="s">
        <v>1626</v>
      </c>
      <c r="AC87" s="915">
        <v>0</v>
      </c>
      <c r="AD87" s="915">
        <v>0</v>
      </c>
      <c r="AE87" s="915">
        <v>0</v>
      </c>
      <c r="AF87" s="915">
        <v>0</v>
      </c>
      <c r="AG87" s="915">
        <v>0</v>
      </c>
      <c r="AH87" s="915">
        <v>1</v>
      </c>
      <c r="AI87" s="915">
        <v>43001</v>
      </c>
      <c r="AJ87" s="915">
        <v>2010</v>
      </c>
      <c r="AK87" s="915">
        <v>0</v>
      </c>
      <c r="AL87" s="915">
        <v>0</v>
      </c>
      <c r="AO87" s="955"/>
      <c r="AP87" s="955"/>
      <c r="AQ87" s="915" t="str">
        <f t="shared" si="2"/>
        <v/>
      </c>
      <c r="AS87" s="915" t="str">
        <f t="shared" si="3"/>
        <v>wci_wa</v>
      </c>
    </row>
    <row r="88" spans="2:45">
      <c r="B88" s="915" t="s">
        <v>1612</v>
      </c>
      <c r="C88" s="952">
        <v>43008</v>
      </c>
      <c r="D88" s="953">
        <v>47.76</v>
      </c>
      <c r="E88" s="953">
        <v>0</v>
      </c>
      <c r="F88" s="954" t="s">
        <v>1613</v>
      </c>
      <c r="G88" s="915" t="s">
        <v>1741</v>
      </c>
      <c r="H88" s="955" t="s">
        <v>1615</v>
      </c>
      <c r="I88" s="915" t="s">
        <v>1633</v>
      </c>
      <c r="J88" s="915" t="s">
        <v>1672</v>
      </c>
      <c r="K88" s="915" t="s">
        <v>1630</v>
      </c>
      <c r="L88" s="919"/>
      <c r="M88" s="919"/>
      <c r="N88" s="919" t="s">
        <v>1685</v>
      </c>
      <c r="O88" s="940"/>
      <c r="P88" s="919"/>
      <c r="Q88" s="956"/>
      <c r="U88" s="915" t="s">
        <v>1741</v>
      </c>
      <c r="X88" s="952">
        <v>43013</v>
      </c>
      <c r="Y88" s="952">
        <v>43013</v>
      </c>
      <c r="AA88" s="952"/>
      <c r="AB88" s="915" t="s">
        <v>1626</v>
      </c>
      <c r="AC88" s="915">
        <v>0</v>
      </c>
      <c r="AD88" s="915">
        <v>0</v>
      </c>
      <c r="AE88" s="915">
        <v>0</v>
      </c>
      <c r="AF88" s="915">
        <v>0</v>
      </c>
      <c r="AG88" s="915">
        <v>0</v>
      </c>
      <c r="AH88" s="915">
        <v>1</v>
      </c>
      <c r="AI88" s="915">
        <v>43001</v>
      </c>
      <c r="AJ88" s="915">
        <v>2010</v>
      </c>
      <c r="AK88" s="915">
        <v>0</v>
      </c>
      <c r="AL88" s="915">
        <v>0</v>
      </c>
      <c r="AO88" s="955"/>
      <c r="AP88" s="955"/>
      <c r="AQ88" s="915" t="str">
        <f t="shared" si="2"/>
        <v/>
      </c>
      <c r="AS88" s="915" t="str">
        <f t="shared" si="3"/>
        <v>wci_wa</v>
      </c>
    </row>
    <row r="89" spans="2:45">
      <c r="B89" s="915" t="s">
        <v>1612</v>
      </c>
      <c r="C89" s="952">
        <v>43008</v>
      </c>
      <c r="D89" s="953">
        <v>1233.3399999999999</v>
      </c>
      <c r="E89" s="953">
        <v>0</v>
      </c>
      <c r="F89" s="954" t="s">
        <v>1613</v>
      </c>
      <c r="G89" s="915" t="s">
        <v>1742</v>
      </c>
      <c r="H89" s="955" t="s">
        <v>1615</v>
      </c>
      <c r="I89" s="915" t="s">
        <v>1671</v>
      </c>
      <c r="J89" s="915" t="s">
        <v>1672</v>
      </c>
      <c r="K89" s="915" t="s">
        <v>1630</v>
      </c>
      <c r="L89" s="919"/>
      <c r="M89" s="919"/>
      <c r="N89" s="919" t="s">
        <v>1692</v>
      </c>
      <c r="O89" s="940"/>
      <c r="P89" s="919"/>
      <c r="Q89" s="956"/>
      <c r="U89" s="915" t="s">
        <v>1742</v>
      </c>
      <c r="X89" s="952">
        <v>43013</v>
      </c>
      <c r="Y89" s="952">
        <v>43013</v>
      </c>
      <c r="AA89" s="952"/>
      <c r="AB89" s="915" t="s">
        <v>1626</v>
      </c>
      <c r="AC89" s="915">
        <v>0</v>
      </c>
      <c r="AD89" s="915">
        <v>0</v>
      </c>
      <c r="AE89" s="915">
        <v>0</v>
      </c>
      <c r="AF89" s="915">
        <v>0</v>
      </c>
      <c r="AG89" s="915">
        <v>0</v>
      </c>
      <c r="AH89" s="915">
        <v>1</v>
      </c>
      <c r="AI89" s="915">
        <v>43001</v>
      </c>
      <c r="AJ89" s="915">
        <v>2010</v>
      </c>
      <c r="AK89" s="915">
        <v>0</v>
      </c>
      <c r="AL89" s="915">
        <v>0</v>
      </c>
      <c r="AO89" s="955"/>
      <c r="AP89" s="955"/>
      <c r="AQ89" s="915" t="str">
        <f t="shared" si="2"/>
        <v/>
      </c>
      <c r="AS89" s="915" t="str">
        <f t="shared" si="3"/>
        <v>wci_wa</v>
      </c>
    </row>
    <row r="90" spans="2:45">
      <c r="C90" s="952"/>
      <c r="D90" s="957"/>
      <c r="E90" s="957"/>
      <c r="F90" s="957"/>
      <c r="H90" s="918"/>
    </row>
    <row r="91" spans="2:45">
      <c r="B91" s="958" t="s">
        <v>1743</v>
      </c>
      <c r="C91" s="958"/>
      <c r="D91" s="959"/>
      <c r="E91" s="959"/>
      <c r="F91" s="959"/>
      <c r="G91" s="958"/>
      <c r="H91" s="960"/>
      <c r="I91" s="958"/>
      <c r="J91" s="958"/>
      <c r="K91" s="958"/>
      <c r="L91" s="958"/>
      <c r="M91" s="958"/>
      <c r="N91" s="958"/>
      <c r="O91" s="958"/>
      <c r="P91" s="958"/>
      <c r="Q91" s="958"/>
      <c r="R91" s="958"/>
      <c r="S91" s="958"/>
      <c r="T91" s="958"/>
      <c r="U91" s="958"/>
      <c r="V91" s="958"/>
      <c r="W91" s="958"/>
      <c r="X91" s="958"/>
      <c r="Y91" s="958"/>
      <c r="Z91" s="958"/>
      <c r="AA91" s="958"/>
      <c r="AB91" s="958"/>
      <c r="AC91" s="958"/>
      <c r="AD91" s="958"/>
      <c r="AE91" s="958"/>
      <c r="AF91" s="958"/>
      <c r="AG91" s="958"/>
      <c r="AH91" s="958"/>
      <c r="AI91" s="958"/>
      <c r="AJ91" s="958"/>
      <c r="AK91" s="958"/>
      <c r="AL91" s="958"/>
      <c r="AM91" s="958"/>
      <c r="AN91" s="958"/>
      <c r="AO91" s="958"/>
      <c r="AP91" s="961"/>
    </row>
    <row r="92" spans="2:45" ht="3" customHeight="1">
      <c r="H92" s="918"/>
    </row>
    <row r="93" spans="2:45" ht="3.75" customHeight="1">
      <c r="H93" s="918"/>
    </row>
    <row r="94" spans="2:45" ht="15">
      <c r="B94" s="1132" t="s">
        <v>1434</v>
      </c>
      <c r="C94" t="s">
        <v>1744</v>
      </c>
      <c r="D94" s="917" t="s">
        <v>1744</v>
      </c>
      <c r="E94" s="962"/>
      <c r="F94" s="962"/>
      <c r="G94" s="962"/>
      <c r="H94" s="962"/>
    </row>
    <row r="95" spans="2:45" ht="15">
      <c r="B95" s="1133" t="s">
        <v>1621</v>
      </c>
      <c r="C95" s="1134">
        <v>5874.15</v>
      </c>
      <c r="D95" s="964">
        <v>5874.15</v>
      </c>
      <c r="E95" s="965"/>
      <c r="F95" s="965"/>
      <c r="G95" s="962"/>
      <c r="H95" s="966"/>
    </row>
    <row r="96" spans="2:45" ht="15">
      <c r="B96" s="1133" t="s">
        <v>1631</v>
      </c>
      <c r="C96" s="1134">
        <v>1118.1400000000001</v>
      </c>
      <c r="D96" s="964">
        <v>1118.1400000000001</v>
      </c>
      <c r="E96" s="967" t="s">
        <v>1745</v>
      </c>
      <c r="F96" s="965"/>
      <c r="G96" s="966"/>
      <c r="H96" s="962"/>
    </row>
    <row r="97" spans="2:8" ht="15">
      <c r="B97" s="1133" t="s">
        <v>1634</v>
      </c>
      <c r="C97" s="1134">
        <v>983343.89</v>
      </c>
      <c r="D97" s="964">
        <v>983343.89</v>
      </c>
      <c r="E97" s="965"/>
      <c r="F97" s="965"/>
      <c r="G97" s="966"/>
      <c r="H97" s="962"/>
    </row>
    <row r="98" spans="2:8" ht="15">
      <c r="B98" s="1133" t="s">
        <v>1637</v>
      </c>
      <c r="C98" s="1134">
        <v>-1461.31</v>
      </c>
      <c r="D98" s="964">
        <v>-1461.31</v>
      </c>
      <c r="E98" s="967"/>
      <c r="F98" s="965"/>
      <c r="G98" s="966"/>
      <c r="H98" s="962"/>
    </row>
    <row r="99" spans="2:8" ht="15">
      <c r="B99" s="1133" t="s">
        <v>1644</v>
      </c>
      <c r="C99" s="1134">
        <v>75.400000000000034</v>
      </c>
      <c r="D99" s="964">
        <v>75.400000000000034</v>
      </c>
      <c r="E99" s="967"/>
      <c r="F99" s="965"/>
      <c r="G99" s="966"/>
      <c r="H99" s="962"/>
    </row>
    <row r="100" spans="2:8" ht="15">
      <c r="B100" s="1133" t="s">
        <v>1652</v>
      </c>
      <c r="C100" s="1134">
        <v>-2706.4000000000005</v>
      </c>
      <c r="D100" s="964">
        <v>-2706.4000000000005</v>
      </c>
      <c r="E100" s="965"/>
      <c r="F100" s="965"/>
      <c r="G100" s="966"/>
      <c r="H100" s="962"/>
    </row>
    <row r="101" spans="2:8" ht="15">
      <c r="B101" s="1133" t="s">
        <v>1655</v>
      </c>
      <c r="C101" s="1134">
        <v>-928</v>
      </c>
      <c r="D101" s="964">
        <v>-928</v>
      </c>
      <c r="E101" s="965"/>
      <c r="F101" s="965"/>
      <c r="G101" s="962"/>
      <c r="H101" s="962"/>
    </row>
    <row r="102" spans="2:8" ht="15">
      <c r="B102" s="1133" t="s">
        <v>1658</v>
      </c>
      <c r="C102" s="1134">
        <v>1351.03</v>
      </c>
      <c r="D102" s="964">
        <v>1351.03</v>
      </c>
      <c r="E102" s="965"/>
      <c r="F102" s="965"/>
      <c r="G102" s="962"/>
      <c r="H102" s="962"/>
    </row>
    <row r="103" spans="2:8" ht="15">
      <c r="B103" s="1133" t="s">
        <v>1673</v>
      </c>
      <c r="C103" s="1134">
        <v>3100</v>
      </c>
      <c r="D103" s="964">
        <v>3100</v>
      </c>
      <c r="E103" s="967" t="s">
        <v>1745</v>
      </c>
      <c r="F103" s="965"/>
      <c r="G103" s="966"/>
      <c r="H103" s="962"/>
    </row>
    <row r="104" spans="2:8" ht="15">
      <c r="B104" s="1133" t="s">
        <v>1682</v>
      </c>
      <c r="C104" s="1134">
        <v>-2200.1700000000005</v>
      </c>
      <c r="D104" s="964">
        <v>-2200.1700000000005</v>
      </c>
      <c r="E104" s="965"/>
      <c r="F104" s="965"/>
      <c r="G104" s="966"/>
      <c r="H104" s="962"/>
    </row>
    <row r="105" spans="2:8" ht="15">
      <c r="B105" s="1133" t="s">
        <v>1683</v>
      </c>
      <c r="C105" s="1134">
        <v>236.9</v>
      </c>
      <c r="D105" s="964">
        <v>236.9</v>
      </c>
      <c r="E105" s="965"/>
      <c r="F105" s="965"/>
      <c r="G105" s="962"/>
      <c r="H105" s="962"/>
    </row>
    <row r="106" spans="2:8" ht="15">
      <c r="B106" s="1133" t="s">
        <v>1685</v>
      </c>
      <c r="C106" s="1134">
        <v>-50.849999999999987</v>
      </c>
      <c r="D106" s="964">
        <v>-50.85</v>
      </c>
      <c r="E106" s="965"/>
      <c r="F106" s="965"/>
      <c r="G106" s="962"/>
      <c r="H106" s="962"/>
    </row>
    <row r="107" spans="2:8" ht="15">
      <c r="B107" s="1133" t="s">
        <v>1692</v>
      </c>
      <c r="C107" s="1134">
        <v>6550</v>
      </c>
      <c r="D107" s="964">
        <v>6550</v>
      </c>
      <c r="E107" s="967" t="s">
        <v>1745</v>
      </c>
      <c r="F107" s="965"/>
      <c r="G107" s="966"/>
      <c r="H107" s="962"/>
    </row>
    <row r="108" spans="2:8" ht="15">
      <c r="B108" s="1133" t="s">
        <v>1693</v>
      </c>
      <c r="C108" s="1134">
        <v>397.97</v>
      </c>
      <c r="D108" s="964">
        <v>397.97</v>
      </c>
      <c r="E108" s="965"/>
      <c r="F108" s="965"/>
      <c r="G108" s="966"/>
      <c r="H108" s="962"/>
    </row>
    <row r="109" spans="2:8" ht="15">
      <c r="B109" s="1133" t="s">
        <v>1714</v>
      </c>
      <c r="C109" s="1134">
        <v>811.83</v>
      </c>
      <c r="D109" s="964">
        <v>811.83</v>
      </c>
      <c r="E109" s="962"/>
      <c r="F109" s="962"/>
      <c r="G109" s="966"/>
      <c r="H109" s="966"/>
    </row>
    <row r="110" spans="2:8" ht="15">
      <c r="B110" s="1133" t="s">
        <v>343</v>
      </c>
      <c r="C110" s="1134">
        <v>995512.58</v>
      </c>
      <c r="D110" s="968">
        <v>995512.58</v>
      </c>
      <c r="E110" s="962"/>
      <c r="F110" s="962"/>
      <c r="G110" s="962"/>
      <c r="H110" s="962"/>
    </row>
    <row r="111" spans="2:8" ht="7.5" customHeight="1"/>
    <row r="112" spans="2:8">
      <c r="C112" s="929" t="s">
        <v>406</v>
      </c>
      <c r="D112" s="969">
        <f>SUM(D96,D99,D103,D107)</f>
        <v>10843.54</v>
      </c>
      <c r="E112" s="916" t="s">
        <v>1745</v>
      </c>
    </row>
  </sheetData>
  <dataValidations disablePrompts="1" count="1">
    <dataValidation type="list" allowBlank="1" showInputMessage="1" showErrorMessage="1" sqref="P15">
      <formula1>"All,Posted/Unposted,Posted,Unposted,Staged"</formula1>
    </dataValidation>
  </dataValidations>
  <pageMargins left="0.27" right="0.28999999999999998" top="0.37" bottom="0.43" header="0.25" footer="0.25"/>
  <pageSetup scale="42" fitToHeight="0" orientation="landscape" r:id="rId2"/>
  <headerFooter alignWithMargins="0">
    <oddHeader>&amp;L&amp;8 &amp;R&amp;8 &amp;D-&amp;T-Jeff Honsowetz</oddHeader>
    <oddFooter xml:space="preserve">&amp;L&amp;8&amp;F - &amp;A
&amp;R&amp;8Page &amp;P of &amp;N
</oddFooter>
  </headerFooter>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305"/>
  <sheetViews>
    <sheetView showGridLines="0" view="pageBreakPreview" topLeftCell="A20" zoomScale="85" zoomScaleNormal="80" zoomScaleSheetLayoutView="85" workbookViewId="0">
      <selection activeCell="AI26" sqref="AI26"/>
    </sheetView>
  </sheetViews>
  <sheetFormatPr defaultRowHeight="12.75" outlineLevelRow="1"/>
  <cols>
    <col min="1" max="1" width="2.7109375" style="915" customWidth="1"/>
    <col min="2" max="2" width="49.140625" style="915" customWidth="1"/>
    <col min="3" max="3" width="21.28515625" style="915" customWidth="1"/>
    <col min="4" max="4" width="10.85546875" style="915" customWidth="1"/>
    <col min="5" max="5" width="18.7109375" style="915" customWidth="1"/>
    <col min="6" max="6" width="12.28515625" style="915" customWidth="1"/>
    <col min="7" max="7" width="19" style="915" customWidth="1"/>
    <col min="8" max="8" width="7.85546875" style="915" customWidth="1"/>
    <col min="9" max="9" width="30.28515625" style="915" customWidth="1"/>
    <col min="10" max="10" width="10.28515625" style="915" customWidth="1"/>
    <col min="11" max="11" width="13.5703125" style="915" customWidth="1"/>
    <col min="12" max="12" width="15.140625" style="915" customWidth="1"/>
    <col min="13" max="13" width="29.85546875" style="915" customWidth="1"/>
    <col min="14" max="14" width="38.5703125" style="915" customWidth="1"/>
    <col min="15" max="15" width="11.42578125" style="915" customWidth="1"/>
    <col min="16" max="16" width="35.140625" style="915" customWidth="1"/>
    <col min="17" max="17" width="18" style="915" customWidth="1"/>
    <col min="18" max="18" width="14.140625" style="915" customWidth="1"/>
    <col min="19" max="19" width="17.7109375" style="915" customWidth="1"/>
    <col min="20" max="20" width="12.7109375" style="915" customWidth="1"/>
    <col min="21" max="21" width="15.85546875" style="915" customWidth="1"/>
    <col min="22" max="22" width="13.7109375" style="915" bestFit="1" customWidth="1"/>
    <col min="23" max="23" width="13.28515625" style="915" customWidth="1"/>
    <col min="24" max="24" width="12.28515625" style="915" customWidth="1"/>
    <col min="25" max="25" width="11.5703125" style="915" customWidth="1"/>
    <col min="26" max="26" width="9.85546875" style="915" customWidth="1"/>
    <col min="27" max="27" width="11.42578125" style="915" customWidth="1"/>
    <col min="28" max="28" width="11" style="915" customWidth="1"/>
    <col min="29" max="29" width="11.5703125" style="915" customWidth="1"/>
    <col min="30" max="30" width="7" style="915" customWidth="1"/>
    <col min="31" max="31" width="11.140625" style="915" customWidth="1"/>
    <col min="32" max="32" width="11" style="915" customWidth="1"/>
    <col min="33" max="33" width="8.5703125" style="915" customWidth="1"/>
    <col min="34" max="34" width="8.42578125" style="915" customWidth="1"/>
    <col min="35" max="36" width="10.28515625" style="915" customWidth="1"/>
    <col min="37" max="37" width="10.140625" style="915" customWidth="1"/>
    <col min="38" max="38" width="10.42578125" style="915" customWidth="1"/>
    <col min="39" max="39" width="21.140625" style="915" customWidth="1"/>
    <col min="40" max="42" width="18.85546875" style="915" customWidth="1"/>
    <col min="43" max="43" width="20.42578125" style="915" customWidth="1"/>
    <col min="44" max="44" width="9.140625" style="915" customWidth="1"/>
    <col min="45" max="45" width="9.140625" style="915" hidden="1" customWidth="1"/>
    <col min="46" max="46" width="9.140625" style="915" customWidth="1"/>
    <col min="47" max="16384" width="9.140625" style="915"/>
  </cols>
  <sheetData>
    <row r="1" spans="1:43" hidden="1" outlineLevel="1">
      <c r="A1" s="914" t="b">
        <v>1</v>
      </c>
      <c r="B1" s="914"/>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914"/>
      <c r="AN1" s="914"/>
      <c r="AO1" s="914"/>
      <c r="AP1" s="914"/>
      <c r="AQ1" s="914"/>
    </row>
    <row r="2" spans="1:43" hidden="1" outlineLevel="1">
      <c r="B2" s="915" t="s">
        <v>1504</v>
      </c>
      <c r="C2" s="915" t="s">
        <v>1505</v>
      </c>
      <c r="D2" s="916" t="s">
        <v>1506</v>
      </c>
      <c r="E2" s="916" t="s">
        <v>1507</v>
      </c>
      <c r="F2" s="916" t="s">
        <v>1508</v>
      </c>
      <c r="G2" s="915" t="s">
        <v>1509</v>
      </c>
      <c r="H2" s="915" t="s">
        <v>1510</v>
      </c>
      <c r="I2" s="915" t="s">
        <v>1511</v>
      </c>
      <c r="J2" s="915" t="s">
        <v>1512</v>
      </c>
      <c r="K2" s="915" t="s">
        <v>1513</v>
      </c>
      <c r="L2" s="915" t="s">
        <v>1514</v>
      </c>
      <c r="M2" s="915" t="s">
        <v>1515</v>
      </c>
      <c r="N2" s="915" t="s">
        <v>1516</v>
      </c>
      <c r="O2" s="915" t="s">
        <v>1517</v>
      </c>
      <c r="P2" s="915" t="s">
        <v>1518</v>
      </c>
      <c r="Q2" s="915" t="s">
        <v>1519</v>
      </c>
      <c r="R2" s="915" t="s">
        <v>1520</v>
      </c>
      <c r="S2" s="915" t="s">
        <v>1521</v>
      </c>
      <c r="T2" s="915" t="s">
        <v>1522</v>
      </c>
      <c r="U2" s="915" t="s">
        <v>1523</v>
      </c>
      <c r="V2" s="915" t="s">
        <v>1524</v>
      </c>
      <c r="W2" s="915" t="s">
        <v>1525</v>
      </c>
      <c r="X2" s="915" t="s">
        <v>1526</v>
      </c>
      <c r="Y2" s="915" t="s">
        <v>1527</v>
      </c>
      <c r="Z2" s="915" t="s">
        <v>1528</v>
      </c>
      <c r="AA2" s="915" t="s">
        <v>1529</v>
      </c>
      <c r="AB2" s="915" t="s">
        <v>1530</v>
      </c>
      <c r="AC2" s="915" t="s">
        <v>1531</v>
      </c>
      <c r="AD2" s="915" t="s">
        <v>1532</v>
      </c>
      <c r="AE2" s="915" t="s">
        <v>1533</v>
      </c>
      <c r="AF2" s="915" t="s">
        <v>1534</v>
      </c>
      <c r="AG2" s="915" t="s">
        <v>1535</v>
      </c>
      <c r="AH2" s="915" t="s">
        <v>1536</v>
      </c>
      <c r="AI2" s="915" t="s">
        <v>1537</v>
      </c>
      <c r="AJ2" s="915" t="s">
        <v>1538</v>
      </c>
      <c r="AK2" s="915" t="s">
        <v>1539</v>
      </c>
      <c r="AL2" s="915" t="s">
        <v>1540</v>
      </c>
      <c r="AM2" s="915" t="s">
        <v>1541</v>
      </c>
      <c r="AN2" s="915" t="s">
        <v>1542</v>
      </c>
      <c r="AO2" s="915" t="s">
        <v>1543</v>
      </c>
      <c r="AP2" s="915" t="s">
        <v>1544</v>
      </c>
      <c r="AQ2" s="916"/>
    </row>
    <row r="3" spans="1:43" hidden="1" outlineLevel="1">
      <c r="A3" s="914" t="s">
        <v>1545</v>
      </c>
      <c r="B3" s="914"/>
      <c r="C3" s="914"/>
      <c r="D3" s="914"/>
      <c r="E3" s="914"/>
      <c r="F3" s="914"/>
      <c r="G3" s="914"/>
      <c r="H3" s="914"/>
      <c r="I3" s="914"/>
      <c r="J3" s="914"/>
      <c r="K3" s="914"/>
      <c r="L3" s="914"/>
      <c r="M3" s="914"/>
      <c r="N3" s="914"/>
      <c r="O3" s="914"/>
      <c r="P3" s="914"/>
      <c r="Q3" s="914"/>
      <c r="R3" s="914"/>
      <c r="S3" s="914"/>
      <c r="T3" s="914"/>
      <c r="U3" s="914"/>
      <c r="V3" s="914"/>
      <c r="W3" s="914"/>
      <c r="X3" s="914"/>
      <c r="Y3" s="914"/>
      <c r="Z3" s="914"/>
      <c r="AA3" s="914"/>
      <c r="AB3" s="914"/>
      <c r="AC3" s="914"/>
      <c r="AD3" s="914"/>
      <c r="AE3" s="914"/>
      <c r="AF3" s="914"/>
      <c r="AG3" s="914"/>
      <c r="AH3" s="914"/>
      <c r="AI3" s="914"/>
      <c r="AJ3" s="914"/>
      <c r="AK3" s="914"/>
      <c r="AL3" s="914"/>
      <c r="AM3" s="914"/>
      <c r="AN3" s="914"/>
      <c r="AO3" s="914"/>
      <c r="AP3" s="914"/>
      <c r="AQ3" s="914"/>
    </row>
    <row r="4" spans="1:43" hidden="1" outlineLevel="1">
      <c r="Q4" s="915" t="str">
        <f ca="1">_xll.ReportDrill('[56]JE Lookup'!B1,,_xll.PairGroup(_xll.Pair(G20:G226,'[56]JE Lookup'!N8),_xll.Pair(AB20:AB226,'[56]JE Lookup'!N7)),"JE Lookup")</f>
        <v>OK!: ReportDrill 'JE Lookup' Formula OK [jAction{}]</v>
      </c>
      <c r="U4" s="915" t="str">
        <f ca="1">_xll.ReportDrill(,"APDrill",_xll.PairGroup(_xll.PairExt(AQ20:AQ226,"H8")),"AP Detail")</f>
        <v>OK!: ReportDrill 'AP Detail' Formula OK [jAction{}]</v>
      </c>
      <c r="Y4" s="915" t="str">
        <f ca="1">_xll.ReportDrill(,"JEStaged_DrillToDetail",_xll.PairGroup(_xll.PairExt(Q19:Q226,"dControlNum",TRUE),_xll.PairExt(AP19:AP226,"dDistrict",TRUE),_xll.PairExt(AO19:AO226,"dApplyMonth",TRUE)),"JE Staged Details")</f>
        <v>OK!: ReportDrill 'JE Staged Details' Formula OK [jAction{}]</v>
      </c>
    </row>
    <row r="5" spans="1:43" hidden="1" outlineLevel="1">
      <c r="B5" s="915" t="str">
        <f ca="1">_xll.ReportRange("JEQuery_WithStaged",B20:AS225,B2:AS2,,_xll.Param(I12,DateTo,IF(M12="","all",M12),M13,M14,M15,P12,P13,P14,P15,EntrieShownLimit,DateFrom,DateTo),TRUE)</f>
        <v>OK!: ReportRange Formula OK [jAction{}]</v>
      </c>
      <c r="Q5" s="915" t="str">
        <f ca="1">_xll.ReportDrill('[56]JE Lookup'!B1,,_xll.PairGroup(_xll.Pair(V20:V226,'[56]JE Lookup'!N8),_xll.Pair(AS20:AS226,'[56]JE Lookup'!N7)),"I/C Originating JE")</f>
        <v>OK!: ReportDrill 'I/C Originating JE' Formula OK [jAction{}]</v>
      </c>
    </row>
    <row r="6" spans="1:43" hidden="1" outlineLevel="1">
      <c r="B6" s="917" t="s">
        <v>1546</v>
      </c>
      <c r="D6" s="915">
        <v>10000</v>
      </c>
    </row>
    <row r="7" spans="1:43" hidden="1" outlineLevel="1">
      <c r="A7" s="914" t="s">
        <v>1547</v>
      </c>
      <c r="B7" s="914"/>
      <c r="C7" s="914"/>
      <c r="D7" s="914"/>
      <c r="E7" s="914"/>
      <c r="F7" s="914"/>
      <c r="G7" s="914"/>
      <c r="H7" s="914"/>
      <c r="I7" s="914"/>
      <c r="J7" s="914"/>
      <c r="K7" s="914"/>
      <c r="L7" s="914"/>
      <c r="M7" s="914"/>
      <c r="N7" s="914"/>
      <c r="O7" s="914"/>
      <c r="P7" s="914"/>
      <c r="Q7" s="914"/>
      <c r="R7" s="914"/>
      <c r="S7" s="914"/>
      <c r="T7" s="914"/>
      <c r="U7" s="914"/>
      <c r="V7" s="914"/>
      <c r="W7" s="914"/>
      <c r="X7" s="914"/>
      <c r="Y7" s="914"/>
      <c r="Z7" s="914"/>
      <c r="AA7" s="914"/>
      <c r="AB7" s="914"/>
      <c r="AC7" s="914"/>
      <c r="AD7" s="914"/>
      <c r="AE7" s="914"/>
      <c r="AF7" s="914"/>
      <c r="AG7" s="914"/>
      <c r="AH7" s="914"/>
      <c r="AI7" s="914"/>
      <c r="AJ7" s="914"/>
      <c r="AK7" s="914"/>
      <c r="AL7" s="914"/>
      <c r="AM7" s="914"/>
      <c r="AN7" s="914"/>
      <c r="AO7" s="914"/>
      <c r="AP7" s="914"/>
      <c r="AQ7" s="914"/>
    </row>
    <row r="8" spans="1:43" hidden="1" outlineLevel="1">
      <c r="B8" s="918" t="s">
        <v>1548</v>
      </c>
      <c r="C8" s="915" t="str">
        <f>IF(DateFrom="",CurrentMonth,DateFrom)</f>
        <v>2016-10</v>
      </c>
      <c r="E8" s="918" t="s">
        <v>1549</v>
      </c>
      <c r="G8" s="915" t="str">
        <f>IF(DateTo="",CurrentMonth,DateTo)</f>
        <v>2017-09</v>
      </c>
      <c r="I8" s="918" t="s">
        <v>1550</v>
      </c>
      <c r="J8" s="919" t="str">
        <f ca="1">TEXT(NOW() - 15,"yyyy-mm")</f>
        <v>2017-10</v>
      </c>
    </row>
    <row r="9" spans="1:43" ht="18" collapsed="1">
      <c r="B9" s="920" t="s">
        <v>1551</v>
      </c>
      <c r="G9" s="921" t="s">
        <v>1552</v>
      </c>
      <c r="P9" s="922"/>
      <c r="U9" s="917"/>
    </row>
    <row r="10" spans="1:43" ht="14.25">
      <c r="B10" s="916" t="s">
        <v>1553</v>
      </c>
      <c r="G10" s="923"/>
      <c r="P10" s="922"/>
      <c r="U10" s="917"/>
    </row>
    <row r="11" spans="1:43">
      <c r="G11" s="924" t="s">
        <v>1554</v>
      </c>
      <c r="H11" s="925"/>
      <c r="I11" s="926"/>
      <c r="L11" s="925" t="s">
        <v>1555</v>
      </c>
      <c r="M11" s="925"/>
      <c r="N11" s="925"/>
      <c r="O11" s="925"/>
      <c r="P11" s="925"/>
      <c r="U11" s="916"/>
    </row>
    <row r="12" spans="1:43" s="917" customFormat="1">
      <c r="H12" s="927" t="s">
        <v>1556</v>
      </c>
      <c r="I12" s="928" t="s">
        <v>1557</v>
      </c>
      <c r="K12" s="929"/>
      <c r="L12" s="917" t="s">
        <v>1558</v>
      </c>
      <c r="M12" s="928" t="s">
        <v>214</v>
      </c>
      <c r="O12" s="927" t="s">
        <v>1559</v>
      </c>
      <c r="P12" s="930"/>
      <c r="Z12" s="915"/>
      <c r="AA12" s="915"/>
      <c r="AB12" s="915"/>
      <c r="AH12" s="915"/>
      <c r="AI12" s="915"/>
      <c r="AJ12" s="915"/>
      <c r="AK12" s="915"/>
      <c r="AL12" s="915"/>
    </row>
    <row r="13" spans="1:43" s="917" customFormat="1">
      <c r="H13" s="927" t="s">
        <v>1560</v>
      </c>
      <c r="I13" s="928" t="s">
        <v>219</v>
      </c>
      <c r="K13" s="929"/>
      <c r="L13" s="917" t="s">
        <v>1561</v>
      </c>
      <c r="M13" s="928" t="s">
        <v>2364</v>
      </c>
      <c r="N13" s="915"/>
      <c r="O13" s="927" t="s">
        <v>1563</v>
      </c>
      <c r="P13" s="931"/>
      <c r="Q13" s="932"/>
      <c r="Z13" s="915"/>
      <c r="AA13" s="915"/>
      <c r="AB13" s="915"/>
      <c r="AH13" s="915"/>
      <c r="AI13" s="915"/>
      <c r="AJ13" s="915"/>
      <c r="AK13" s="915"/>
      <c r="AL13" s="915"/>
    </row>
    <row r="14" spans="1:43">
      <c r="L14" s="917" t="s">
        <v>218</v>
      </c>
      <c r="M14" s="928" t="s">
        <v>217</v>
      </c>
      <c r="O14" s="927" t="s">
        <v>1564</v>
      </c>
      <c r="P14" s="931"/>
      <c r="Q14" s="932"/>
    </row>
    <row r="15" spans="1:43">
      <c r="L15" s="917" t="s">
        <v>1088</v>
      </c>
      <c r="M15" s="928" t="s">
        <v>217</v>
      </c>
      <c r="O15" s="927" t="s">
        <v>1565</v>
      </c>
      <c r="P15" s="933" t="s">
        <v>1566</v>
      </c>
    </row>
    <row r="16" spans="1:43">
      <c r="B16" s="934" t="s">
        <v>1567</v>
      </c>
      <c r="C16" s="935"/>
      <c r="D16" s="936">
        <f>SUM(D19:D226)</f>
        <v>140142.23000000001</v>
      </c>
      <c r="E16" s="936">
        <f>SUM(E19:E226)</f>
        <v>0</v>
      </c>
      <c r="F16" s="915" t="s">
        <v>1568</v>
      </c>
      <c r="N16" s="937"/>
      <c r="O16" s="937"/>
      <c r="P16" s="937"/>
      <c r="Q16" s="937"/>
    </row>
    <row r="17" spans="2:45">
      <c r="B17" s="934" t="s">
        <v>1569</v>
      </c>
      <c r="C17" s="935"/>
      <c r="D17" s="938">
        <f>COUNT(D20:D227)</f>
        <v>205</v>
      </c>
      <c r="E17" s="938">
        <f>COUNT(E20:E227)</f>
        <v>205</v>
      </c>
      <c r="F17" s="916" t="s">
        <v>1570</v>
      </c>
      <c r="G17" s="939" t="str">
        <f>""&amp;EntrieShownLimit</f>
        <v>10000</v>
      </c>
    </row>
    <row r="18" spans="2:45">
      <c r="O18" s="940"/>
      <c r="R18" s="941" t="s">
        <v>1571</v>
      </c>
      <c r="S18" s="942"/>
      <c r="T18" s="942"/>
      <c r="U18" s="942"/>
      <c r="V18" s="942"/>
      <c r="W18" s="942"/>
      <c r="X18" s="942"/>
      <c r="Y18" s="942"/>
      <c r="Z18" s="943"/>
      <c r="AA18" s="943"/>
      <c r="AB18" s="943"/>
      <c r="AC18" s="943"/>
      <c r="AD18" s="943"/>
      <c r="AE18" s="943"/>
      <c r="AF18" s="943"/>
      <c r="AG18" s="943"/>
      <c r="AH18" s="943"/>
      <c r="AI18" s="943"/>
      <c r="AJ18" s="943"/>
      <c r="AK18" s="943"/>
      <c r="AL18" s="943"/>
      <c r="AM18" s="943"/>
      <c r="AN18" s="943"/>
      <c r="AO18" s="943"/>
      <c r="AP18" s="943"/>
      <c r="AQ18" s="943"/>
    </row>
    <row r="19" spans="2:45" s="951" customFormat="1" ht="29.25" customHeight="1" thickBot="1">
      <c r="B19" s="944" t="s">
        <v>1572</v>
      </c>
      <c r="C19" s="945" t="s">
        <v>1573</v>
      </c>
      <c r="D19" s="946" t="s">
        <v>1574</v>
      </c>
      <c r="E19" s="946" t="s">
        <v>1575</v>
      </c>
      <c r="F19" s="946" t="s">
        <v>1576</v>
      </c>
      <c r="G19" s="947" t="s">
        <v>1577</v>
      </c>
      <c r="H19" s="944" t="s">
        <v>1578</v>
      </c>
      <c r="I19" s="944" t="s">
        <v>1579</v>
      </c>
      <c r="J19" s="944" t="s">
        <v>1512</v>
      </c>
      <c r="K19" s="944" t="s">
        <v>1580</v>
      </c>
      <c r="L19" s="944" t="s">
        <v>1581</v>
      </c>
      <c r="M19" s="944" t="s">
        <v>1582</v>
      </c>
      <c r="N19" s="944" t="s">
        <v>1583</v>
      </c>
      <c r="O19" s="948" t="s">
        <v>1584</v>
      </c>
      <c r="P19" s="944" t="s">
        <v>1585</v>
      </c>
      <c r="Q19" s="944" t="s">
        <v>1586</v>
      </c>
      <c r="R19" s="944" t="s">
        <v>1587</v>
      </c>
      <c r="S19" s="944" t="s">
        <v>1588</v>
      </c>
      <c r="T19" s="944" t="s">
        <v>1589</v>
      </c>
      <c r="U19" s="944" t="s">
        <v>1590</v>
      </c>
      <c r="V19" s="944" t="s">
        <v>1591</v>
      </c>
      <c r="W19" s="944" t="s">
        <v>1592</v>
      </c>
      <c r="X19" s="944" t="s">
        <v>1593</v>
      </c>
      <c r="Y19" s="944" t="s">
        <v>1594</v>
      </c>
      <c r="Z19" s="944" t="s">
        <v>1595</v>
      </c>
      <c r="AA19" s="944" t="s">
        <v>1596</v>
      </c>
      <c r="AB19" s="944" t="s">
        <v>1597</v>
      </c>
      <c r="AC19" s="949" t="s">
        <v>1598</v>
      </c>
      <c r="AD19" s="949" t="s">
        <v>1599</v>
      </c>
      <c r="AE19" s="949" t="s">
        <v>1600</v>
      </c>
      <c r="AF19" s="949" t="s">
        <v>1601</v>
      </c>
      <c r="AG19" s="949" t="s">
        <v>1602</v>
      </c>
      <c r="AH19" s="949" t="s">
        <v>1603</v>
      </c>
      <c r="AI19" s="945" t="s">
        <v>1604</v>
      </c>
      <c r="AJ19" s="945" t="s">
        <v>1605</v>
      </c>
      <c r="AK19" s="945" t="s">
        <v>1606</v>
      </c>
      <c r="AL19" s="945" t="s">
        <v>1607</v>
      </c>
      <c r="AM19" s="945" t="s">
        <v>1608</v>
      </c>
      <c r="AN19" s="945" t="s">
        <v>1542</v>
      </c>
      <c r="AO19" s="950" t="s">
        <v>1609</v>
      </c>
      <c r="AP19" s="950" t="s">
        <v>1610</v>
      </c>
      <c r="AQ19" s="950" t="s">
        <v>1611</v>
      </c>
    </row>
    <row r="20" spans="2:45">
      <c r="B20" s="915" t="s">
        <v>2365</v>
      </c>
      <c r="C20" s="952">
        <v>42663</v>
      </c>
      <c r="D20" s="953">
        <v>470</v>
      </c>
      <c r="E20" s="953">
        <v>0</v>
      </c>
      <c r="F20" s="954" t="s">
        <v>1613</v>
      </c>
      <c r="G20" s="915" t="s">
        <v>2366</v>
      </c>
      <c r="H20" s="955" t="s">
        <v>1615</v>
      </c>
      <c r="I20" s="915" t="s">
        <v>1616</v>
      </c>
      <c r="J20" s="915" t="s">
        <v>1617</v>
      </c>
      <c r="K20" s="915" t="s">
        <v>1618</v>
      </c>
      <c r="L20" s="919" t="s">
        <v>2367</v>
      </c>
      <c r="M20" s="919"/>
      <c r="N20" s="919" t="s">
        <v>2368</v>
      </c>
      <c r="O20" s="940">
        <v>42643</v>
      </c>
      <c r="P20" s="919" t="s">
        <v>2369</v>
      </c>
      <c r="Q20" s="919" t="s">
        <v>2370</v>
      </c>
      <c r="R20" s="915" t="s">
        <v>2371</v>
      </c>
      <c r="U20" s="915" t="s">
        <v>2372</v>
      </c>
      <c r="V20" s="915" t="s">
        <v>2373</v>
      </c>
      <c r="W20" s="915">
        <v>2183</v>
      </c>
      <c r="X20" s="952">
        <v>42663</v>
      </c>
      <c r="Y20" s="952">
        <v>42664</v>
      </c>
      <c r="Z20" s="915">
        <v>4700</v>
      </c>
      <c r="AA20" s="952">
        <v>42644</v>
      </c>
      <c r="AB20" s="915" t="s">
        <v>1626</v>
      </c>
      <c r="AC20" s="915">
        <v>0</v>
      </c>
      <c r="AD20" s="915">
        <v>0</v>
      </c>
      <c r="AE20" s="915">
        <v>0</v>
      </c>
      <c r="AF20" s="915">
        <v>0</v>
      </c>
      <c r="AG20" s="915">
        <v>0</v>
      </c>
      <c r="AH20" s="915">
        <v>1</v>
      </c>
      <c r="AI20" s="915">
        <v>60225</v>
      </c>
      <c r="AJ20" s="915">
        <v>2010</v>
      </c>
      <c r="AK20" s="915">
        <v>0</v>
      </c>
      <c r="AL20" s="915">
        <v>0</v>
      </c>
      <c r="AO20" s="955"/>
      <c r="AP20" s="955"/>
      <c r="AQ20" s="915" t="str">
        <f>IF(LEFT(U20,2)="VO",U20,"")</f>
        <v>VO04084595</v>
      </c>
      <c r="AS20" s="915" t="str">
        <f>IF(RIGHT(K20,2)="IC",IF(OR(AB20="wci_canada",AB20="wci_can_corp"),"wci_can_Corp","wci_corp"),AB20)</f>
        <v>wci_corp</v>
      </c>
    </row>
    <row r="21" spans="2:45">
      <c r="B21" s="915" t="s">
        <v>2365</v>
      </c>
      <c r="C21" s="952">
        <v>42674</v>
      </c>
      <c r="D21" s="953">
        <v>-470</v>
      </c>
      <c r="E21" s="953">
        <v>0</v>
      </c>
      <c r="F21" s="954" t="s">
        <v>1613</v>
      </c>
      <c r="G21" s="915" t="s">
        <v>2374</v>
      </c>
      <c r="H21" s="955" t="s">
        <v>1615</v>
      </c>
      <c r="I21" s="915" t="s">
        <v>2375</v>
      </c>
      <c r="J21" s="915" t="s">
        <v>2000</v>
      </c>
      <c r="K21" s="915" t="s">
        <v>1618</v>
      </c>
      <c r="L21" s="919"/>
      <c r="M21" s="919"/>
      <c r="N21" s="919" t="s">
        <v>2376</v>
      </c>
      <c r="O21" s="940"/>
      <c r="P21" s="919"/>
      <c r="Q21" s="919"/>
      <c r="U21" s="915" t="s">
        <v>2377</v>
      </c>
      <c r="V21" s="915" t="s">
        <v>2378</v>
      </c>
      <c r="X21" s="952">
        <v>42649</v>
      </c>
      <c r="Y21" s="952">
        <v>42649</v>
      </c>
      <c r="AA21" s="952"/>
      <c r="AB21" s="915" t="s">
        <v>1626</v>
      </c>
      <c r="AC21" s="915">
        <v>0</v>
      </c>
      <c r="AD21" s="915">
        <v>0</v>
      </c>
      <c r="AE21" s="915">
        <v>0</v>
      </c>
      <c r="AF21" s="915">
        <v>0</v>
      </c>
      <c r="AG21" s="915">
        <v>5</v>
      </c>
      <c r="AH21" s="915">
        <v>1</v>
      </c>
      <c r="AI21" s="915">
        <v>60225</v>
      </c>
      <c r="AJ21" s="915">
        <v>2010</v>
      </c>
      <c r="AK21" s="915">
        <v>0</v>
      </c>
      <c r="AL21" s="915">
        <v>0</v>
      </c>
      <c r="AO21" s="955"/>
      <c r="AP21" s="955"/>
      <c r="AQ21" s="915" t="str">
        <f t="shared" ref="AQ21:AQ84" si="0">IF(LEFT(U21,2)="VO",U21,"")</f>
        <v/>
      </c>
      <c r="AS21" s="915" t="str">
        <f t="shared" ref="AS21:AS84" si="1">IF(RIGHT(K21,2)="IC",IF(OR(AB21="wci_canada",AB21="wci_can_corp"),"wci_can_Corp","wci_corp"),AB21)</f>
        <v>wci_corp</v>
      </c>
    </row>
    <row r="22" spans="2:45">
      <c r="B22" s="915" t="s">
        <v>2365</v>
      </c>
      <c r="C22" s="952">
        <v>42674</v>
      </c>
      <c r="D22" s="953">
        <v>-790</v>
      </c>
      <c r="E22" s="953">
        <v>0</v>
      </c>
      <c r="F22" s="954" t="s">
        <v>1613</v>
      </c>
      <c r="G22" s="915" t="s">
        <v>1998</v>
      </c>
      <c r="H22" s="955" t="s">
        <v>1615</v>
      </c>
      <c r="I22" s="915" t="s">
        <v>1999</v>
      </c>
      <c r="J22" s="915" t="s">
        <v>2000</v>
      </c>
      <c r="K22" s="915" t="s">
        <v>1618</v>
      </c>
      <c r="L22" s="919"/>
      <c r="M22" s="919"/>
      <c r="N22" s="919" t="s">
        <v>2379</v>
      </c>
      <c r="O22" s="940"/>
      <c r="P22" s="919"/>
      <c r="Q22" s="919"/>
      <c r="U22" s="915" t="s">
        <v>2001</v>
      </c>
      <c r="V22" s="915" t="s">
        <v>2002</v>
      </c>
      <c r="X22" s="952">
        <v>42649</v>
      </c>
      <c r="Y22" s="952">
        <v>42649</v>
      </c>
      <c r="AA22" s="952"/>
      <c r="AB22" s="915" t="s">
        <v>1626</v>
      </c>
      <c r="AC22" s="915">
        <v>0</v>
      </c>
      <c r="AD22" s="915">
        <v>0</v>
      </c>
      <c r="AE22" s="915">
        <v>0</v>
      </c>
      <c r="AF22" s="915">
        <v>0</v>
      </c>
      <c r="AG22" s="915">
        <v>5</v>
      </c>
      <c r="AH22" s="915">
        <v>1</v>
      </c>
      <c r="AI22" s="915">
        <v>60225</v>
      </c>
      <c r="AJ22" s="915">
        <v>2010</v>
      </c>
      <c r="AK22" s="915">
        <v>0</v>
      </c>
      <c r="AL22" s="915">
        <v>0</v>
      </c>
      <c r="AO22" s="955"/>
      <c r="AP22" s="955"/>
      <c r="AQ22" s="915" t="str">
        <f t="shared" si="0"/>
        <v/>
      </c>
      <c r="AS22" s="915" t="str">
        <f t="shared" si="1"/>
        <v>wci_corp</v>
      </c>
    </row>
    <row r="23" spans="2:45">
      <c r="B23" s="915" t="s">
        <v>2365</v>
      </c>
      <c r="C23" s="952">
        <v>42674</v>
      </c>
      <c r="D23" s="953">
        <v>-197.29</v>
      </c>
      <c r="E23" s="953">
        <v>0</v>
      </c>
      <c r="F23" s="954" t="s">
        <v>1613</v>
      </c>
      <c r="G23" s="915" t="s">
        <v>1998</v>
      </c>
      <c r="H23" s="955" t="s">
        <v>1615</v>
      </c>
      <c r="I23" s="915" t="s">
        <v>1999</v>
      </c>
      <c r="J23" s="915" t="s">
        <v>2000</v>
      </c>
      <c r="K23" s="915" t="s">
        <v>1618</v>
      </c>
      <c r="L23" s="919"/>
      <c r="M23" s="919"/>
      <c r="N23" s="919" t="s">
        <v>2380</v>
      </c>
      <c r="O23" s="940"/>
      <c r="P23" s="919"/>
      <c r="Q23" s="919"/>
      <c r="U23" s="915" t="s">
        <v>2001</v>
      </c>
      <c r="V23" s="915" t="s">
        <v>2002</v>
      </c>
      <c r="X23" s="952">
        <v>42649</v>
      </c>
      <c r="Y23" s="952">
        <v>42649</v>
      </c>
      <c r="AA23" s="952"/>
      <c r="AB23" s="915" t="s">
        <v>1626</v>
      </c>
      <c r="AC23" s="915">
        <v>0</v>
      </c>
      <c r="AD23" s="915">
        <v>0</v>
      </c>
      <c r="AE23" s="915">
        <v>0</v>
      </c>
      <c r="AF23" s="915">
        <v>0</v>
      </c>
      <c r="AG23" s="915">
        <v>5</v>
      </c>
      <c r="AH23" s="915">
        <v>1</v>
      </c>
      <c r="AI23" s="915">
        <v>60225</v>
      </c>
      <c r="AJ23" s="915">
        <v>2010</v>
      </c>
      <c r="AK23" s="915">
        <v>0</v>
      </c>
      <c r="AL23" s="915">
        <v>0</v>
      </c>
      <c r="AO23" s="955"/>
      <c r="AP23" s="955"/>
      <c r="AQ23" s="915" t="str">
        <f t="shared" si="0"/>
        <v/>
      </c>
      <c r="AS23" s="915" t="str">
        <f t="shared" si="1"/>
        <v>wci_corp</v>
      </c>
    </row>
    <row r="24" spans="2:45">
      <c r="B24" s="915" t="s">
        <v>2365</v>
      </c>
      <c r="C24" s="952">
        <v>42674</v>
      </c>
      <c r="D24" s="953">
        <v>-313.2</v>
      </c>
      <c r="E24" s="953">
        <v>0</v>
      </c>
      <c r="F24" s="954" t="s">
        <v>1613</v>
      </c>
      <c r="G24" s="915" t="s">
        <v>1998</v>
      </c>
      <c r="H24" s="955" t="s">
        <v>1615</v>
      </c>
      <c r="I24" s="915" t="s">
        <v>1999</v>
      </c>
      <c r="J24" s="915" t="s">
        <v>2000</v>
      </c>
      <c r="K24" s="915" t="s">
        <v>1618</v>
      </c>
      <c r="L24" s="919"/>
      <c r="M24" s="919"/>
      <c r="N24" s="919" t="s">
        <v>2381</v>
      </c>
      <c r="O24" s="940"/>
      <c r="P24" s="919"/>
      <c r="Q24" s="919"/>
      <c r="U24" s="915" t="s">
        <v>2001</v>
      </c>
      <c r="V24" s="915" t="s">
        <v>2002</v>
      </c>
      <c r="X24" s="952">
        <v>42649</v>
      </c>
      <c r="Y24" s="952">
        <v>42649</v>
      </c>
      <c r="AA24" s="952"/>
      <c r="AB24" s="915" t="s">
        <v>1626</v>
      </c>
      <c r="AC24" s="915">
        <v>0</v>
      </c>
      <c r="AD24" s="915">
        <v>0</v>
      </c>
      <c r="AE24" s="915">
        <v>0</v>
      </c>
      <c r="AF24" s="915">
        <v>0</v>
      </c>
      <c r="AG24" s="915">
        <v>5</v>
      </c>
      <c r="AH24" s="915">
        <v>1</v>
      </c>
      <c r="AI24" s="915">
        <v>60225</v>
      </c>
      <c r="AJ24" s="915">
        <v>2010</v>
      </c>
      <c r="AK24" s="915">
        <v>0</v>
      </c>
      <c r="AL24" s="915">
        <v>0</v>
      </c>
      <c r="AO24" s="955"/>
      <c r="AP24" s="955"/>
      <c r="AQ24" s="915" t="str">
        <f t="shared" si="0"/>
        <v/>
      </c>
      <c r="AS24" s="915" t="str">
        <f t="shared" si="1"/>
        <v>wci_corp</v>
      </c>
    </row>
    <row r="25" spans="2:45">
      <c r="B25" s="915" t="s">
        <v>2365</v>
      </c>
      <c r="C25" s="952">
        <v>42674</v>
      </c>
      <c r="D25" s="953">
        <v>790</v>
      </c>
      <c r="E25" s="953">
        <v>0</v>
      </c>
      <c r="F25" s="954" t="s">
        <v>1613</v>
      </c>
      <c r="G25" s="915" t="s">
        <v>2382</v>
      </c>
      <c r="H25" s="955" t="s">
        <v>1615</v>
      </c>
      <c r="I25" s="915" t="s">
        <v>2383</v>
      </c>
      <c r="J25" s="915" t="s">
        <v>2018</v>
      </c>
      <c r="K25" s="915" t="s">
        <v>1618</v>
      </c>
      <c r="L25" s="919"/>
      <c r="M25" s="919"/>
      <c r="N25" s="919" t="s">
        <v>2314</v>
      </c>
      <c r="O25" s="940"/>
      <c r="P25" s="919"/>
      <c r="Q25" s="919"/>
      <c r="U25" s="915" t="s">
        <v>2384</v>
      </c>
      <c r="V25" s="915" t="s">
        <v>2384</v>
      </c>
      <c r="X25" s="952">
        <v>42676</v>
      </c>
      <c r="Y25" s="952">
        <v>42676</v>
      </c>
      <c r="AA25" s="952"/>
      <c r="AB25" s="915" t="s">
        <v>1626</v>
      </c>
      <c r="AC25" s="915">
        <v>0</v>
      </c>
      <c r="AD25" s="915">
        <v>0</v>
      </c>
      <c r="AE25" s="915">
        <v>0</v>
      </c>
      <c r="AF25" s="915">
        <v>0</v>
      </c>
      <c r="AG25" s="915">
        <v>0</v>
      </c>
      <c r="AH25" s="915">
        <v>1</v>
      </c>
      <c r="AI25" s="915">
        <v>60225</v>
      </c>
      <c r="AJ25" s="915">
        <v>2010</v>
      </c>
      <c r="AK25" s="915">
        <v>0</v>
      </c>
      <c r="AL25" s="915">
        <v>0</v>
      </c>
      <c r="AO25" s="955"/>
      <c r="AP25" s="955"/>
      <c r="AQ25" s="915" t="str">
        <f t="shared" si="0"/>
        <v/>
      </c>
      <c r="AS25" s="915" t="str">
        <f t="shared" si="1"/>
        <v>wci_corp</v>
      </c>
    </row>
    <row r="26" spans="2:45">
      <c r="B26" s="915" t="s">
        <v>2365</v>
      </c>
      <c r="C26" s="952">
        <v>42674</v>
      </c>
      <c r="D26" s="953">
        <v>3598.88</v>
      </c>
      <c r="E26" s="953">
        <v>0</v>
      </c>
      <c r="F26" s="954" t="s">
        <v>1613</v>
      </c>
      <c r="G26" s="915" t="s">
        <v>2382</v>
      </c>
      <c r="H26" s="955" t="s">
        <v>1615</v>
      </c>
      <c r="I26" s="915" t="s">
        <v>2383</v>
      </c>
      <c r="J26" s="915" t="s">
        <v>2018</v>
      </c>
      <c r="K26" s="915" t="s">
        <v>1618</v>
      </c>
      <c r="L26" s="919"/>
      <c r="M26" s="919"/>
      <c r="N26" s="919" t="s">
        <v>2385</v>
      </c>
      <c r="O26" s="940"/>
      <c r="P26" s="919"/>
      <c r="Q26" s="919"/>
      <c r="U26" s="915" t="s">
        <v>2384</v>
      </c>
      <c r="V26" s="915" t="s">
        <v>2384</v>
      </c>
      <c r="X26" s="952">
        <v>42676</v>
      </c>
      <c r="Y26" s="952">
        <v>42676</v>
      </c>
      <c r="AA26" s="952"/>
      <c r="AB26" s="915" t="s">
        <v>1626</v>
      </c>
      <c r="AC26" s="915">
        <v>0</v>
      </c>
      <c r="AD26" s="915">
        <v>0</v>
      </c>
      <c r="AE26" s="915">
        <v>0</v>
      </c>
      <c r="AF26" s="915">
        <v>0</v>
      </c>
      <c r="AG26" s="915">
        <v>0</v>
      </c>
      <c r="AH26" s="915">
        <v>1</v>
      </c>
      <c r="AI26" s="915">
        <v>60225</v>
      </c>
      <c r="AJ26" s="915">
        <v>2010</v>
      </c>
      <c r="AK26" s="915">
        <v>0</v>
      </c>
      <c r="AL26" s="915">
        <v>0</v>
      </c>
      <c r="AO26" s="955"/>
      <c r="AP26" s="955"/>
      <c r="AQ26" s="915" t="str">
        <f t="shared" si="0"/>
        <v/>
      </c>
      <c r="AS26" s="915" t="str">
        <f t="shared" si="1"/>
        <v>wci_corp</v>
      </c>
    </row>
    <row r="27" spans="2:45">
      <c r="B27" s="915" t="s">
        <v>2365</v>
      </c>
      <c r="C27" s="952">
        <v>42674</v>
      </c>
      <c r="D27" s="953">
        <v>197.29</v>
      </c>
      <c r="E27" s="953">
        <v>0</v>
      </c>
      <c r="F27" s="954" t="s">
        <v>1613</v>
      </c>
      <c r="G27" s="915" t="s">
        <v>2386</v>
      </c>
      <c r="H27" s="955" t="s">
        <v>1615</v>
      </c>
      <c r="I27" s="915" t="s">
        <v>2056</v>
      </c>
      <c r="J27" s="915" t="s">
        <v>1629</v>
      </c>
      <c r="K27" s="915" t="s">
        <v>2387</v>
      </c>
      <c r="L27" s="919"/>
      <c r="M27" s="919"/>
      <c r="N27" s="919" t="s">
        <v>2388</v>
      </c>
      <c r="O27" s="940"/>
      <c r="P27" s="919"/>
      <c r="Q27" s="919"/>
      <c r="U27" s="915" t="s">
        <v>2386</v>
      </c>
      <c r="V27" s="915" t="s">
        <v>2389</v>
      </c>
      <c r="X27" s="952">
        <v>42681</v>
      </c>
      <c r="Y27" s="952">
        <v>42681</v>
      </c>
      <c r="AA27" s="952"/>
      <c r="AB27" s="915" t="s">
        <v>1626</v>
      </c>
      <c r="AC27" s="915">
        <v>1</v>
      </c>
      <c r="AD27" s="915">
        <v>0</v>
      </c>
      <c r="AE27" s="915">
        <v>0</v>
      </c>
      <c r="AF27" s="915">
        <v>0</v>
      </c>
      <c r="AG27" s="915">
        <v>0</v>
      </c>
      <c r="AH27" s="915">
        <v>1</v>
      </c>
      <c r="AI27" s="915">
        <v>60225</v>
      </c>
      <c r="AJ27" s="915">
        <v>2010</v>
      </c>
      <c r="AK27" s="915">
        <v>0</v>
      </c>
      <c r="AL27" s="915">
        <v>0</v>
      </c>
      <c r="AO27" s="955"/>
      <c r="AP27" s="955"/>
      <c r="AQ27" s="915" t="str">
        <f t="shared" si="0"/>
        <v/>
      </c>
      <c r="AS27" s="915" t="str">
        <f t="shared" si="1"/>
        <v>wci_wa</v>
      </c>
    </row>
    <row r="28" spans="2:45">
      <c r="B28" s="915" t="s">
        <v>2365</v>
      </c>
      <c r="C28" s="952">
        <v>42674</v>
      </c>
      <c r="D28" s="953">
        <v>777.77</v>
      </c>
      <c r="E28" s="953">
        <v>0</v>
      </c>
      <c r="F28" s="954" t="s">
        <v>1613</v>
      </c>
      <c r="G28" s="915" t="s">
        <v>2386</v>
      </c>
      <c r="H28" s="955" t="s">
        <v>1615</v>
      </c>
      <c r="I28" s="915" t="s">
        <v>2056</v>
      </c>
      <c r="J28" s="915" t="s">
        <v>1629</v>
      </c>
      <c r="K28" s="915" t="s">
        <v>2387</v>
      </c>
      <c r="L28" s="919"/>
      <c r="M28" s="919"/>
      <c r="N28" s="919" t="s">
        <v>2390</v>
      </c>
      <c r="O28" s="940"/>
      <c r="P28" s="919"/>
      <c r="Q28" s="919"/>
      <c r="U28" s="915" t="s">
        <v>2386</v>
      </c>
      <c r="V28" s="915" t="s">
        <v>2391</v>
      </c>
      <c r="X28" s="952">
        <v>42681</v>
      </c>
      <c r="Y28" s="952">
        <v>42681</v>
      </c>
      <c r="AA28" s="952"/>
      <c r="AB28" s="915" t="s">
        <v>1626</v>
      </c>
      <c r="AC28" s="915">
        <v>1</v>
      </c>
      <c r="AD28" s="915">
        <v>0</v>
      </c>
      <c r="AE28" s="915">
        <v>0</v>
      </c>
      <c r="AF28" s="915">
        <v>0</v>
      </c>
      <c r="AG28" s="915">
        <v>0</v>
      </c>
      <c r="AH28" s="915">
        <v>1</v>
      </c>
      <c r="AI28" s="915">
        <v>60225</v>
      </c>
      <c r="AJ28" s="915">
        <v>2010</v>
      </c>
      <c r="AK28" s="915">
        <v>0</v>
      </c>
      <c r="AL28" s="915">
        <v>0</v>
      </c>
      <c r="AO28" s="955"/>
      <c r="AP28" s="955"/>
      <c r="AQ28" s="915" t="str">
        <f t="shared" si="0"/>
        <v/>
      </c>
      <c r="AS28" s="915" t="str">
        <f t="shared" si="1"/>
        <v>wci_wa</v>
      </c>
    </row>
    <row r="29" spans="2:45">
      <c r="B29" s="915" t="s">
        <v>2365</v>
      </c>
      <c r="C29" s="952">
        <v>42674</v>
      </c>
      <c r="D29" s="953">
        <v>16459.46</v>
      </c>
      <c r="E29" s="953">
        <v>0</v>
      </c>
      <c r="F29" s="954" t="s">
        <v>1613</v>
      </c>
      <c r="G29" s="915" t="s">
        <v>2386</v>
      </c>
      <c r="H29" s="955" t="s">
        <v>1615</v>
      </c>
      <c r="I29" s="915" t="s">
        <v>2056</v>
      </c>
      <c r="J29" s="915" t="s">
        <v>1629</v>
      </c>
      <c r="K29" s="915" t="s">
        <v>2387</v>
      </c>
      <c r="L29" s="919"/>
      <c r="M29" s="919"/>
      <c r="N29" s="919" t="s">
        <v>2392</v>
      </c>
      <c r="O29" s="940"/>
      <c r="P29" s="919"/>
      <c r="Q29" s="919"/>
      <c r="U29" s="915" t="s">
        <v>2386</v>
      </c>
      <c r="V29" s="915" t="s">
        <v>2393</v>
      </c>
      <c r="X29" s="952">
        <v>42681</v>
      </c>
      <c r="Y29" s="952">
        <v>42681</v>
      </c>
      <c r="AA29" s="952"/>
      <c r="AB29" s="915" t="s">
        <v>1626</v>
      </c>
      <c r="AC29" s="915">
        <v>1</v>
      </c>
      <c r="AD29" s="915">
        <v>0</v>
      </c>
      <c r="AE29" s="915">
        <v>0</v>
      </c>
      <c r="AF29" s="915">
        <v>0</v>
      </c>
      <c r="AG29" s="915">
        <v>0</v>
      </c>
      <c r="AH29" s="915">
        <v>1</v>
      </c>
      <c r="AI29" s="915">
        <v>60225</v>
      </c>
      <c r="AJ29" s="915">
        <v>2010</v>
      </c>
      <c r="AK29" s="915">
        <v>0</v>
      </c>
      <c r="AL29" s="915">
        <v>0</v>
      </c>
      <c r="AO29" s="955"/>
      <c r="AP29" s="955"/>
      <c r="AQ29" s="915" t="str">
        <f t="shared" si="0"/>
        <v/>
      </c>
      <c r="AS29" s="915" t="str">
        <f t="shared" si="1"/>
        <v>wci_wa</v>
      </c>
    </row>
    <row r="30" spans="2:45">
      <c r="B30" s="915" t="s">
        <v>2365</v>
      </c>
      <c r="C30" s="952">
        <v>42674</v>
      </c>
      <c r="D30" s="953">
        <v>313.25</v>
      </c>
      <c r="E30" s="953">
        <v>0</v>
      </c>
      <c r="F30" s="954" t="s">
        <v>1613</v>
      </c>
      <c r="G30" s="915" t="s">
        <v>2386</v>
      </c>
      <c r="H30" s="955" t="s">
        <v>1615</v>
      </c>
      <c r="I30" s="915" t="s">
        <v>2056</v>
      </c>
      <c r="J30" s="915" t="s">
        <v>1629</v>
      </c>
      <c r="K30" s="915" t="s">
        <v>2387</v>
      </c>
      <c r="L30" s="919"/>
      <c r="M30" s="919"/>
      <c r="N30" s="919" t="s">
        <v>2388</v>
      </c>
      <c r="O30" s="940"/>
      <c r="P30" s="919"/>
      <c r="Q30" s="919"/>
      <c r="U30" s="915" t="s">
        <v>2386</v>
      </c>
      <c r="V30" s="915" t="s">
        <v>2394</v>
      </c>
      <c r="X30" s="952">
        <v>42681</v>
      </c>
      <c r="Y30" s="952">
        <v>42681</v>
      </c>
      <c r="AA30" s="952"/>
      <c r="AB30" s="915" t="s">
        <v>1626</v>
      </c>
      <c r="AC30" s="915">
        <v>1</v>
      </c>
      <c r="AD30" s="915">
        <v>0</v>
      </c>
      <c r="AE30" s="915">
        <v>0</v>
      </c>
      <c r="AF30" s="915">
        <v>0</v>
      </c>
      <c r="AG30" s="915">
        <v>0</v>
      </c>
      <c r="AH30" s="915">
        <v>1</v>
      </c>
      <c r="AI30" s="915">
        <v>60225</v>
      </c>
      <c r="AJ30" s="915">
        <v>2010</v>
      </c>
      <c r="AK30" s="915">
        <v>0</v>
      </c>
      <c r="AL30" s="915">
        <v>0</v>
      </c>
      <c r="AO30" s="955"/>
      <c r="AP30" s="955"/>
      <c r="AQ30" s="915" t="str">
        <f t="shared" si="0"/>
        <v/>
      </c>
      <c r="AS30" s="915" t="str">
        <f t="shared" si="1"/>
        <v>wci_wa</v>
      </c>
    </row>
    <row r="31" spans="2:45">
      <c r="B31" s="915" t="s">
        <v>2365</v>
      </c>
      <c r="C31" s="952">
        <v>42674</v>
      </c>
      <c r="D31" s="953">
        <v>30007.58</v>
      </c>
      <c r="E31" s="953">
        <v>0</v>
      </c>
      <c r="F31" s="954" t="s">
        <v>1613</v>
      </c>
      <c r="G31" s="915" t="s">
        <v>2156</v>
      </c>
      <c r="H31" s="955" t="s">
        <v>1615</v>
      </c>
      <c r="I31" s="915" t="s">
        <v>1671</v>
      </c>
      <c r="J31" s="915" t="s">
        <v>1629</v>
      </c>
      <c r="K31" s="915" t="s">
        <v>1630</v>
      </c>
      <c r="L31" s="919"/>
      <c r="M31" s="919"/>
      <c r="N31" s="919" t="s">
        <v>2395</v>
      </c>
      <c r="O31" s="940"/>
      <c r="P31" s="919"/>
      <c r="Q31" s="919"/>
      <c r="U31" s="915" t="s">
        <v>2156</v>
      </c>
      <c r="X31" s="952">
        <v>42681</v>
      </c>
      <c r="Y31" s="952">
        <v>42682</v>
      </c>
      <c r="AA31" s="952"/>
      <c r="AB31" s="915" t="s">
        <v>1626</v>
      </c>
      <c r="AC31" s="915">
        <v>0</v>
      </c>
      <c r="AD31" s="915">
        <v>0</v>
      </c>
      <c r="AE31" s="915">
        <v>0</v>
      </c>
      <c r="AF31" s="915">
        <v>0</v>
      </c>
      <c r="AG31" s="915">
        <v>0</v>
      </c>
      <c r="AH31" s="915">
        <v>1</v>
      </c>
      <c r="AI31" s="915">
        <v>60225</v>
      </c>
      <c r="AJ31" s="915">
        <v>2010</v>
      </c>
      <c r="AK31" s="915">
        <v>0</v>
      </c>
      <c r="AL31" s="915">
        <v>0</v>
      </c>
      <c r="AO31" s="955"/>
      <c r="AP31" s="955"/>
      <c r="AQ31" s="915" t="str">
        <f t="shared" si="0"/>
        <v/>
      </c>
      <c r="AS31" s="915" t="str">
        <f t="shared" si="1"/>
        <v>wci_wa</v>
      </c>
    </row>
    <row r="32" spans="2:45">
      <c r="B32" s="915" t="s">
        <v>2365</v>
      </c>
      <c r="C32" s="952">
        <v>42674</v>
      </c>
      <c r="D32" s="953">
        <v>300</v>
      </c>
      <c r="E32" s="953">
        <v>0</v>
      </c>
      <c r="F32" s="954" t="s">
        <v>1613</v>
      </c>
      <c r="G32" s="915" t="s">
        <v>2158</v>
      </c>
      <c r="H32" s="955" t="s">
        <v>1615</v>
      </c>
      <c r="I32" s="915" t="s">
        <v>1999</v>
      </c>
      <c r="J32" s="915" t="s">
        <v>2018</v>
      </c>
      <c r="K32" s="915" t="s">
        <v>1618</v>
      </c>
      <c r="L32" s="919"/>
      <c r="M32" s="919"/>
      <c r="N32" s="919" t="s">
        <v>2379</v>
      </c>
      <c r="O32" s="940"/>
      <c r="P32" s="919"/>
      <c r="Q32" s="919"/>
      <c r="U32" s="915" t="s">
        <v>2159</v>
      </c>
      <c r="V32" s="915" t="s">
        <v>2159</v>
      </c>
      <c r="X32" s="952">
        <v>42681</v>
      </c>
      <c r="Y32" s="952">
        <v>42682</v>
      </c>
      <c r="AA32" s="952"/>
      <c r="AB32" s="915" t="s">
        <v>1626</v>
      </c>
      <c r="AC32" s="915">
        <v>0</v>
      </c>
      <c r="AD32" s="915">
        <v>0</v>
      </c>
      <c r="AE32" s="915">
        <v>0</v>
      </c>
      <c r="AF32" s="915">
        <v>0</v>
      </c>
      <c r="AG32" s="915">
        <v>0</v>
      </c>
      <c r="AH32" s="915">
        <v>1</v>
      </c>
      <c r="AI32" s="915">
        <v>60225</v>
      </c>
      <c r="AJ32" s="915">
        <v>2010</v>
      </c>
      <c r="AK32" s="915">
        <v>0</v>
      </c>
      <c r="AL32" s="915">
        <v>0</v>
      </c>
      <c r="AO32" s="955"/>
      <c r="AP32" s="955"/>
      <c r="AQ32" s="915" t="str">
        <f t="shared" si="0"/>
        <v/>
      </c>
      <c r="AS32" s="915" t="str">
        <f t="shared" si="1"/>
        <v>wci_corp</v>
      </c>
    </row>
    <row r="33" spans="2:45">
      <c r="B33" s="915" t="s">
        <v>2365</v>
      </c>
      <c r="C33" s="952">
        <v>42684</v>
      </c>
      <c r="D33" s="953">
        <v>200</v>
      </c>
      <c r="E33" s="953">
        <v>0</v>
      </c>
      <c r="F33" s="954" t="s">
        <v>1613</v>
      </c>
      <c r="G33" s="915" t="s">
        <v>2164</v>
      </c>
      <c r="H33" s="955" t="s">
        <v>1615</v>
      </c>
      <c r="I33" s="915" t="s">
        <v>1616</v>
      </c>
      <c r="J33" s="915" t="s">
        <v>1617</v>
      </c>
      <c r="K33" s="915" t="s">
        <v>1618</v>
      </c>
      <c r="L33" s="919" t="s">
        <v>2396</v>
      </c>
      <c r="M33" s="919"/>
      <c r="N33" s="919" t="s">
        <v>2397</v>
      </c>
      <c r="O33" s="940">
        <v>42675</v>
      </c>
      <c r="P33" s="919" t="s">
        <v>2398</v>
      </c>
      <c r="Q33" s="919" t="s">
        <v>2399</v>
      </c>
      <c r="R33" s="915" t="s">
        <v>2400</v>
      </c>
      <c r="U33" s="915" t="s">
        <v>2401</v>
      </c>
      <c r="V33" s="915" t="s">
        <v>2167</v>
      </c>
      <c r="W33" s="915">
        <v>2010</v>
      </c>
      <c r="X33" s="952">
        <v>42684</v>
      </c>
      <c r="Y33" s="952">
        <v>42684</v>
      </c>
      <c r="Z33" s="915">
        <v>200</v>
      </c>
      <c r="AA33" s="952">
        <v>42685</v>
      </c>
      <c r="AB33" s="915" t="s">
        <v>1626</v>
      </c>
      <c r="AC33" s="915">
        <v>0</v>
      </c>
      <c r="AD33" s="915">
        <v>0</v>
      </c>
      <c r="AE33" s="915">
        <v>0</v>
      </c>
      <c r="AF33" s="915">
        <v>0</v>
      </c>
      <c r="AG33" s="915">
        <v>0</v>
      </c>
      <c r="AH33" s="915">
        <v>1</v>
      </c>
      <c r="AI33" s="915">
        <v>60225</v>
      </c>
      <c r="AJ33" s="915">
        <v>2010</v>
      </c>
      <c r="AK33" s="915">
        <v>0</v>
      </c>
      <c r="AL33" s="915">
        <v>0</v>
      </c>
      <c r="AO33" s="955"/>
      <c r="AP33" s="955"/>
      <c r="AQ33" s="915" t="str">
        <f t="shared" si="0"/>
        <v>VO04105473</v>
      </c>
      <c r="AS33" s="915" t="str">
        <f t="shared" si="1"/>
        <v>wci_corp</v>
      </c>
    </row>
    <row r="34" spans="2:45">
      <c r="B34" s="915" t="s">
        <v>2365</v>
      </c>
      <c r="C34" s="952">
        <v>42704</v>
      </c>
      <c r="D34" s="953">
        <v>-197.29</v>
      </c>
      <c r="E34" s="953">
        <v>0</v>
      </c>
      <c r="F34" s="954" t="s">
        <v>1613</v>
      </c>
      <c r="G34" s="915" t="s">
        <v>2402</v>
      </c>
      <c r="H34" s="955" t="s">
        <v>1615</v>
      </c>
      <c r="I34" s="915" t="s">
        <v>2056</v>
      </c>
      <c r="J34" s="915" t="s">
        <v>1629</v>
      </c>
      <c r="K34" s="915" t="s">
        <v>2403</v>
      </c>
      <c r="L34" s="919"/>
      <c r="M34" s="919"/>
      <c r="N34" s="919" t="s">
        <v>2388</v>
      </c>
      <c r="O34" s="940"/>
      <c r="P34" s="919"/>
      <c r="Q34" s="919"/>
      <c r="U34" s="915" t="s">
        <v>2386</v>
      </c>
      <c r="V34" s="915" t="s">
        <v>2389</v>
      </c>
      <c r="X34" s="952">
        <v>42681</v>
      </c>
      <c r="Y34" s="952">
        <v>42681</v>
      </c>
      <c r="AA34" s="952"/>
      <c r="AB34" s="915" t="s">
        <v>1626</v>
      </c>
      <c r="AC34" s="915">
        <v>0</v>
      </c>
      <c r="AD34" s="915">
        <v>0</v>
      </c>
      <c r="AE34" s="915">
        <v>0</v>
      </c>
      <c r="AF34" s="915">
        <v>0</v>
      </c>
      <c r="AG34" s="915">
        <v>5</v>
      </c>
      <c r="AH34" s="915">
        <v>1</v>
      </c>
      <c r="AI34" s="915">
        <v>60225</v>
      </c>
      <c r="AJ34" s="915">
        <v>2010</v>
      </c>
      <c r="AK34" s="915">
        <v>0</v>
      </c>
      <c r="AL34" s="915">
        <v>0</v>
      </c>
      <c r="AO34" s="955"/>
      <c r="AP34" s="955"/>
      <c r="AQ34" s="915" t="str">
        <f t="shared" si="0"/>
        <v/>
      </c>
      <c r="AS34" s="915" t="str">
        <f t="shared" si="1"/>
        <v>wci_wa</v>
      </c>
    </row>
    <row r="35" spans="2:45">
      <c r="B35" s="915" t="s">
        <v>2365</v>
      </c>
      <c r="C35" s="952">
        <v>42704</v>
      </c>
      <c r="D35" s="953">
        <v>-777.77</v>
      </c>
      <c r="E35" s="953">
        <v>0</v>
      </c>
      <c r="F35" s="954" t="s">
        <v>1613</v>
      </c>
      <c r="G35" s="915" t="s">
        <v>2402</v>
      </c>
      <c r="H35" s="955" t="s">
        <v>1615</v>
      </c>
      <c r="I35" s="915" t="s">
        <v>2056</v>
      </c>
      <c r="J35" s="915" t="s">
        <v>1629</v>
      </c>
      <c r="K35" s="915" t="s">
        <v>2403</v>
      </c>
      <c r="L35" s="919"/>
      <c r="M35" s="919"/>
      <c r="N35" s="919" t="s">
        <v>2390</v>
      </c>
      <c r="O35" s="940"/>
      <c r="P35" s="919"/>
      <c r="Q35" s="919"/>
      <c r="U35" s="915" t="s">
        <v>2386</v>
      </c>
      <c r="V35" s="915" t="s">
        <v>2391</v>
      </c>
      <c r="X35" s="952">
        <v>42681</v>
      </c>
      <c r="Y35" s="952">
        <v>42681</v>
      </c>
      <c r="AA35" s="952"/>
      <c r="AB35" s="915" t="s">
        <v>1626</v>
      </c>
      <c r="AC35" s="915">
        <v>0</v>
      </c>
      <c r="AD35" s="915">
        <v>0</v>
      </c>
      <c r="AE35" s="915">
        <v>0</v>
      </c>
      <c r="AF35" s="915">
        <v>0</v>
      </c>
      <c r="AG35" s="915">
        <v>5</v>
      </c>
      <c r="AH35" s="915">
        <v>1</v>
      </c>
      <c r="AI35" s="915">
        <v>60225</v>
      </c>
      <c r="AJ35" s="915">
        <v>2010</v>
      </c>
      <c r="AK35" s="915">
        <v>0</v>
      </c>
      <c r="AL35" s="915">
        <v>0</v>
      </c>
      <c r="AO35" s="955"/>
      <c r="AP35" s="955"/>
      <c r="AQ35" s="915" t="str">
        <f t="shared" si="0"/>
        <v/>
      </c>
      <c r="AS35" s="915" t="str">
        <f t="shared" si="1"/>
        <v>wci_wa</v>
      </c>
    </row>
    <row r="36" spans="2:45">
      <c r="B36" s="915" t="s">
        <v>2365</v>
      </c>
      <c r="C36" s="952">
        <v>42704</v>
      </c>
      <c r="D36" s="953">
        <v>-16459.46</v>
      </c>
      <c r="E36" s="953">
        <v>0</v>
      </c>
      <c r="F36" s="954" t="s">
        <v>1613</v>
      </c>
      <c r="G36" s="915" t="s">
        <v>2402</v>
      </c>
      <c r="H36" s="955" t="s">
        <v>1615</v>
      </c>
      <c r="I36" s="915" t="s">
        <v>2056</v>
      </c>
      <c r="J36" s="915" t="s">
        <v>1629</v>
      </c>
      <c r="K36" s="915" t="s">
        <v>2403</v>
      </c>
      <c r="L36" s="919"/>
      <c r="M36" s="919"/>
      <c r="N36" s="919" t="s">
        <v>2392</v>
      </c>
      <c r="O36" s="940"/>
      <c r="P36" s="919"/>
      <c r="Q36" s="919"/>
      <c r="U36" s="915" t="s">
        <v>2386</v>
      </c>
      <c r="V36" s="915" t="s">
        <v>2393</v>
      </c>
      <c r="X36" s="952">
        <v>42681</v>
      </c>
      <c r="Y36" s="952">
        <v>42681</v>
      </c>
      <c r="AA36" s="952"/>
      <c r="AB36" s="915" t="s">
        <v>1626</v>
      </c>
      <c r="AC36" s="915">
        <v>0</v>
      </c>
      <c r="AD36" s="915">
        <v>0</v>
      </c>
      <c r="AE36" s="915">
        <v>0</v>
      </c>
      <c r="AF36" s="915">
        <v>0</v>
      </c>
      <c r="AG36" s="915">
        <v>5</v>
      </c>
      <c r="AH36" s="915">
        <v>1</v>
      </c>
      <c r="AI36" s="915">
        <v>60225</v>
      </c>
      <c r="AJ36" s="915">
        <v>2010</v>
      </c>
      <c r="AK36" s="915">
        <v>0</v>
      </c>
      <c r="AL36" s="915">
        <v>0</v>
      </c>
      <c r="AO36" s="955"/>
      <c r="AP36" s="955"/>
      <c r="AQ36" s="915" t="str">
        <f t="shared" si="0"/>
        <v/>
      </c>
      <c r="AS36" s="915" t="str">
        <f t="shared" si="1"/>
        <v>wci_wa</v>
      </c>
    </row>
    <row r="37" spans="2:45">
      <c r="B37" s="915" t="s">
        <v>2365</v>
      </c>
      <c r="C37" s="952">
        <v>42704</v>
      </c>
      <c r="D37" s="953">
        <v>-313.25</v>
      </c>
      <c r="E37" s="953">
        <v>0</v>
      </c>
      <c r="F37" s="954" t="s">
        <v>1613</v>
      </c>
      <c r="G37" s="915" t="s">
        <v>2402</v>
      </c>
      <c r="H37" s="955" t="s">
        <v>1615</v>
      </c>
      <c r="I37" s="915" t="s">
        <v>2056</v>
      </c>
      <c r="J37" s="915" t="s">
        <v>1629</v>
      </c>
      <c r="K37" s="915" t="s">
        <v>2403</v>
      </c>
      <c r="L37" s="919"/>
      <c r="M37" s="919"/>
      <c r="N37" s="919" t="s">
        <v>2388</v>
      </c>
      <c r="O37" s="940"/>
      <c r="P37" s="919"/>
      <c r="Q37" s="919"/>
      <c r="U37" s="915" t="s">
        <v>2386</v>
      </c>
      <c r="V37" s="915" t="s">
        <v>2394</v>
      </c>
      <c r="X37" s="952">
        <v>42681</v>
      </c>
      <c r="Y37" s="952">
        <v>42681</v>
      </c>
      <c r="AA37" s="952"/>
      <c r="AB37" s="915" t="s">
        <v>1626</v>
      </c>
      <c r="AC37" s="915">
        <v>0</v>
      </c>
      <c r="AD37" s="915">
        <v>0</v>
      </c>
      <c r="AE37" s="915">
        <v>0</v>
      </c>
      <c r="AF37" s="915">
        <v>0</v>
      </c>
      <c r="AG37" s="915">
        <v>5</v>
      </c>
      <c r="AH37" s="915">
        <v>1</v>
      </c>
      <c r="AI37" s="915">
        <v>60225</v>
      </c>
      <c r="AJ37" s="915">
        <v>2010</v>
      </c>
      <c r="AK37" s="915">
        <v>0</v>
      </c>
      <c r="AL37" s="915">
        <v>0</v>
      </c>
      <c r="AO37" s="955"/>
      <c r="AP37" s="955"/>
      <c r="AQ37" s="915" t="str">
        <f t="shared" si="0"/>
        <v/>
      </c>
      <c r="AS37" s="915" t="str">
        <f t="shared" si="1"/>
        <v>wci_wa</v>
      </c>
    </row>
    <row r="38" spans="2:45">
      <c r="B38" s="915" t="s">
        <v>2365</v>
      </c>
      <c r="C38" s="952">
        <v>42704</v>
      </c>
      <c r="D38" s="953">
        <v>-300</v>
      </c>
      <c r="E38" s="953">
        <v>0</v>
      </c>
      <c r="F38" s="954" t="s">
        <v>1613</v>
      </c>
      <c r="G38" s="915" t="s">
        <v>2176</v>
      </c>
      <c r="H38" s="955" t="s">
        <v>1615</v>
      </c>
      <c r="I38" s="915" t="s">
        <v>1999</v>
      </c>
      <c r="J38" s="915" t="s">
        <v>2000</v>
      </c>
      <c r="K38" s="915" t="s">
        <v>1618</v>
      </c>
      <c r="L38" s="919"/>
      <c r="M38" s="919"/>
      <c r="N38" s="919" t="s">
        <v>2379</v>
      </c>
      <c r="O38" s="940"/>
      <c r="P38" s="919"/>
      <c r="Q38" s="919"/>
      <c r="U38" s="915" t="s">
        <v>2159</v>
      </c>
      <c r="V38" s="915" t="s">
        <v>2177</v>
      </c>
      <c r="X38" s="952">
        <v>42682</v>
      </c>
      <c r="Y38" s="952">
        <v>42682</v>
      </c>
      <c r="AA38" s="952"/>
      <c r="AB38" s="915" t="s">
        <v>1626</v>
      </c>
      <c r="AC38" s="915">
        <v>0</v>
      </c>
      <c r="AD38" s="915">
        <v>0</v>
      </c>
      <c r="AE38" s="915">
        <v>0</v>
      </c>
      <c r="AF38" s="915">
        <v>0</v>
      </c>
      <c r="AG38" s="915">
        <v>5</v>
      </c>
      <c r="AH38" s="915">
        <v>1</v>
      </c>
      <c r="AI38" s="915">
        <v>60225</v>
      </c>
      <c r="AJ38" s="915">
        <v>2010</v>
      </c>
      <c r="AK38" s="915">
        <v>0</v>
      </c>
      <c r="AL38" s="915">
        <v>0</v>
      </c>
      <c r="AO38" s="955"/>
      <c r="AP38" s="955"/>
      <c r="AQ38" s="915" t="str">
        <f t="shared" si="0"/>
        <v/>
      </c>
      <c r="AS38" s="915" t="str">
        <f t="shared" si="1"/>
        <v>wci_corp</v>
      </c>
    </row>
    <row r="39" spans="2:45">
      <c r="B39" s="915" t="s">
        <v>2365</v>
      </c>
      <c r="C39" s="952">
        <v>42704</v>
      </c>
      <c r="D39" s="953">
        <v>300</v>
      </c>
      <c r="E39" s="953">
        <v>0</v>
      </c>
      <c r="F39" s="954" t="s">
        <v>1613</v>
      </c>
      <c r="G39" s="915" t="s">
        <v>2178</v>
      </c>
      <c r="H39" s="955" t="s">
        <v>1615</v>
      </c>
      <c r="I39" s="915" t="s">
        <v>2179</v>
      </c>
      <c r="J39" s="915" t="s">
        <v>2000</v>
      </c>
      <c r="K39" s="915" t="s">
        <v>1618</v>
      </c>
      <c r="L39" s="919"/>
      <c r="M39" s="919"/>
      <c r="N39" s="919" t="s">
        <v>2314</v>
      </c>
      <c r="O39" s="940"/>
      <c r="P39" s="919"/>
      <c r="Q39" s="919"/>
      <c r="U39" s="915" t="s">
        <v>2181</v>
      </c>
      <c r="V39" s="915" t="s">
        <v>2181</v>
      </c>
      <c r="X39" s="952">
        <v>42706</v>
      </c>
      <c r="Y39" s="952">
        <v>42709</v>
      </c>
      <c r="AA39" s="952"/>
      <c r="AB39" s="915" t="s">
        <v>1626</v>
      </c>
      <c r="AC39" s="915">
        <v>0</v>
      </c>
      <c r="AD39" s="915">
        <v>0</v>
      </c>
      <c r="AE39" s="915">
        <v>0</v>
      </c>
      <c r="AF39" s="915">
        <v>0</v>
      </c>
      <c r="AG39" s="915">
        <v>0</v>
      </c>
      <c r="AH39" s="915">
        <v>1</v>
      </c>
      <c r="AI39" s="915">
        <v>60225</v>
      </c>
      <c r="AJ39" s="915">
        <v>2010</v>
      </c>
      <c r="AK39" s="915">
        <v>0</v>
      </c>
      <c r="AL39" s="915">
        <v>0</v>
      </c>
      <c r="AO39" s="955"/>
      <c r="AP39" s="955"/>
      <c r="AQ39" s="915" t="str">
        <f t="shared" si="0"/>
        <v/>
      </c>
      <c r="AS39" s="915" t="str">
        <f t="shared" si="1"/>
        <v>wci_corp</v>
      </c>
    </row>
    <row r="40" spans="2:45">
      <c r="B40" s="915" t="s">
        <v>2365</v>
      </c>
      <c r="C40" s="952">
        <v>42704</v>
      </c>
      <c r="D40" s="953">
        <v>197.29</v>
      </c>
      <c r="E40" s="953">
        <v>0</v>
      </c>
      <c r="F40" s="954" t="s">
        <v>1613</v>
      </c>
      <c r="G40" s="915" t="s">
        <v>2178</v>
      </c>
      <c r="H40" s="955" t="s">
        <v>1615</v>
      </c>
      <c r="I40" s="915" t="s">
        <v>2179</v>
      </c>
      <c r="J40" s="915" t="s">
        <v>2000</v>
      </c>
      <c r="K40" s="915" t="s">
        <v>1618</v>
      </c>
      <c r="L40" s="919"/>
      <c r="M40" s="919"/>
      <c r="N40" s="919" t="s">
        <v>2388</v>
      </c>
      <c r="O40" s="940"/>
      <c r="P40" s="919"/>
      <c r="Q40" s="919"/>
      <c r="U40" s="915" t="s">
        <v>2181</v>
      </c>
      <c r="V40" s="915" t="s">
        <v>2181</v>
      </c>
      <c r="X40" s="952">
        <v>42706</v>
      </c>
      <c r="Y40" s="952">
        <v>42709</v>
      </c>
      <c r="AA40" s="952"/>
      <c r="AB40" s="915" t="s">
        <v>1626</v>
      </c>
      <c r="AC40" s="915">
        <v>0</v>
      </c>
      <c r="AD40" s="915">
        <v>0</v>
      </c>
      <c r="AE40" s="915">
        <v>0</v>
      </c>
      <c r="AF40" s="915">
        <v>0</v>
      </c>
      <c r="AG40" s="915">
        <v>0</v>
      </c>
      <c r="AH40" s="915">
        <v>1</v>
      </c>
      <c r="AI40" s="915">
        <v>60225</v>
      </c>
      <c r="AJ40" s="915">
        <v>2010</v>
      </c>
      <c r="AK40" s="915">
        <v>0</v>
      </c>
      <c r="AL40" s="915">
        <v>0</v>
      </c>
      <c r="AO40" s="955"/>
      <c r="AP40" s="955"/>
      <c r="AQ40" s="915" t="str">
        <f t="shared" si="0"/>
        <v/>
      </c>
      <c r="AS40" s="915" t="str">
        <f t="shared" si="1"/>
        <v>wci_corp</v>
      </c>
    </row>
    <row r="41" spans="2:45">
      <c r="B41" s="915" t="s">
        <v>2365</v>
      </c>
      <c r="C41" s="952">
        <v>42704</v>
      </c>
      <c r="D41" s="953">
        <v>777.77</v>
      </c>
      <c r="E41" s="953">
        <v>0</v>
      </c>
      <c r="F41" s="954" t="s">
        <v>1613</v>
      </c>
      <c r="G41" s="915" t="s">
        <v>2178</v>
      </c>
      <c r="H41" s="955" t="s">
        <v>1615</v>
      </c>
      <c r="I41" s="915" t="s">
        <v>2179</v>
      </c>
      <c r="J41" s="915" t="s">
        <v>2000</v>
      </c>
      <c r="K41" s="915" t="s">
        <v>1618</v>
      </c>
      <c r="L41" s="919"/>
      <c r="M41" s="919"/>
      <c r="N41" s="919" t="s">
        <v>2390</v>
      </c>
      <c r="O41" s="940"/>
      <c r="P41" s="919"/>
      <c r="Q41" s="919"/>
      <c r="U41" s="915" t="s">
        <v>2181</v>
      </c>
      <c r="V41" s="915" t="s">
        <v>2181</v>
      </c>
      <c r="X41" s="952">
        <v>42706</v>
      </c>
      <c r="Y41" s="952">
        <v>42709</v>
      </c>
      <c r="AA41" s="952"/>
      <c r="AB41" s="915" t="s">
        <v>1626</v>
      </c>
      <c r="AC41" s="915">
        <v>0</v>
      </c>
      <c r="AD41" s="915">
        <v>0</v>
      </c>
      <c r="AE41" s="915">
        <v>0</v>
      </c>
      <c r="AF41" s="915">
        <v>0</v>
      </c>
      <c r="AG41" s="915">
        <v>0</v>
      </c>
      <c r="AH41" s="915">
        <v>1</v>
      </c>
      <c r="AI41" s="915">
        <v>60225</v>
      </c>
      <c r="AJ41" s="915">
        <v>2010</v>
      </c>
      <c r="AK41" s="915">
        <v>0</v>
      </c>
      <c r="AL41" s="915">
        <v>0</v>
      </c>
      <c r="AO41" s="955"/>
      <c r="AP41" s="955"/>
      <c r="AQ41" s="915" t="str">
        <f t="shared" si="0"/>
        <v/>
      </c>
      <c r="AS41" s="915" t="str">
        <f t="shared" si="1"/>
        <v>wci_corp</v>
      </c>
    </row>
    <row r="42" spans="2:45">
      <c r="B42" s="915" t="s">
        <v>2365</v>
      </c>
      <c r="C42" s="952">
        <v>42704</v>
      </c>
      <c r="D42" s="953">
        <v>16459.46</v>
      </c>
      <c r="E42" s="953">
        <v>0</v>
      </c>
      <c r="F42" s="954" t="s">
        <v>1613</v>
      </c>
      <c r="G42" s="915" t="s">
        <v>2178</v>
      </c>
      <c r="H42" s="955" t="s">
        <v>1615</v>
      </c>
      <c r="I42" s="915" t="s">
        <v>2179</v>
      </c>
      <c r="J42" s="915" t="s">
        <v>2000</v>
      </c>
      <c r="K42" s="915" t="s">
        <v>1618</v>
      </c>
      <c r="L42" s="919"/>
      <c r="M42" s="919"/>
      <c r="N42" s="919" t="s">
        <v>2392</v>
      </c>
      <c r="O42" s="940"/>
      <c r="P42" s="919"/>
      <c r="Q42" s="919"/>
      <c r="U42" s="915" t="s">
        <v>2181</v>
      </c>
      <c r="V42" s="915" t="s">
        <v>2181</v>
      </c>
      <c r="X42" s="952">
        <v>42706</v>
      </c>
      <c r="Y42" s="952">
        <v>42709</v>
      </c>
      <c r="AA42" s="952"/>
      <c r="AB42" s="915" t="s">
        <v>1626</v>
      </c>
      <c r="AC42" s="915">
        <v>0</v>
      </c>
      <c r="AD42" s="915">
        <v>0</v>
      </c>
      <c r="AE42" s="915">
        <v>0</v>
      </c>
      <c r="AF42" s="915">
        <v>0</v>
      </c>
      <c r="AG42" s="915">
        <v>0</v>
      </c>
      <c r="AH42" s="915">
        <v>1</v>
      </c>
      <c r="AI42" s="915">
        <v>60225</v>
      </c>
      <c r="AJ42" s="915">
        <v>2010</v>
      </c>
      <c r="AK42" s="915">
        <v>0</v>
      </c>
      <c r="AL42" s="915">
        <v>0</v>
      </c>
      <c r="AO42" s="955"/>
      <c r="AP42" s="955"/>
      <c r="AQ42" s="915" t="str">
        <f t="shared" si="0"/>
        <v/>
      </c>
      <c r="AS42" s="915" t="str">
        <f t="shared" si="1"/>
        <v>wci_corp</v>
      </c>
    </row>
    <row r="43" spans="2:45">
      <c r="B43" s="915" t="s">
        <v>2365</v>
      </c>
      <c r="C43" s="952">
        <v>42704</v>
      </c>
      <c r="D43" s="953">
        <v>313.25</v>
      </c>
      <c r="E43" s="953">
        <v>0</v>
      </c>
      <c r="F43" s="954" t="s">
        <v>1613</v>
      </c>
      <c r="G43" s="915" t="s">
        <v>2178</v>
      </c>
      <c r="H43" s="955" t="s">
        <v>1615</v>
      </c>
      <c r="I43" s="915" t="s">
        <v>2179</v>
      </c>
      <c r="J43" s="915" t="s">
        <v>2000</v>
      </c>
      <c r="K43" s="915" t="s">
        <v>1618</v>
      </c>
      <c r="L43" s="919"/>
      <c r="M43" s="919"/>
      <c r="N43" s="919" t="s">
        <v>2388</v>
      </c>
      <c r="O43" s="940"/>
      <c r="P43" s="919"/>
      <c r="Q43" s="919"/>
      <c r="U43" s="915" t="s">
        <v>2181</v>
      </c>
      <c r="V43" s="915" t="s">
        <v>2181</v>
      </c>
      <c r="X43" s="952">
        <v>42706</v>
      </c>
      <c r="Y43" s="952">
        <v>42709</v>
      </c>
      <c r="AA43" s="952"/>
      <c r="AB43" s="915" t="s">
        <v>1626</v>
      </c>
      <c r="AC43" s="915">
        <v>0</v>
      </c>
      <c r="AD43" s="915">
        <v>0</v>
      </c>
      <c r="AE43" s="915">
        <v>0</v>
      </c>
      <c r="AF43" s="915">
        <v>0</v>
      </c>
      <c r="AG43" s="915">
        <v>0</v>
      </c>
      <c r="AH43" s="915">
        <v>1</v>
      </c>
      <c r="AI43" s="915">
        <v>60225</v>
      </c>
      <c r="AJ43" s="915">
        <v>2010</v>
      </c>
      <c r="AK43" s="915">
        <v>0</v>
      </c>
      <c r="AL43" s="915">
        <v>0</v>
      </c>
      <c r="AO43" s="955"/>
      <c r="AP43" s="955"/>
      <c r="AQ43" s="915" t="str">
        <f t="shared" si="0"/>
        <v/>
      </c>
      <c r="AS43" s="915" t="str">
        <f t="shared" si="1"/>
        <v>wci_corp</v>
      </c>
    </row>
    <row r="44" spans="2:45">
      <c r="B44" s="915" t="s">
        <v>2365</v>
      </c>
      <c r="C44" s="952">
        <v>42704</v>
      </c>
      <c r="D44" s="953">
        <v>1976.14</v>
      </c>
      <c r="E44" s="953">
        <v>0</v>
      </c>
      <c r="F44" s="954" t="s">
        <v>1613</v>
      </c>
      <c r="G44" s="915" t="s">
        <v>2178</v>
      </c>
      <c r="H44" s="955" t="s">
        <v>1615</v>
      </c>
      <c r="I44" s="915" t="s">
        <v>2179</v>
      </c>
      <c r="J44" s="915" t="s">
        <v>2000</v>
      </c>
      <c r="K44" s="915" t="s">
        <v>1618</v>
      </c>
      <c r="L44" s="919"/>
      <c r="M44" s="919"/>
      <c r="N44" s="919" t="s">
        <v>2404</v>
      </c>
      <c r="O44" s="940"/>
      <c r="P44" s="919"/>
      <c r="Q44" s="919"/>
      <c r="U44" s="915" t="s">
        <v>2181</v>
      </c>
      <c r="V44" s="915" t="s">
        <v>2181</v>
      </c>
      <c r="X44" s="952">
        <v>42706</v>
      </c>
      <c r="Y44" s="952">
        <v>42709</v>
      </c>
      <c r="AA44" s="952"/>
      <c r="AB44" s="915" t="s">
        <v>1626</v>
      </c>
      <c r="AC44" s="915">
        <v>0</v>
      </c>
      <c r="AD44" s="915">
        <v>0</v>
      </c>
      <c r="AE44" s="915">
        <v>0</v>
      </c>
      <c r="AF44" s="915">
        <v>0</v>
      </c>
      <c r="AG44" s="915">
        <v>0</v>
      </c>
      <c r="AH44" s="915">
        <v>1</v>
      </c>
      <c r="AI44" s="915">
        <v>60225</v>
      </c>
      <c r="AJ44" s="915">
        <v>2010</v>
      </c>
      <c r="AK44" s="915">
        <v>0</v>
      </c>
      <c r="AL44" s="915">
        <v>0</v>
      </c>
      <c r="AO44" s="955"/>
      <c r="AP44" s="955"/>
      <c r="AQ44" s="915" t="str">
        <f t="shared" si="0"/>
        <v/>
      </c>
      <c r="AS44" s="915" t="str">
        <f t="shared" si="1"/>
        <v>wci_corp</v>
      </c>
    </row>
    <row r="45" spans="2:45">
      <c r="B45" s="915" t="s">
        <v>2365</v>
      </c>
      <c r="C45" s="952">
        <v>42704</v>
      </c>
      <c r="D45" s="953">
        <v>587.5</v>
      </c>
      <c r="E45" s="953">
        <v>0</v>
      </c>
      <c r="F45" s="954" t="s">
        <v>1613</v>
      </c>
      <c r="G45" s="915" t="s">
        <v>2011</v>
      </c>
      <c r="H45" s="955" t="s">
        <v>1615</v>
      </c>
      <c r="I45" s="915" t="s">
        <v>1999</v>
      </c>
      <c r="J45" s="915" t="s">
        <v>2000</v>
      </c>
      <c r="K45" s="915" t="s">
        <v>1618</v>
      </c>
      <c r="L45" s="919"/>
      <c r="M45" s="919"/>
      <c r="N45" s="919" t="s">
        <v>2379</v>
      </c>
      <c r="O45" s="940"/>
      <c r="P45" s="919"/>
      <c r="Q45" s="919"/>
      <c r="U45" s="915" t="s">
        <v>2013</v>
      </c>
      <c r="V45" s="915" t="s">
        <v>2013</v>
      </c>
      <c r="X45" s="952">
        <v>42711</v>
      </c>
      <c r="Y45" s="952">
        <v>42711</v>
      </c>
      <c r="AA45" s="952"/>
      <c r="AB45" s="915" t="s">
        <v>1626</v>
      </c>
      <c r="AC45" s="915">
        <v>0</v>
      </c>
      <c r="AD45" s="915">
        <v>0</v>
      </c>
      <c r="AE45" s="915">
        <v>0</v>
      </c>
      <c r="AF45" s="915">
        <v>0</v>
      </c>
      <c r="AG45" s="915">
        <v>0</v>
      </c>
      <c r="AH45" s="915">
        <v>1</v>
      </c>
      <c r="AI45" s="915">
        <v>60225</v>
      </c>
      <c r="AJ45" s="915">
        <v>2010</v>
      </c>
      <c r="AK45" s="915">
        <v>0</v>
      </c>
      <c r="AL45" s="915">
        <v>0</v>
      </c>
      <c r="AO45" s="955"/>
      <c r="AP45" s="955"/>
      <c r="AQ45" s="915" t="str">
        <f t="shared" si="0"/>
        <v/>
      </c>
      <c r="AS45" s="915" t="str">
        <f t="shared" si="1"/>
        <v>wci_corp</v>
      </c>
    </row>
    <row r="46" spans="2:45">
      <c r="B46" s="915" t="s">
        <v>2365</v>
      </c>
      <c r="C46" s="952">
        <v>42704</v>
      </c>
      <c r="D46" s="953">
        <v>24.66</v>
      </c>
      <c r="E46" s="953">
        <v>0</v>
      </c>
      <c r="F46" s="954" t="s">
        <v>1613</v>
      </c>
      <c r="G46" s="915" t="s">
        <v>2011</v>
      </c>
      <c r="H46" s="955" t="s">
        <v>1615</v>
      </c>
      <c r="I46" s="915" t="s">
        <v>1999</v>
      </c>
      <c r="J46" s="915" t="s">
        <v>2000</v>
      </c>
      <c r="K46" s="915" t="s">
        <v>1618</v>
      </c>
      <c r="L46" s="919"/>
      <c r="M46" s="919"/>
      <c r="N46" s="919" t="s">
        <v>2405</v>
      </c>
      <c r="O46" s="940"/>
      <c r="P46" s="919"/>
      <c r="Q46" s="919"/>
      <c r="U46" s="915" t="s">
        <v>2013</v>
      </c>
      <c r="V46" s="915" t="s">
        <v>2013</v>
      </c>
      <c r="X46" s="952">
        <v>42711</v>
      </c>
      <c r="Y46" s="952">
        <v>42711</v>
      </c>
      <c r="AA46" s="952"/>
      <c r="AB46" s="915" t="s">
        <v>1626</v>
      </c>
      <c r="AC46" s="915">
        <v>0</v>
      </c>
      <c r="AD46" s="915">
        <v>0</v>
      </c>
      <c r="AE46" s="915">
        <v>0</v>
      </c>
      <c r="AF46" s="915">
        <v>0</v>
      </c>
      <c r="AG46" s="915">
        <v>0</v>
      </c>
      <c r="AH46" s="915">
        <v>1</v>
      </c>
      <c r="AI46" s="915">
        <v>60225</v>
      </c>
      <c r="AJ46" s="915">
        <v>2010</v>
      </c>
      <c r="AK46" s="915">
        <v>0</v>
      </c>
      <c r="AL46" s="915">
        <v>0</v>
      </c>
      <c r="AO46" s="955"/>
      <c r="AP46" s="955"/>
      <c r="AQ46" s="915" t="str">
        <f t="shared" si="0"/>
        <v/>
      </c>
      <c r="AS46" s="915" t="str">
        <f t="shared" si="1"/>
        <v>wci_corp</v>
      </c>
    </row>
    <row r="47" spans="2:45">
      <c r="B47" s="915" t="s">
        <v>2365</v>
      </c>
      <c r="C47" s="952">
        <v>42719</v>
      </c>
      <c r="D47" s="953">
        <v>20926.73</v>
      </c>
      <c r="E47" s="953">
        <v>0</v>
      </c>
      <c r="F47" s="954" t="s">
        <v>1613</v>
      </c>
      <c r="G47" s="915" t="s">
        <v>2406</v>
      </c>
      <c r="H47" s="955" t="s">
        <v>1615</v>
      </c>
      <c r="I47" s="915" t="s">
        <v>1616</v>
      </c>
      <c r="J47" s="915" t="s">
        <v>1617</v>
      </c>
      <c r="K47" s="915" t="s">
        <v>1618</v>
      </c>
      <c r="L47" s="919" t="s">
        <v>2407</v>
      </c>
      <c r="M47" s="919"/>
      <c r="N47" s="919" t="s">
        <v>2408</v>
      </c>
      <c r="O47" s="940">
        <v>42705</v>
      </c>
      <c r="P47" s="919" t="s">
        <v>2409</v>
      </c>
      <c r="Q47" s="919" t="s">
        <v>2410</v>
      </c>
      <c r="R47" s="915" t="s">
        <v>2411</v>
      </c>
      <c r="U47" s="915" t="s">
        <v>2412</v>
      </c>
      <c r="V47" s="915" t="s">
        <v>2413</v>
      </c>
      <c r="W47" s="915">
        <v>2010</v>
      </c>
      <c r="X47" s="952">
        <v>42719</v>
      </c>
      <c r="Y47" s="952">
        <v>42719</v>
      </c>
      <c r="Z47" s="915">
        <v>20926.7</v>
      </c>
      <c r="AA47" s="952">
        <v>42719</v>
      </c>
      <c r="AB47" s="915" t="s">
        <v>1626</v>
      </c>
      <c r="AC47" s="915">
        <v>0</v>
      </c>
      <c r="AD47" s="915">
        <v>0</v>
      </c>
      <c r="AE47" s="915">
        <v>0</v>
      </c>
      <c r="AF47" s="915">
        <v>0</v>
      </c>
      <c r="AG47" s="915">
        <v>0</v>
      </c>
      <c r="AH47" s="915">
        <v>1</v>
      </c>
      <c r="AI47" s="915">
        <v>60225</v>
      </c>
      <c r="AJ47" s="915">
        <v>2010</v>
      </c>
      <c r="AK47" s="915">
        <v>0</v>
      </c>
      <c r="AL47" s="915">
        <v>0</v>
      </c>
      <c r="AO47" s="955"/>
      <c r="AP47" s="955"/>
      <c r="AQ47" s="915" t="str">
        <f t="shared" si="0"/>
        <v>VO04139461</v>
      </c>
      <c r="AS47" s="915" t="str">
        <f t="shared" si="1"/>
        <v>wci_corp</v>
      </c>
    </row>
    <row r="48" spans="2:45">
      <c r="B48" s="915" t="s">
        <v>2365</v>
      </c>
      <c r="C48" s="952">
        <v>42735</v>
      </c>
      <c r="D48" s="953">
        <v>-587.5</v>
      </c>
      <c r="E48" s="953">
        <v>0</v>
      </c>
      <c r="F48" s="954" t="s">
        <v>1613</v>
      </c>
      <c r="G48" s="915" t="s">
        <v>2017</v>
      </c>
      <c r="H48" s="955" t="s">
        <v>1615</v>
      </c>
      <c r="I48" s="915" t="s">
        <v>1999</v>
      </c>
      <c r="J48" s="915" t="s">
        <v>2018</v>
      </c>
      <c r="K48" s="915" t="s">
        <v>1618</v>
      </c>
      <c r="L48" s="919"/>
      <c r="M48" s="919"/>
      <c r="N48" s="919" t="s">
        <v>2379</v>
      </c>
      <c r="O48" s="940"/>
      <c r="P48" s="919"/>
      <c r="Q48" s="919"/>
      <c r="U48" s="915" t="s">
        <v>2013</v>
      </c>
      <c r="V48" s="915" t="s">
        <v>2019</v>
      </c>
      <c r="X48" s="952">
        <v>42711</v>
      </c>
      <c r="Y48" s="952">
        <v>42711</v>
      </c>
      <c r="AA48" s="952"/>
      <c r="AB48" s="915" t="s">
        <v>1626</v>
      </c>
      <c r="AC48" s="915">
        <v>0</v>
      </c>
      <c r="AD48" s="915">
        <v>0</v>
      </c>
      <c r="AE48" s="915">
        <v>0</v>
      </c>
      <c r="AF48" s="915">
        <v>0</v>
      </c>
      <c r="AG48" s="915">
        <v>5</v>
      </c>
      <c r="AH48" s="915">
        <v>1</v>
      </c>
      <c r="AI48" s="915">
        <v>60225</v>
      </c>
      <c r="AJ48" s="915">
        <v>2010</v>
      </c>
      <c r="AK48" s="915">
        <v>0</v>
      </c>
      <c r="AL48" s="915">
        <v>0</v>
      </c>
      <c r="AO48" s="955"/>
      <c r="AP48" s="955"/>
      <c r="AQ48" s="915" t="str">
        <f t="shared" si="0"/>
        <v/>
      </c>
      <c r="AS48" s="915" t="str">
        <f t="shared" si="1"/>
        <v>wci_corp</v>
      </c>
    </row>
    <row r="49" spans="2:45">
      <c r="B49" s="915" t="s">
        <v>2365</v>
      </c>
      <c r="C49" s="952">
        <v>42735</v>
      </c>
      <c r="D49" s="953">
        <v>-24.66</v>
      </c>
      <c r="E49" s="953">
        <v>0</v>
      </c>
      <c r="F49" s="954" t="s">
        <v>1613</v>
      </c>
      <c r="G49" s="915" t="s">
        <v>2017</v>
      </c>
      <c r="H49" s="955" t="s">
        <v>1615</v>
      </c>
      <c r="I49" s="915" t="s">
        <v>1999</v>
      </c>
      <c r="J49" s="915" t="s">
        <v>2018</v>
      </c>
      <c r="K49" s="915" t="s">
        <v>1618</v>
      </c>
      <c r="L49" s="919"/>
      <c r="M49" s="919"/>
      <c r="N49" s="919" t="s">
        <v>2405</v>
      </c>
      <c r="O49" s="940"/>
      <c r="P49" s="919"/>
      <c r="Q49" s="919"/>
      <c r="U49" s="915" t="s">
        <v>2013</v>
      </c>
      <c r="V49" s="915" t="s">
        <v>2019</v>
      </c>
      <c r="X49" s="952">
        <v>42711</v>
      </c>
      <c r="Y49" s="952">
        <v>42711</v>
      </c>
      <c r="AA49" s="952"/>
      <c r="AB49" s="915" t="s">
        <v>1626</v>
      </c>
      <c r="AC49" s="915">
        <v>0</v>
      </c>
      <c r="AD49" s="915">
        <v>0</v>
      </c>
      <c r="AE49" s="915">
        <v>0</v>
      </c>
      <c r="AF49" s="915">
        <v>0</v>
      </c>
      <c r="AG49" s="915">
        <v>5</v>
      </c>
      <c r="AH49" s="915">
        <v>1</v>
      </c>
      <c r="AI49" s="915">
        <v>60225</v>
      </c>
      <c r="AJ49" s="915">
        <v>2010</v>
      </c>
      <c r="AK49" s="915">
        <v>0</v>
      </c>
      <c r="AL49" s="915">
        <v>0</v>
      </c>
      <c r="AO49" s="955"/>
      <c r="AP49" s="955"/>
      <c r="AQ49" s="915" t="str">
        <f t="shared" si="0"/>
        <v/>
      </c>
      <c r="AS49" s="915" t="str">
        <f t="shared" si="1"/>
        <v>wci_corp</v>
      </c>
    </row>
    <row r="50" spans="2:45">
      <c r="B50" s="915" t="s">
        <v>2365</v>
      </c>
      <c r="C50" s="952">
        <v>42735</v>
      </c>
      <c r="D50" s="953">
        <v>587.5</v>
      </c>
      <c r="E50" s="953">
        <v>0</v>
      </c>
      <c r="F50" s="954" t="s">
        <v>1613</v>
      </c>
      <c r="G50" s="915" t="s">
        <v>2020</v>
      </c>
      <c r="H50" s="955" t="s">
        <v>1615</v>
      </c>
      <c r="I50" s="915" t="s">
        <v>2021</v>
      </c>
      <c r="J50" s="915" t="s">
        <v>2000</v>
      </c>
      <c r="K50" s="915" t="s">
        <v>1618</v>
      </c>
      <c r="L50" s="919"/>
      <c r="M50" s="919"/>
      <c r="N50" s="919" t="s">
        <v>2314</v>
      </c>
      <c r="O50" s="940"/>
      <c r="P50" s="919"/>
      <c r="Q50" s="919"/>
      <c r="U50" s="915" t="s">
        <v>2023</v>
      </c>
      <c r="V50" s="915" t="s">
        <v>2023</v>
      </c>
      <c r="X50" s="952">
        <v>42740</v>
      </c>
      <c r="Y50" s="952">
        <v>42740</v>
      </c>
      <c r="AA50" s="952"/>
      <c r="AB50" s="915" t="s">
        <v>1626</v>
      </c>
      <c r="AC50" s="915">
        <v>0</v>
      </c>
      <c r="AD50" s="915">
        <v>0</v>
      </c>
      <c r="AE50" s="915">
        <v>0</v>
      </c>
      <c r="AF50" s="915">
        <v>0</v>
      </c>
      <c r="AG50" s="915">
        <v>0</v>
      </c>
      <c r="AH50" s="915">
        <v>1</v>
      </c>
      <c r="AI50" s="915">
        <v>60225</v>
      </c>
      <c r="AJ50" s="915">
        <v>2010</v>
      </c>
      <c r="AK50" s="915">
        <v>0</v>
      </c>
      <c r="AL50" s="915">
        <v>0</v>
      </c>
      <c r="AO50" s="955"/>
      <c r="AP50" s="955"/>
      <c r="AQ50" s="915" t="str">
        <f t="shared" si="0"/>
        <v/>
      </c>
      <c r="AS50" s="915" t="str">
        <f t="shared" si="1"/>
        <v>wci_corp</v>
      </c>
    </row>
    <row r="51" spans="2:45">
      <c r="B51" s="915" t="s">
        <v>2365</v>
      </c>
      <c r="C51" s="952">
        <v>42735</v>
      </c>
      <c r="D51" s="953">
        <v>30.03</v>
      </c>
      <c r="E51" s="953">
        <v>0</v>
      </c>
      <c r="F51" s="954" t="s">
        <v>1613</v>
      </c>
      <c r="G51" s="915" t="s">
        <v>2020</v>
      </c>
      <c r="H51" s="955" t="s">
        <v>1615</v>
      </c>
      <c r="I51" s="915" t="s">
        <v>2021</v>
      </c>
      <c r="J51" s="915" t="s">
        <v>2000</v>
      </c>
      <c r="K51" s="915" t="s">
        <v>1618</v>
      </c>
      <c r="L51" s="919"/>
      <c r="M51" s="919"/>
      <c r="N51" s="919" t="s">
        <v>2414</v>
      </c>
      <c r="O51" s="940"/>
      <c r="P51" s="919"/>
      <c r="Q51" s="919"/>
      <c r="U51" s="915" t="s">
        <v>2023</v>
      </c>
      <c r="V51" s="915" t="s">
        <v>2023</v>
      </c>
      <c r="X51" s="952">
        <v>42740</v>
      </c>
      <c r="Y51" s="952">
        <v>42740</v>
      </c>
      <c r="AA51" s="952"/>
      <c r="AB51" s="915" t="s">
        <v>1626</v>
      </c>
      <c r="AC51" s="915">
        <v>0</v>
      </c>
      <c r="AD51" s="915">
        <v>0</v>
      </c>
      <c r="AE51" s="915">
        <v>0</v>
      </c>
      <c r="AF51" s="915">
        <v>0</v>
      </c>
      <c r="AG51" s="915">
        <v>0</v>
      </c>
      <c r="AH51" s="915">
        <v>1</v>
      </c>
      <c r="AI51" s="915">
        <v>60225</v>
      </c>
      <c r="AJ51" s="915">
        <v>2010</v>
      </c>
      <c r="AK51" s="915">
        <v>0</v>
      </c>
      <c r="AL51" s="915">
        <v>0</v>
      </c>
      <c r="AO51" s="955"/>
      <c r="AP51" s="955"/>
      <c r="AQ51" s="915" t="str">
        <f t="shared" si="0"/>
        <v/>
      </c>
      <c r="AS51" s="915" t="str">
        <f t="shared" si="1"/>
        <v>wci_corp</v>
      </c>
    </row>
    <row r="52" spans="2:45">
      <c r="B52" s="915" t="s">
        <v>2365</v>
      </c>
      <c r="C52" s="952">
        <v>42735</v>
      </c>
      <c r="D52" s="953">
        <v>290</v>
      </c>
      <c r="E52" s="953">
        <v>0</v>
      </c>
      <c r="F52" s="954" t="s">
        <v>1613</v>
      </c>
      <c r="G52" s="915" t="s">
        <v>2020</v>
      </c>
      <c r="H52" s="955" t="s">
        <v>1615</v>
      </c>
      <c r="I52" s="915" t="s">
        <v>2021</v>
      </c>
      <c r="J52" s="915" t="s">
        <v>2000</v>
      </c>
      <c r="K52" s="915" t="s">
        <v>1618</v>
      </c>
      <c r="L52" s="919"/>
      <c r="M52" s="919"/>
      <c r="N52" s="919" t="s">
        <v>2415</v>
      </c>
      <c r="O52" s="940"/>
      <c r="P52" s="919"/>
      <c r="Q52" s="919"/>
      <c r="U52" s="915" t="s">
        <v>2023</v>
      </c>
      <c r="V52" s="915" t="s">
        <v>2023</v>
      </c>
      <c r="X52" s="952">
        <v>42740</v>
      </c>
      <c r="Y52" s="952">
        <v>42740</v>
      </c>
      <c r="AA52" s="952"/>
      <c r="AB52" s="915" t="s">
        <v>1626</v>
      </c>
      <c r="AC52" s="915">
        <v>0</v>
      </c>
      <c r="AD52" s="915">
        <v>0</v>
      </c>
      <c r="AE52" s="915">
        <v>0</v>
      </c>
      <c r="AF52" s="915">
        <v>0</v>
      </c>
      <c r="AG52" s="915">
        <v>0</v>
      </c>
      <c r="AH52" s="915">
        <v>1</v>
      </c>
      <c r="AI52" s="915">
        <v>60225</v>
      </c>
      <c r="AJ52" s="915">
        <v>2010</v>
      </c>
      <c r="AK52" s="915">
        <v>0</v>
      </c>
      <c r="AL52" s="915">
        <v>0</v>
      </c>
      <c r="AO52" s="955"/>
      <c r="AP52" s="955"/>
      <c r="AQ52" s="915" t="str">
        <f t="shared" si="0"/>
        <v/>
      </c>
      <c r="AS52" s="915" t="str">
        <f t="shared" si="1"/>
        <v>wci_corp</v>
      </c>
    </row>
    <row r="53" spans="2:45">
      <c r="B53" s="915" t="s">
        <v>2365</v>
      </c>
      <c r="C53" s="952">
        <v>42735</v>
      </c>
      <c r="D53" s="953">
        <v>-215</v>
      </c>
      <c r="E53" s="953">
        <v>0</v>
      </c>
      <c r="F53" s="954" t="s">
        <v>1613</v>
      </c>
      <c r="G53" s="915" t="s">
        <v>2416</v>
      </c>
      <c r="H53" s="955" t="s">
        <v>1615</v>
      </c>
      <c r="I53" s="915" t="s">
        <v>2417</v>
      </c>
      <c r="J53" s="915" t="s">
        <v>1629</v>
      </c>
      <c r="K53" s="915" t="s">
        <v>2387</v>
      </c>
      <c r="L53" s="919"/>
      <c r="M53" s="919"/>
      <c r="N53" s="919" t="s">
        <v>2415</v>
      </c>
      <c r="O53" s="940"/>
      <c r="P53" s="919"/>
      <c r="Q53" s="919"/>
      <c r="U53" s="915" t="s">
        <v>2416</v>
      </c>
      <c r="V53" s="915" t="s">
        <v>2418</v>
      </c>
      <c r="X53" s="952">
        <v>42741</v>
      </c>
      <c r="Y53" s="952">
        <v>42741</v>
      </c>
      <c r="AA53" s="952"/>
      <c r="AB53" s="915" t="s">
        <v>1626</v>
      </c>
      <c r="AC53" s="915">
        <v>1</v>
      </c>
      <c r="AD53" s="915">
        <v>0</v>
      </c>
      <c r="AE53" s="915">
        <v>0</v>
      </c>
      <c r="AF53" s="915">
        <v>0</v>
      </c>
      <c r="AG53" s="915">
        <v>0</v>
      </c>
      <c r="AH53" s="915">
        <v>1</v>
      </c>
      <c r="AI53" s="915">
        <v>60225</v>
      </c>
      <c r="AJ53" s="915">
        <v>2010</v>
      </c>
      <c r="AK53" s="915">
        <v>0</v>
      </c>
      <c r="AL53" s="915">
        <v>0</v>
      </c>
      <c r="AO53" s="955"/>
      <c r="AP53" s="955"/>
      <c r="AQ53" s="915" t="str">
        <f t="shared" si="0"/>
        <v/>
      </c>
      <c r="AS53" s="915" t="str">
        <f t="shared" si="1"/>
        <v>wci_wa</v>
      </c>
    </row>
    <row r="54" spans="2:45">
      <c r="B54" s="915" t="s">
        <v>2365</v>
      </c>
      <c r="C54" s="952">
        <v>42735</v>
      </c>
      <c r="D54" s="953">
        <v>881.25</v>
      </c>
      <c r="E54" s="953">
        <v>0</v>
      </c>
      <c r="F54" s="954" t="s">
        <v>1613</v>
      </c>
      <c r="G54" s="915" t="s">
        <v>2024</v>
      </c>
      <c r="H54" s="955" t="s">
        <v>1615</v>
      </c>
      <c r="I54" s="915" t="s">
        <v>1999</v>
      </c>
      <c r="J54" s="915" t="s">
        <v>2025</v>
      </c>
      <c r="K54" s="915" t="s">
        <v>1618</v>
      </c>
      <c r="L54" s="919"/>
      <c r="M54" s="919"/>
      <c r="N54" s="919" t="s">
        <v>2379</v>
      </c>
      <c r="O54" s="940"/>
      <c r="P54" s="919"/>
      <c r="Q54" s="919"/>
      <c r="U54" s="915" t="s">
        <v>2027</v>
      </c>
      <c r="V54" s="915" t="s">
        <v>2027</v>
      </c>
      <c r="X54" s="952">
        <v>42741</v>
      </c>
      <c r="Y54" s="952">
        <v>42741</v>
      </c>
      <c r="AA54" s="952"/>
      <c r="AB54" s="915" t="s">
        <v>1626</v>
      </c>
      <c r="AC54" s="915">
        <v>0</v>
      </c>
      <c r="AD54" s="915">
        <v>0</v>
      </c>
      <c r="AE54" s="915">
        <v>0</v>
      </c>
      <c r="AF54" s="915">
        <v>0</v>
      </c>
      <c r="AG54" s="915">
        <v>0</v>
      </c>
      <c r="AH54" s="915">
        <v>1</v>
      </c>
      <c r="AI54" s="915">
        <v>60225</v>
      </c>
      <c r="AJ54" s="915">
        <v>2010</v>
      </c>
      <c r="AK54" s="915">
        <v>0</v>
      </c>
      <c r="AL54" s="915">
        <v>0</v>
      </c>
      <c r="AO54" s="955"/>
      <c r="AP54" s="955"/>
      <c r="AQ54" s="915" t="str">
        <f t="shared" si="0"/>
        <v/>
      </c>
      <c r="AS54" s="915" t="str">
        <f t="shared" si="1"/>
        <v>wci_corp</v>
      </c>
    </row>
    <row r="55" spans="2:45">
      <c r="B55" s="915" t="s">
        <v>2365</v>
      </c>
      <c r="C55" s="952">
        <v>42735</v>
      </c>
      <c r="D55" s="953">
        <v>9476.43</v>
      </c>
      <c r="E55" s="953">
        <v>0</v>
      </c>
      <c r="F55" s="954" t="s">
        <v>1613</v>
      </c>
      <c r="G55" s="915" t="s">
        <v>2024</v>
      </c>
      <c r="H55" s="955" t="s">
        <v>1615</v>
      </c>
      <c r="I55" s="915" t="s">
        <v>1999</v>
      </c>
      <c r="J55" s="915" t="s">
        <v>2025</v>
      </c>
      <c r="K55" s="915" t="s">
        <v>1618</v>
      </c>
      <c r="L55" s="919"/>
      <c r="M55" s="919"/>
      <c r="N55" s="919" t="s">
        <v>2419</v>
      </c>
      <c r="O55" s="940"/>
      <c r="P55" s="919"/>
      <c r="Q55" s="919"/>
      <c r="U55" s="915" t="s">
        <v>2027</v>
      </c>
      <c r="V55" s="915" t="s">
        <v>2027</v>
      </c>
      <c r="X55" s="952">
        <v>42741</v>
      </c>
      <c r="Y55" s="952">
        <v>42741</v>
      </c>
      <c r="AA55" s="952"/>
      <c r="AB55" s="915" t="s">
        <v>1626</v>
      </c>
      <c r="AC55" s="915">
        <v>0</v>
      </c>
      <c r="AD55" s="915">
        <v>0</v>
      </c>
      <c r="AE55" s="915">
        <v>0</v>
      </c>
      <c r="AF55" s="915">
        <v>0</v>
      </c>
      <c r="AG55" s="915">
        <v>0</v>
      </c>
      <c r="AH55" s="915">
        <v>1</v>
      </c>
      <c r="AI55" s="915">
        <v>60225</v>
      </c>
      <c r="AJ55" s="915">
        <v>2010</v>
      </c>
      <c r="AK55" s="915">
        <v>0</v>
      </c>
      <c r="AL55" s="915">
        <v>0</v>
      </c>
      <c r="AO55" s="955"/>
      <c r="AP55" s="955"/>
      <c r="AQ55" s="915" t="str">
        <f t="shared" si="0"/>
        <v/>
      </c>
      <c r="AS55" s="915" t="str">
        <f t="shared" si="1"/>
        <v>wci_corp</v>
      </c>
    </row>
    <row r="56" spans="2:45">
      <c r="B56" s="915" t="s">
        <v>2365</v>
      </c>
      <c r="C56" s="952">
        <v>42747</v>
      </c>
      <c r="D56" s="953">
        <v>445</v>
      </c>
      <c r="E56" s="953">
        <v>0</v>
      </c>
      <c r="F56" s="954" t="s">
        <v>1613</v>
      </c>
      <c r="G56" s="915" t="s">
        <v>2209</v>
      </c>
      <c r="H56" s="955" t="s">
        <v>1615</v>
      </c>
      <c r="I56" s="915" t="s">
        <v>1616</v>
      </c>
      <c r="J56" s="915" t="s">
        <v>1617</v>
      </c>
      <c r="K56" s="915" t="s">
        <v>1618</v>
      </c>
      <c r="L56" s="919" t="s">
        <v>2420</v>
      </c>
      <c r="M56" s="919" t="s">
        <v>2421</v>
      </c>
      <c r="N56" s="919" t="s">
        <v>2421</v>
      </c>
      <c r="O56" s="940">
        <v>42736</v>
      </c>
      <c r="P56" s="919" t="s">
        <v>2422</v>
      </c>
      <c r="Q56" s="919">
        <v>438265</v>
      </c>
      <c r="R56" s="915" t="s">
        <v>2423</v>
      </c>
      <c r="U56" s="915" t="s">
        <v>2424</v>
      </c>
      <c r="V56" s="915" t="s">
        <v>2214</v>
      </c>
      <c r="W56" s="915">
        <v>2010</v>
      </c>
      <c r="X56" s="952">
        <v>42747</v>
      </c>
      <c r="Y56" s="952">
        <v>42748</v>
      </c>
      <c r="Z56" s="915">
        <v>445</v>
      </c>
      <c r="AA56" s="952">
        <v>42737</v>
      </c>
      <c r="AB56" s="915" t="s">
        <v>1626</v>
      </c>
      <c r="AC56" s="915">
        <v>0</v>
      </c>
      <c r="AD56" s="915">
        <v>0</v>
      </c>
      <c r="AE56" s="915">
        <v>0</v>
      </c>
      <c r="AF56" s="915">
        <v>0</v>
      </c>
      <c r="AG56" s="915">
        <v>0</v>
      </c>
      <c r="AH56" s="915">
        <v>1</v>
      </c>
      <c r="AI56" s="915">
        <v>60225</v>
      </c>
      <c r="AJ56" s="915">
        <v>2010</v>
      </c>
      <c r="AK56" s="915">
        <v>0</v>
      </c>
      <c r="AL56" s="915">
        <v>0</v>
      </c>
      <c r="AO56" s="955"/>
      <c r="AP56" s="955"/>
      <c r="AQ56" s="915" t="str">
        <f t="shared" si="0"/>
        <v>VO04169899</v>
      </c>
      <c r="AS56" s="915" t="str">
        <f t="shared" si="1"/>
        <v>wci_corp</v>
      </c>
    </row>
    <row r="57" spans="2:45">
      <c r="B57" s="915" t="s">
        <v>2365</v>
      </c>
      <c r="C57" s="952">
        <v>42766</v>
      </c>
      <c r="D57" s="953">
        <v>215</v>
      </c>
      <c r="E57" s="953">
        <v>0</v>
      </c>
      <c r="F57" s="954" t="s">
        <v>1613</v>
      </c>
      <c r="G57" s="915" t="s">
        <v>2425</v>
      </c>
      <c r="H57" s="955" t="s">
        <v>1615</v>
      </c>
      <c r="I57" s="915" t="s">
        <v>2417</v>
      </c>
      <c r="J57" s="915" t="s">
        <v>1629</v>
      </c>
      <c r="K57" s="915" t="s">
        <v>2403</v>
      </c>
      <c r="L57" s="919"/>
      <c r="M57" s="919"/>
      <c r="N57" s="919" t="s">
        <v>2415</v>
      </c>
      <c r="O57" s="940"/>
      <c r="P57" s="919"/>
      <c r="Q57" s="919"/>
      <c r="U57" s="915" t="s">
        <v>2416</v>
      </c>
      <c r="V57" s="915" t="s">
        <v>2418</v>
      </c>
      <c r="X57" s="952">
        <v>42741</v>
      </c>
      <c r="Y57" s="952">
        <v>42741</v>
      </c>
      <c r="AA57" s="952"/>
      <c r="AB57" s="915" t="s">
        <v>1626</v>
      </c>
      <c r="AC57" s="915">
        <v>0</v>
      </c>
      <c r="AD57" s="915">
        <v>0</v>
      </c>
      <c r="AE57" s="915">
        <v>0</v>
      </c>
      <c r="AF57" s="915">
        <v>0</v>
      </c>
      <c r="AG57" s="915">
        <v>5</v>
      </c>
      <c r="AH57" s="915">
        <v>1</v>
      </c>
      <c r="AI57" s="915">
        <v>60225</v>
      </c>
      <c r="AJ57" s="915">
        <v>2010</v>
      </c>
      <c r="AK57" s="915">
        <v>0</v>
      </c>
      <c r="AL57" s="915">
        <v>0</v>
      </c>
      <c r="AO57" s="955"/>
      <c r="AP57" s="955"/>
      <c r="AQ57" s="915" t="str">
        <f t="shared" si="0"/>
        <v/>
      </c>
      <c r="AS57" s="915" t="str">
        <f t="shared" si="1"/>
        <v>wci_wa</v>
      </c>
    </row>
    <row r="58" spans="2:45">
      <c r="B58" s="915" t="s">
        <v>2365</v>
      </c>
      <c r="C58" s="952">
        <v>42766</v>
      </c>
      <c r="D58" s="953">
        <v>-881.25</v>
      </c>
      <c r="E58" s="953">
        <v>0</v>
      </c>
      <c r="F58" s="954" t="s">
        <v>1613</v>
      </c>
      <c r="G58" s="915" t="s">
        <v>2034</v>
      </c>
      <c r="H58" s="955" t="s">
        <v>1615</v>
      </c>
      <c r="I58" s="915" t="s">
        <v>1999</v>
      </c>
      <c r="J58" s="915" t="s">
        <v>2025</v>
      </c>
      <c r="K58" s="915" t="s">
        <v>1618</v>
      </c>
      <c r="L58" s="919"/>
      <c r="M58" s="919"/>
      <c r="N58" s="919" t="s">
        <v>2379</v>
      </c>
      <c r="O58" s="940"/>
      <c r="P58" s="919"/>
      <c r="Q58" s="919"/>
      <c r="U58" s="915" t="s">
        <v>2027</v>
      </c>
      <c r="V58" s="915" t="s">
        <v>2035</v>
      </c>
      <c r="X58" s="952">
        <v>42741</v>
      </c>
      <c r="Y58" s="952">
        <v>42741</v>
      </c>
      <c r="AA58" s="952"/>
      <c r="AB58" s="915" t="s">
        <v>1626</v>
      </c>
      <c r="AC58" s="915">
        <v>0</v>
      </c>
      <c r="AD58" s="915">
        <v>0</v>
      </c>
      <c r="AE58" s="915">
        <v>0</v>
      </c>
      <c r="AF58" s="915">
        <v>0</v>
      </c>
      <c r="AG58" s="915">
        <v>5</v>
      </c>
      <c r="AH58" s="915">
        <v>1</v>
      </c>
      <c r="AI58" s="915">
        <v>60225</v>
      </c>
      <c r="AJ58" s="915">
        <v>2010</v>
      </c>
      <c r="AK58" s="915">
        <v>0</v>
      </c>
      <c r="AL58" s="915">
        <v>0</v>
      </c>
      <c r="AO58" s="955"/>
      <c r="AP58" s="955"/>
      <c r="AQ58" s="915" t="str">
        <f t="shared" si="0"/>
        <v/>
      </c>
      <c r="AS58" s="915" t="str">
        <f t="shared" si="1"/>
        <v>wci_corp</v>
      </c>
    </row>
    <row r="59" spans="2:45">
      <c r="B59" s="915" t="s">
        <v>2365</v>
      </c>
      <c r="C59" s="952">
        <v>42766</v>
      </c>
      <c r="D59" s="953">
        <v>-9476.43</v>
      </c>
      <c r="E59" s="953">
        <v>0</v>
      </c>
      <c r="F59" s="954" t="s">
        <v>1613</v>
      </c>
      <c r="G59" s="915" t="s">
        <v>2034</v>
      </c>
      <c r="H59" s="955" t="s">
        <v>1615</v>
      </c>
      <c r="I59" s="915" t="s">
        <v>1999</v>
      </c>
      <c r="J59" s="915" t="s">
        <v>2025</v>
      </c>
      <c r="K59" s="915" t="s">
        <v>1618</v>
      </c>
      <c r="L59" s="919"/>
      <c r="M59" s="919"/>
      <c r="N59" s="919" t="s">
        <v>2419</v>
      </c>
      <c r="O59" s="940"/>
      <c r="P59" s="919"/>
      <c r="Q59" s="919"/>
      <c r="U59" s="915" t="s">
        <v>2027</v>
      </c>
      <c r="V59" s="915" t="s">
        <v>2035</v>
      </c>
      <c r="X59" s="952">
        <v>42741</v>
      </c>
      <c r="Y59" s="952">
        <v>42741</v>
      </c>
      <c r="AA59" s="952"/>
      <c r="AB59" s="915" t="s">
        <v>1626</v>
      </c>
      <c r="AC59" s="915">
        <v>0</v>
      </c>
      <c r="AD59" s="915">
        <v>0</v>
      </c>
      <c r="AE59" s="915">
        <v>0</v>
      </c>
      <c r="AF59" s="915">
        <v>0</v>
      </c>
      <c r="AG59" s="915">
        <v>5</v>
      </c>
      <c r="AH59" s="915">
        <v>1</v>
      </c>
      <c r="AI59" s="915">
        <v>60225</v>
      </c>
      <c r="AJ59" s="915">
        <v>2010</v>
      </c>
      <c r="AK59" s="915">
        <v>0</v>
      </c>
      <c r="AL59" s="915">
        <v>0</v>
      </c>
      <c r="AO59" s="955"/>
      <c r="AP59" s="955"/>
      <c r="AQ59" s="915" t="str">
        <f t="shared" si="0"/>
        <v/>
      </c>
      <c r="AS59" s="915" t="str">
        <f t="shared" si="1"/>
        <v>wci_corp</v>
      </c>
    </row>
    <row r="60" spans="2:45">
      <c r="B60" s="915" t="s">
        <v>2365</v>
      </c>
      <c r="C60" s="952">
        <v>42766</v>
      </c>
      <c r="D60" s="953">
        <v>881.25</v>
      </c>
      <c r="E60" s="953">
        <v>0</v>
      </c>
      <c r="F60" s="954" t="s">
        <v>1613</v>
      </c>
      <c r="G60" s="915" t="s">
        <v>2036</v>
      </c>
      <c r="H60" s="955" t="s">
        <v>1615</v>
      </c>
      <c r="I60" s="915" t="s">
        <v>2037</v>
      </c>
      <c r="J60" s="915" t="s">
        <v>2000</v>
      </c>
      <c r="K60" s="915" t="s">
        <v>1618</v>
      </c>
      <c r="L60" s="919"/>
      <c r="M60" s="919"/>
      <c r="N60" s="919" t="s">
        <v>2314</v>
      </c>
      <c r="O60" s="940"/>
      <c r="P60" s="919"/>
      <c r="Q60" s="919"/>
      <c r="U60" s="915" t="s">
        <v>2038</v>
      </c>
      <c r="V60" s="915" t="s">
        <v>2038</v>
      </c>
      <c r="X60" s="952">
        <v>42769</v>
      </c>
      <c r="Y60" s="952">
        <v>42769</v>
      </c>
      <c r="AA60" s="952"/>
      <c r="AB60" s="915" t="s">
        <v>1626</v>
      </c>
      <c r="AC60" s="915">
        <v>0</v>
      </c>
      <c r="AD60" s="915">
        <v>0</v>
      </c>
      <c r="AE60" s="915">
        <v>0</v>
      </c>
      <c r="AF60" s="915">
        <v>0</v>
      </c>
      <c r="AG60" s="915">
        <v>0</v>
      </c>
      <c r="AH60" s="915">
        <v>1</v>
      </c>
      <c r="AI60" s="915">
        <v>60225</v>
      </c>
      <c r="AJ60" s="915">
        <v>2010</v>
      </c>
      <c r="AK60" s="915">
        <v>0</v>
      </c>
      <c r="AL60" s="915">
        <v>0</v>
      </c>
      <c r="AO60" s="955"/>
      <c r="AP60" s="955"/>
      <c r="AQ60" s="915" t="str">
        <f t="shared" si="0"/>
        <v/>
      </c>
      <c r="AS60" s="915" t="str">
        <f t="shared" si="1"/>
        <v>wci_corp</v>
      </c>
    </row>
    <row r="61" spans="2:45">
      <c r="B61" s="915" t="s">
        <v>2365</v>
      </c>
      <c r="C61" s="952">
        <v>42766</v>
      </c>
      <c r="D61" s="953">
        <v>-215</v>
      </c>
      <c r="E61" s="953">
        <v>0</v>
      </c>
      <c r="F61" s="954" t="s">
        <v>1613</v>
      </c>
      <c r="G61" s="915" t="s">
        <v>2036</v>
      </c>
      <c r="H61" s="955" t="s">
        <v>1615</v>
      </c>
      <c r="I61" s="915" t="s">
        <v>2037</v>
      </c>
      <c r="J61" s="915" t="s">
        <v>2000</v>
      </c>
      <c r="K61" s="915" t="s">
        <v>1618</v>
      </c>
      <c r="L61" s="919"/>
      <c r="M61" s="919"/>
      <c r="N61" s="919" t="s">
        <v>2415</v>
      </c>
      <c r="O61" s="940"/>
      <c r="P61" s="919"/>
      <c r="Q61" s="919"/>
      <c r="U61" s="915" t="s">
        <v>2038</v>
      </c>
      <c r="V61" s="915" t="s">
        <v>2038</v>
      </c>
      <c r="X61" s="952">
        <v>42769</v>
      </c>
      <c r="Y61" s="952">
        <v>42769</v>
      </c>
      <c r="AA61" s="952"/>
      <c r="AB61" s="915" t="s">
        <v>1626</v>
      </c>
      <c r="AC61" s="915">
        <v>0</v>
      </c>
      <c r="AD61" s="915">
        <v>0</v>
      </c>
      <c r="AE61" s="915">
        <v>0</v>
      </c>
      <c r="AF61" s="915">
        <v>0</v>
      </c>
      <c r="AG61" s="915">
        <v>0</v>
      </c>
      <c r="AH61" s="915">
        <v>1</v>
      </c>
      <c r="AI61" s="915">
        <v>60225</v>
      </c>
      <c r="AJ61" s="915">
        <v>2010</v>
      </c>
      <c r="AK61" s="915">
        <v>0</v>
      </c>
      <c r="AL61" s="915">
        <v>0</v>
      </c>
      <c r="AO61" s="955"/>
      <c r="AP61" s="955"/>
      <c r="AQ61" s="915" t="str">
        <f t="shared" si="0"/>
        <v/>
      </c>
      <c r="AS61" s="915" t="str">
        <f t="shared" si="1"/>
        <v>wci_corp</v>
      </c>
    </row>
    <row r="62" spans="2:45">
      <c r="B62" s="915" t="s">
        <v>2365</v>
      </c>
      <c r="C62" s="952">
        <v>42766</v>
      </c>
      <c r="D62" s="953">
        <v>9476.43</v>
      </c>
      <c r="E62" s="953">
        <v>0</v>
      </c>
      <c r="F62" s="954" t="s">
        <v>1613</v>
      </c>
      <c r="G62" s="915" t="s">
        <v>2036</v>
      </c>
      <c r="H62" s="955" t="s">
        <v>1615</v>
      </c>
      <c r="I62" s="915" t="s">
        <v>2037</v>
      </c>
      <c r="J62" s="915" t="s">
        <v>2000</v>
      </c>
      <c r="K62" s="915" t="s">
        <v>1618</v>
      </c>
      <c r="L62" s="919"/>
      <c r="M62" s="919"/>
      <c r="N62" s="919" t="s">
        <v>2426</v>
      </c>
      <c r="O62" s="940"/>
      <c r="P62" s="919"/>
      <c r="Q62" s="919"/>
      <c r="U62" s="915" t="s">
        <v>2038</v>
      </c>
      <c r="V62" s="915" t="s">
        <v>2038</v>
      </c>
      <c r="X62" s="952">
        <v>42769</v>
      </c>
      <c r="Y62" s="952">
        <v>42769</v>
      </c>
      <c r="AA62" s="952"/>
      <c r="AB62" s="915" t="s">
        <v>1626</v>
      </c>
      <c r="AC62" s="915">
        <v>0</v>
      </c>
      <c r="AD62" s="915">
        <v>0</v>
      </c>
      <c r="AE62" s="915">
        <v>0</v>
      </c>
      <c r="AF62" s="915">
        <v>0</v>
      </c>
      <c r="AG62" s="915">
        <v>0</v>
      </c>
      <c r="AH62" s="915">
        <v>1</v>
      </c>
      <c r="AI62" s="915">
        <v>60225</v>
      </c>
      <c r="AJ62" s="915">
        <v>2010</v>
      </c>
      <c r="AK62" s="915">
        <v>0</v>
      </c>
      <c r="AL62" s="915">
        <v>0</v>
      </c>
      <c r="AO62" s="955"/>
      <c r="AP62" s="955"/>
      <c r="AQ62" s="915" t="str">
        <f t="shared" si="0"/>
        <v/>
      </c>
      <c r="AS62" s="915" t="str">
        <f t="shared" si="1"/>
        <v>wci_corp</v>
      </c>
    </row>
    <row r="63" spans="2:45">
      <c r="B63" s="915" t="s">
        <v>2365</v>
      </c>
      <c r="C63" s="952">
        <v>42766</v>
      </c>
      <c r="D63" s="953">
        <v>173.43</v>
      </c>
      <c r="E63" s="953">
        <v>0</v>
      </c>
      <c r="F63" s="954" t="s">
        <v>1613</v>
      </c>
      <c r="G63" s="915" t="s">
        <v>2427</v>
      </c>
      <c r="H63" s="955" t="s">
        <v>1615</v>
      </c>
      <c r="I63" s="915" t="s">
        <v>2056</v>
      </c>
      <c r="J63" s="915" t="s">
        <v>1629</v>
      </c>
      <c r="K63" s="915" t="s">
        <v>2387</v>
      </c>
      <c r="L63" s="919"/>
      <c r="M63" s="919"/>
      <c r="N63" s="919" t="s">
        <v>2428</v>
      </c>
      <c r="O63" s="940"/>
      <c r="P63" s="919"/>
      <c r="Q63" s="919"/>
      <c r="U63" s="915" t="s">
        <v>2427</v>
      </c>
      <c r="V63" s="915" t="s">
        <v>2429</v>
      </c>
      <c r="X63" s="952">
        <v>42772</v>
      </c>
      <c r="Y63" s="952">
        <v>42773</v>
      </c>
      <c r="AA63" s="952"/>
      <c r="AB63" s="915" t="s">
        <v>1626</v>
      </c>
      <c r="AC63" s="915">
        <v>1</v>
      </c>
      <c r="AD63" s="915">
        <v>0</v>
      </c>
      <c r="AE63" s="915">
        <v>0</v>
      </c>
      <c r="AF63" s="915">
        <v>0</v>
      </c>
      <c r="AG63" s="915">
        <v>0</v>
      </c>
      <c r="AH63" s="915">
        <v>1</v>
      </c>
      <c r="AI63" s="915">
        <v>60225</v>
      </c>
      <c r="AJ63" s="915">
        <v>2010</v>
      </c>
      <c r="AK63" s="915">
        <v>0</v>
      </c>
      <c r="AL63" s="915">
        <v>0</v>
      </c>
      <c r="AO63" s="955"/>
      <c r="AP63" s="955"/>
      <c r="AQ63" s="915" t="str">
        <f t="shared" si="0"/>
        <v/>
      </c>
      <c r="AS63" s="915" t="str">
        <f t="shared" si="1"/>
        <v>wci_wa</v>
      </c>
    </row>
    <row r="64" spans="2:45">
      <c r="B64" s="915" t="s">
        <v>2365</v>
      </c>
      <c r="C64" s="952">
        <v>42766</v>
      </c>
      <c r="D64" s="953">
        <v>173.43</v>
      </c>
      <c r="E64" s="953">
        <v>0</v>
      </c>
      <c r="F64" s="954" t="s">
        <v>1613</v>
      </c>
      <c r="G64" s="915" t="s">
        <v>2427</v>
      </c>
      <c r="H64" s="955" t="s">
        <v>1615</v>
      </c>
      <c r="I64" s="915" t="s">
        <v>2056</v>
      </c>
      <c r="J64" s="915" t="s">
        <v>1629</v>
      </c>
      <c r="K64" s="915" t="s">
        <v>2387</v>
      </c>
      <c r="L64" s="919"/>
      <c r="M64" s="919"/>
      <c r="N64" s="919" t="s">
        <v>2428</v>
      </c>
      <c r="O64" s="940"/>
      <c r="P64" s="919"/>
      <c r="Q64" s="919"/>
      <c r="U64" s="915" t="s">
        <v>2427</v>
      </c>
      <c r="V64" s="915" t="s">
        <v>2429</v>
      </c>
      <c r="X64" s="952">
        <v>42772</v>
      </c>
      <c r="Y64" s="952">
        <v>42773</v>
      </c>
      <c r="AA64" s="952"/>
      <c r="AB64" s="915" t="s">
        <v>1626</v>
      </c>
      <c r="AC64" s="915">
        <v>1</v>
      </c>
      <c r="AD64" s="915">
        <v>0</v>
      </c>
      <c r="AE64" s="915">
        <v>0</v>
      </c>
      <c r="AF64" s="915">
        <v>0</v>
      </c>
      <c r="AG64" s="915">
        <v>0</v>
      </c>
      <c r="AH64" s="915">
        <v>1</v>
      </c>
      <c r="AI64" s="915">
        <v>60225</v>
      </c>
      <c r="AJ64" s="915">
        <v>2010</v>
      </c>
      <c r="AK64" s="915">
        <v>0</v>
      </c>
      <c r="AL64" s="915">
        <v>0</v>
      </c>
      <c r="AO64" s="955"/>
      <c r="AP64" s="955"/>
      <c r="AQ64" s="915" t="str">
        <f t="shared" si="0"/>
        <v/>
      </c>
      <c r="AS64" s="915" t="str">
        <f t="shared" si="1"/>
        <v>wci_wa</v>
      </c>
    </row>
    <row r="65" spans="2:45">
      <c r="B65" s="915" t="s">
        <v>2365</v>
      </c>
      <c r="C65" s="952">
        <v>42766</v>
      </c>
      <c r="D65" s="953">
        <v>1650.46</v>
      </c>
      <c r="E65" s="953">
        <v>0</v>
      </c>
      <c r="F65" s="954" t="s">
        <v>1613</v>
      </c>
      <c r="G65" s="915" t="s">
        <v>2430</v>
      </c>
      <c r="H65" s="955" t="s">
        <v>1615</v>
      </c>
      <c r="I65" s="915" t="s">
        <v>1999</v>
      </c>
      <c r="J65" s="915" t="s">
        <v>2018</v>
      </c>
      <c r="K65" s="915" t="s">
        <v>1618</v>
      </c>
      <c r="L65" s="919"/>
      <c r="M65" s="919"/>
      <c r="N65" s="919" t="s">
        <v>2431</v>
      </c>
      <c r="O65" s="940"/>
      <c r="P65" s="919"/>
      <c r="Q65" s="919"/>
      <c r="U65" s="915" t="s">
        <v>2432</v>
      </c>
      <c r="V65" s="915" t="s">
        <v>2432</v>
      </c>
      <c r="X65" s="952">
        <v>42772</v>
      </c>
      <c r="Y65" s="952">
        <v>42773</v>
      </c>
      <c r="AA65" s="952"/>
      <c r="AB65" s="915" t="s">
        <v>1626</v>
      </c>
      <c r="AC65" s="915">
        <v>0</v>
      </c>
      <c r="AD65" s="915">
        <v>0</v>
      </c>
      <c r="AE65" s="915">
        <v>0</v>
      </c>
      <c r="AF65" s="915">
        <v>0</v>
      </c>
      <c r="AG65" s="915">
        <v>0</v>
      </c>
      <c r="AH65" s="915">
        <v>1</v>
      </c>
      <c r="AI65" s="915">
        <v>60225</v>
      </c>
      <c r="AJ65" s="915">
        <v>2010</v>
      </c>
      <c r="AK65" s="915">
        <v>0</v>
      </c>
      <c r="AL65" s="915">
        <v>0</v>
      </c>
      <c r="AO65" s="955"/>
      <c r="AP65" s="955"/>
      <c r="AQ65" s="915" t="str">
        <f t="shared" si="0"/>
        <v/>
      </c>
      <c r="AS65" s="915" t="str">
        <f t="shared" si="1"/>
        <v>wci_corp</v>
      </c>
    </row>
    <row r="66" spans="2:45">
      <c r="B66" s="915" t="s">
        <v>2365</v>
      </c>
      <c r="C66" s="952">
        <v>42766</v>
      </c>
      <c r="D66" s="953">
        <v>300</v>
      </c>
      <c r="E66" s="953">
        <v>0</v>
      </c>
      <c r="F66" s="954" t="s">
        <v>1613</v>
      </c>
      <c r="G66" s="915" t="s">
        <v>2430</v>
      </c>
      <c r="H66" s="955" t="s">
        <v>1615</v>
      </c>
      <c r="I66" s="915" t="s">
        <v>1999</v>
      </c>
      <c r="J66" s="915" t="s">
        <v>2018</v>
      </c>
      <c r="K66" s="915" t="s">
        <v>1618</v>
      </c>
      <c r="L66" s="919"/>
      <c r="M66" s="919"/>
      <c r="N66" s="919" t="s">
        <v>2433</v>
      </c>
      <c r="O66" s="940"/>
      <c r="P66" s="919"/>
      <c r="Q66" s="919"/>
      <c r="U66" s="915" t="s">
        <v>2432</v>
      </c>
      <c r="V66" s="915" t="s">
        <v>2432</v>
      </c>
      <c r="X66" s="952">
        <v>42772</v>
      </c>
      <c r="Y66" s="952">
        <v>42773</v>
      </c>
      <c r="AA66" s="952"/>
      <c r="AB66" s="915" t="s">
        <v>1626</v>
      </c>
      <c r="AC66" s="915">
        <v>0</v>
      </c>
      <c r="AD66" s="915">
        <v>0</v>
      </c>
      <c r="AE66" s="915">
        <v>0</v>
      </c>
      <c r="AF66" s="915">
        <v>0</v>
      </c>
      <c r="AG66" s="915">
        <v>0</v>
      </c>
      <c r="AH66" s="915">
        <v>1</v>
      </c>
      <c r="AI66" s="915">
        <v>60225</v>
      </c>
      <c r="AJ66" s="915">
        <v>2010</v>
      </c>
      <c r="AK66" s="915">
        <v>0</v>
      </c>
      <c r="AL66" s="915">
        <v>0</v>
      </c>
      <c r="AO66" s="955"/>
      <c r="AP66" s="955"/>
      <c r="AQ66" s="915" t="str">
        <f t="shared" si="0"/>
        <v/>
      </c>
      <c r="AS66" s="915" t="str">
        <f t="shared" si="1"/>
        <v>wci_corp</v>
      </c>
    </row>
    <row r="67" spans="2:45">
      <c r="B67" s="915" t="s">
        <v>2434</v>
      </c>
      <c r="C67" s="952">
        <v>42766</v>
      </c>
      <c r="D67" s="953">
        <v>249</v>
      </c>
      <c r="E67" s="953">
        <v>0</v>
      </c>
      <c r="F67" s="954" t="s">
        <v>1613</v>
      </c>
      <c r="G67" s="915" t="s">
        <v>2244</v>
      </c>
      <c r="H67" s="955" t="s">
        <v>1615</v>
      </c>
      <c r="I67" s="915" t="s">
        <v>2151</v>
      </c>
      <c r="J67" s="915" t="s">
        <v>2018</v>
      </c>
      <c r="K67" s="915" t="s">
        <v>1618</v>
      </c>
      <c r="L67" s="919"/>
      <c r="M67" s="919"/>
      <c r="N67" s="919" t="s">
        <v>2435</v>
      </c>
      <c r="O67" s="940"/>
      <c r="P67" s="919"/>
      <c r="Q67" s="919"/>
      <c r="U67" s="915" t="s">
        <v>2246</v>
      </c>
      <c r="V67" s="915" t="s">
        <v>2246</v>
      </c>
      <c r="X67" s="952">
        <v>42772</v>
      </c>
      <c r="Y67" s="952">
        <v>42773</v>
      </c>
      <c r="AA67" s="952"/>
      <c r="AB67" s="915" t="s">
        <v>1626</v>
      </c>
      <c r="AC67" s="915">
        <v>0</v>
      </c>
      <c r="AD67" s="915">
        <v>0</v>
      </c>
      <c r="AE67" s="915">
        <v>0</v>
      </c>
      <c r="AF67" s="915">
        <v>0</v>
      </c>
      <c r="AG67" s="915">
        <v>0</v>
      </c>
      <c r="AH67" s="915">
        <v>1</v>
      </c>
      <c r="AI67" s="915">
        <v>60225</v>
      </c>
      <c r="AJ67" s="915">
        <v>2010</v>
      </c>
      <c r="AK67" s="915">
        <v>100</v>
      </c>
      <c r="AL67" s="915">
        <v>0</v>
      </c>
      <c r="AO67" s="955"/>
      <c r="AP67" s="955"/>
      <c r="AQ67" s="915" t="str">
        <f t="shared" si="0"/>
        <v/>
      </c>
      <c r="AS67" s="915" t="str">
        <f t="shared" si="1"/>
        <v>wci_corp</v>
      </c>
    </row>
    <row r="68" spans="2:45">
      <c r="B68" s="915" t="s">
        <v>2434</v>
      </c>
      <c r="C68" s="952">
        <v>42766</v>
      </c>
      <c r="D68" s="953">
        <v>250</v>
      </c>
      <c r="E68" s="953">
        <v>0</v>
      </c>
      <c r="F68" s="954" t="s">
        <v>1613</v>
      </c>
      <c r="G68" s="915" t="s">
        <v>2244</v>
      </c>
      <c r="H68" s="955" t="s">
        <v>1615</v>
      </c>
      <c r="I68" s="915" t="s">
        <v>2151</v>
      </c>
      <c r="J68" s="915" t="s">
        <v>2018</v>
      </c>
      <c r="K68" s="915" t="s">
        <v>1618</v>
      </c>
      <c r="L68" s="919"/>
      <c r="M68" s="919"/>
      <c r="N68" s="919" t="s">
        <v>2436</v>
      </c>
      <c r="O68" s="940"/>
      <c r="P68" s="919"/>
      <c r="Q68" s="919"/>
      <c r="U68" s="915" t="s">
        <v>2246</v>
      </c>
      <c r="V68" s="915" t="s">
        <v>2246</v>
      </c>
      <c r="X68" s="952">
        <v>42772</v>
      </c>
      <c r="Y68" s="952">
        <v>42773</v>
      </c>
      <c r="AA68" s="952"/>
      <c r="AB68" s="915" t="s">
        <v>1626</v>
      </c>
      <c r="AC68" s="915">
        <v>0</v>
      </c>
      <c r="AD68" s="915">
        <v>0</v>
      </c>
      <c r="AE68" s="915">
        <v>0</v>
      </c>
      <c r="AF68" s="915">
        <v>0</v>
      </c>
      <c r="AG68" s="915">
        <v>0</v>
      </c>
      <c r="AH68" s="915">
        <v>1</v>
      </c>
      <c r="AI68" s="915">
        <v>60225</v>
      </c>
      <c r="AJ68" s="915">
        <v>2010</v>
      </c>
      <c r="AK68" s="915">
        <v>100</v>
      </c>
      <c r="AL68" s="915">
        <v>0</v>
      </c>
      <c r="AO68" s="955"/>
      <c r="AP68" s="955"/>
      <c r="AQ68" s="915" t="str">
        <f t="shared" si="0"/>
        <v/>
      </c>
      <c r="AS68" s="915" t="str">
        <f t="shared" si="1"/>
        <v>wci_corp</v>
      </c>
    </row>
    <row r="69" spans="2:45">
      <c r="B69" s="915" t="s">
        <v>2434</v>
      </c>
      <c r="C69" s="952">
        <v>42789</v>
      </c>
      <c r="D69" s="953">
        <v>249</v>
      </c>
      <c r="E69" s="953">
        <v>0</v>
      </c>
      <c r="F69" s="954" t="s">
        <v>1613</v>
      </c>
      <c r="G69" s="915" t="s">
        <v>2437</v>
      </c>
      <c r="H69" s="955" t="s">
        <v>1615</v>
      </c>
      <c r="I69" s="915" t="s">
        <v>1616</v>
      </c>
      <c r="J69" s="915" t="s">
        <v>1617</v>
      </c>
      <c r="K69" s="915" t="s">
        <v>1618</v>
      </c>
      <c r="L69" s="919" t="s">
        <v>2198</v>
      </c>
      <c r="M69" s="919"/>
      <c r="N69" s="919" t="s">
        <v>2199</v>
      </c>
      <c r="O69" s="940">
        <v>42766</v>
      </c>
      <c r="P69" s="919"/>
      <c r="Q69" s="919" t="s">
        <v>2438</v>
      </c>
      <c r="U69" s="915" t="s">
        <v>2439</v>
      </c>
      <c r="V69" s="915" t="s">
        <v>2440</v>
      </c>
      <c r="W69" s="915">
        <v>2010</v>
      </c>
      <c r="X69" s="952">
        <v>42789</v>
      </c>
      <c r="Y69" s="952">
        <v>42793</v>
      </c>
      <c r="Z69" s="915">
        <v>909.77</v>
      </c>
      <c r="AA69" s="952">
        <v>42767</v>
      </c>
      <c r="AB69" s="915" t="s">
        <v>1626</v>
      </c>
      <c r="AC69" s="915">
        <v>0</v>
      </c>
      <c r="AD69" s="915">
        <v>0</v>
      </c>
      <c r="AE69" s="915">
        <v>0</v>
      </c>
      <c r="AF69" s="915">
        <v>0</v>
      </c>
      <c r="AG69" s="915">
        <v>0</v>
      </c>
      <c r="AH69" s="915">
        <v>1</v>
      </c>
      <c r="AI69" s="915">
        <v>60225</v>
      </c>
      <c r="AJ69" s="915">
        <v>2010</v>
      </c>
      <c r="AK69" s="915">
        <v>100</v>
      </c>
      <c r="AL69" s="915">
        <v>0</v>
      </c>
      <c r="AO69" s="955"/>
      <c r="AP69" s="955"/>
      <c r="AQ69" s="915" t="str">
        <f t="shared" si="0"/>
        <v>VO04210704</v>
      </c>
      <c r="AS69" s="915" t="str">
        <f t="shared" si="1"/>
        <v>wci_corp</v>
      </c>
    </row>
    <row r="70" spans="2:45">
      <c r="B70" s="915" t="s">
        <v>2434</v>
      </c>
      <c r="C70" s="952">
        <v>42789</v>
      </c>
      <c r="D70" s="953">
        <v>250</v>
      </c>
      <c r="E70" s="953">
        <v>0</v>
      </c>
      <c r="F70" s="954" t="s">
        <v>1613</v>
      </c>
      <c r="G70" s="915" t="s">
        <v>2437</v>
      </c>
      <c r="H70" s="955" t="s">
        <v>1615</v>
      </c>
      <c r="I70" s="915" t="s">
        <v>1616</v>
      </c>
      <c r="J70" s="915" t="s">
        <v>1617</v>
      </c>
      <c r="K70" s="915" t="s">
        <v>1618</v>
      </c>
      <c r="L70" s="919" t="s">
        <v>2198</v>
      </c>
      <c r="M70" s="919"/>
      <c r="N70" s="919" t="s">
        <v>2199</v>
      </c>
      <c r="O70" s="940">
        <v>42766</v>
      </c>
      <c r="P70" s="919"/>
      <c r="Q70" s="919" t="s">
        <v>2438</v>
      </c>
      <c r="U70" s="915" t="s">
        <v>2439</v>
      </c>
      <c r="V70" s="915" t="s">
        <v>2440</v>
      </c>
      <c r="W70" s="915">
        <v>2010</v>
      </c>
      <c r="X70" s="952">
        <v>42789</v>
      </c>
      <c r="Y70" s="952">
        <v>42793</v>
      </c>
      <c r="Z70" s="915">
        <v>909.77</v>
      </c>
      <c r="AA70" s="952">
        <v>42767</v>
      </c>
      <c r="AB70" s="915" t="s">
        <v>1626</v>
      </c>
      <c r="AC70" s="915">
        <v>0</v>
      </c>
      <c r="AD70" s="915">
        <v>0</v>
      </c>
      <c r="AE70" s="915">
        <v>0</v>
      </c>
      <c r="AF70" s="915">
        <v>0</v>
      </c>
      <c r="AG70" s="915">
        <v>0</v>
      </c>
      <c r="AH70" s="915">
        <v>1</v>
      </c>
      <c r="AI70" s="915">
        <v>60225</v>
      </c>
      <c r="AJ70" s="915">
        <v>2010</v>
      </c>
      <c r="AK70" s="915">
        <v>100</v>
      </c>
      <c r="AL70" s="915">
        <v>0</v>
      </c>
      <c r="AO70" s="955"/>
      <c r="AP70" s="955"/>
      <c r="AQ70" s="915" t="str">
        <f t="shared" si="0"/>
        <v>VO04210704</v>
      </c>
      <c r="AS70" s="915" t="str">
        <f t="shared" si="1"/>
        <v>wci_corp</v>
      </c>
    </row>
    <row r="71" spans="2:45">
      <c r="B71" s="915" t="s">
        <v>2365</v>
      </c>
      <c r="C71" s="952">
        <v>42794</v>
      </c>
      <c r="D71" s="953">
        <v>-1650.46</v>
      </c>
      <c r="E71" s="953">
        <v>0</v>
      </c>
      <c r="F71" s="954" t="s">
        <v>1613</v>
      </c>
      <c r="G71" s="915" t="s">
        <v>2441</v>
      </c>
      <c r="H71" s="955" t="s">
        <v>1615</v>
      </c>
      <c r="I71" s="915" t="s">
        <v>1999</v>
      </c>
      <c r="J71" s="915" t="s">
        <v>2018</v>
      </c>
      <c r="K71" s="915" t="s">
        <v>1618</v>
      </c>
      <c r="L71" s="919"/>
      <c r="M71" s="919"/>
      <c r="N71" s="919" t="s">
        <v>2431</v>
      </c>
      <c r="O71" s="940"/>
      <c r="P71" s="919"/>
      <c r="Q71" s="919"/>
      <c r="U71" s="915" t="s">
        <v>2432</v>
      </c>
      <c r="V71" s="915" t="s">
        <v>2442</v>
      </c>
      <c r="X71" s="952">
        <v>42773</v>
      </c>
      <c r="Y71" s="952">
        <v>42773</v>
      </c>
      <c r="AA71" s="952"/>
      <c r="AB71" s="915" t="s">
        <v>1626</v>
      </c>
      <c r="AC71" s="915">
        <v>0</v>
      </c>
      <c r="AD71" s="915">
        <v>0</v>
      </c>
      <c r="AE71" s="915">
        <v>0</v>
      </c>
      <c r="AF71" s="915">
        <v>0</v>
      </c>
      <c r="AG71" s="915">
        <v>5</v>
      </c>
      <c r="AH71" s="915">
        <v>1</v>
      </c>
      <c r="AI71" s="915">
        <v>60225</v>
      </c>
      <c r="AJ71" s="915">
        <v>2010</v>
      </c>
      <c r="AK71" s="915">
        <v>0</v>
      </c>
      <c r="AL71" s="915">
        <v>0</v>
      </c>
      <c r="AO71" s="955"/>
      <c r="AP71" s="955"/>
      <c r="AQ71" s="915" t="str">
        <f t="shared" si="0"/>
        <v/>
      </c>
      <c r="AS71" s="915" t="str">
        <f t="shared" si="1"/>
        <v>wci_corp</v>
      </c>
    </row>
    <row r="72" spans="2:45">
      <c r="B72" s="915" t="s">
        <v>2365</v>
      </c>
      <c r="C72" s="952">
        <v>42794</v>
      </c>
      <c r="D72" s="953">
        <v>-300</v>
      </c>
      <c r="E72" s="953">
        <v>0</v>
      </c>
      <c r="F72" s="954" t="s">
        <v>1613</v>
      </c>
      <c r="G72" s="915" t="s">
        <v>2441</v>
      </c>
      <c r="H72" s="955" t="s">
        <v>1615</v>
      </c>
      <c r="I72" s="915" t="s">
        <v>1999</v>
      </c>
      <c r="J72" s="915" t="s">
        <v>2018</v>
      </c>
      <c r="K72" s="915" t="s">
        <v>1618</v>
      </c>
      <c r="L72" s="919"/>
      <c r="M72" s="919"/>
      <c r="N72" s="919" t="s">
        <v>2433</v>
      </c>
      <c r="O72" s="940"/>
      <c r="P72" s="919"/>
      <c r="Q72" s="919"/>
      <c r="U72" s="915" t="s">
        <v>2432</v>
      </c>
      <c r="V72" s="915" t="s">
        <v>2442</v>
      </c>
      <c r="X72" s="952">
        <v>42773</v>
      </c>
      <c r="Y72" s="952">
        <v>42773</v>
      </c>
      <c r="AA72" s="952"/>
      <c r="AB72" s="915" t="s">
        <v>1626</v>
      </c>
      <c r="AC72" s="915">
        <v>0</v>
      </c>
      <c r="AD72" s="915">
        <v>0</v>
      </c>
      <c r="AE72" s="915">
        <v>0</v>
      </c>
      <c r="AF72" s="915">
        <v>0</v>
      </c>
      <c r="AG72" s="915">
        <v>5</v>
      </c>
      <c r="AH72" s="915">
        <v>1</v>
      </c>
      <c r="AI72" s="915">
        <v>60225</v>
      </c>
      <c r="AJ72" s="915">
        <v>2010</v>
      </c>
      <c r="AK72" s="915">
        <v>0</v>
      </c>
      <c r="AL72" s="915">
        <v>0</v>
      </c>
      <c r="AO72" s="955"/>
      <c r="AP72" s="955"/>
      <c r="AQ72" s="915" t="str">
        <f t="shared" si="0"/>
        <v/>
      </c>
      <c r="AS72" s="915" t="str">
        <f t="shared" si="1"/>
        <v>wci_corp</v>
      </c>
    </row>
    <row r="73" spans="2:45">
      <c r="B73" s="915" t="s">
        <v>2434</v>
      </c>
      <c r="C73" s="952">
        <v>42794</v>
      </c>
      <c r="D73" s="953">
        <v>-249</v>
      </c>
      <c r="E73" s="953">
        <v>0</v>
      </c>
      <c r="F73" s="954" t="s">
        <v>1613</v>
      </c>
      <c r="G73" s="915" t="s">
        <v>2256</v>
      </c>
      <c r="H73" s="955" t="s">
        <v>1615</v>
      </c>
      <c r="I73" s="915" t="s">
        <v>2151</v>
      </c>
      <c r="J73" s="915" t="s">
        <v>2018</v>
      </c>
      <c r="K73" s="915" t="s">
        <v>1618</v>
      </c>
      <c r="L73" s="919"/>
      <c r="M73" s="919"/>
      <c r="N73" s="919" t="s">
        <v>2435</v>
      </c>
      <c r="O73" s="940"/>
      <c r="P73" s="919"/>
      <c r="Q73" s="919"/>
      <c r="U73" s="915" t="s">
        <v>2246</v>
      </c>
      <c r="V73" s="915" t="s">
        <v>2257</v>
      </c>
      <c r="X73" s="952">
        <v>42773</v>
      </c>
      <c r="Y73" s="952">
        <v>42773</v>
      </c>
      <c r="AA73" s="952"/>
      <c r="AB73" s="915" t="s">
        <v>1626</v>
      </c>
      <c r="AC73" s="915">
        <v>0</v>
      </c>
      <c r="AD73" s="915">
        <v>0</v>
      </c>
      <c r="AE73" s="915">
        <v>0</v>
      </c>
      <c r="AF73" s="915">
        <v>0</v>
      </c>
      <c r="AG73" s="915">
        <v>5</v>
      </c>
      <c r="AH73" s="915">
        <v>1</v>
      </c>
      <c r="AI73" s="915">
        <v>60225</v>
      </c>
      <c r="AJ73" s="915">
        <v>2010</v>
      </c>
      <c r="AK73" s="915">
        <v>100</v>
      </c>
      <c r="AL73" s="915">
        <v>0</v>
      </c>
      <c r="AO73" s="955"/>
      <c r="AP73" s="955"/>
      <c r="AQ73" s="915" t="str">
        <f t="shared" si="0"/>
        <v/>
      </c>
      <c r="AS73" s="915" t="str">
        <f t="shared" si="1"/>
        <v>wci_corp</v>
      </c>
    </row>
    <row r="74" spans="2:45">
      <c r="B74" s="915" t="s">
        <v>2434</v>
      </c>
      <c r="C74" s="952">
        <v>42794</v>
      </c>
      <c r="D74" s="953">
        <v>-250</v>
      </c>
      <c r="E74" s="953">
        <v>0</v>
      </c>
      <c r="F74" s="954" t="s">
        <v>1613</v>
      </c>
      <c r="G74" s="915" t="s">
        <v>2256</v>
      </c>
      <c r="H74" s="955" t="s">
        <v>1615</v>
      </c>
      <c r="I74" s="915" t="s">
        <v>2151</v>
      </c>
      <c r="J74" s="915" t="s">
        <v>2018</v>
      </c>
      <c r="K74" s="915" t="s">
        <v>1618</v>
      </c>
      <c r="L74" s="919"/>
      <c r="M74" s="919"/>
      <c r="N74" s="919" t="s">
        <v>2436</v>
      </c>
      <c r="O74" s="940"/>
      <c r="P74" s="919"/>
      <c r="Q74" s="919"/>
      <c r="U74" s="915" t="s">
        <v>2246</v>
      </c>
      <c r="V74" s="915" t="s">
        <v>2257</v>
      </c>
      <c r="X74" s="952">
        <v>42773</v>
      </c>
      <c r="Y74" s="952">
        <v>42773</v>
      </c>
      <c r="AA74" s="952"/>
      <c r="AB74" s="915" t="s">
        <v>1626</v>
      </c>
      <c r="AC74" s="915">
        <v>0</v>
      </c>
      <c r="AD74" s="915">
        <v>0</v>
      </c>
      <c r="AE74" s="915">
        <v>0</v>
      </c>
      <c r="AF74" s="915">
        <v>0</v>
      </c>
      <c r="AG74" s="915">
        <v>5</v>
      </c>
      <c r="AH74" s="915">
        <v>1</v>
      </c>
      <c r="AI74" s="915">
        <v>60225</v>
      </c>
      <c r="AJ74" s="915">
        <v>2010</v>
      </c>
      <c r="AK74" s="915">
        <v>100</v>
      </c>
      <c r="AL74" s="915">
        <v>0</v>
      </c>
      <c r="AO74" s="955"/>
      <c r="AP74" s="955"/>
      <c r="AQ74" s="915" t="str">
        <f t="shared" si="0"/>
        <v/>
      </c>
      <c r="AS74" s="915" t="str">
        <f t="shared" si="1"/>
        <v>wci_corp</v>
      </c>
    </row>
    <row r="75" spans="2:45">
      <c r="B75" s="915" t="s">
        <v>2365</v>
      </c>
      <c r="C75" s="952">
        <v>42794</v>
      </c>
      <c r="D75" s="953">
        <v>-173.43</v>
      </c>
      <c r="E75" s="953">
        <v>0</v>
      </c>
      <c r="F75" s="954" t="s">
        <v>1613</v>
      </c>
      <c r="G75" s="915" t="s">
        <v>2443</v>
      </c>
      <c r="H75" s="955" t="s">
        <v>1615</v>
      </c>
      <c r="I75" s="915" t="s">
        <v>2056</v>
      </c>
      <c r="J75" s="915" t="s">
        <v>1629</v>
      </c>
      <c r="K75" s="915" t="s">
        <v>2403</v>
      </c>
      <c r="L75" s="919"/>
      <c r="M75" s="919"/>
      <c r="N75" s="919" t="s">
        <v>2428</v>
      </c>
      <c r="O75" s="940"/>
      <c r="P75" s="919"/>
      <c r="Q75" s="919"/>
      <c r="U75" s="915" t="s">
        <v>2427</v>
      </c>
      <c r="V75" s="915" t="s">
        <v>2429</v>
      </c>
      <c r="X75" s="952">
        <v>42773</v>
      </c>
      <c r="Y75" s="952">
        <v>42773</v>
      </c>
      <c r="AA75" s="952"/>
      <c r="AB75" s="915" t="s">
        <v>1626</v>
      </c>
      <c r="AC75" s="915">
        <v>0</v>
      </c>
      <c r="AD75" s="915">
        <v>0</v>
      </c>
      <c r="AE75" s="915">
        <v>0</v>
      </c>
      <c r="AF75" s="915">
        <v>0</v>
      </c>
      <c r="AG75" s="915">
        <v>5</v>
      </c>
      <c r="AH75" s="915">
        <v>1</v>
      </c>
      <c r="AI75" s="915">
        <v>60225</v>
      </c>
      <c r="AJ75" s="915">
        <v>2010</v>
      </c>
      <c r="AK75" s="915">
        <v>0</v>
      </c>
      <c r="AL75" s="915">
        <v>0</v>
      </c>
      <c r="AO75" s="955"/>
      <c r="AP75" s="955"/>
      <c r="AQ75" s="915" t="str">
        <f t="shared" si="0"/>
        <v/>
      </c>
      <c r="AS75" s="915" t="str">
        <f t="shared" si="1"/>
        <v>wci_wa</v>
      </c>
    </row>
    <row r="76" spans="2:45">
      <c r="B76" s="915" t="s">
        <v>2365</v>
      </c>
      <c r="C76" s="952">
        <v>42794</v>
      </c>
      <c r="D76" s="953">
        <v>-173.43</v>
      </c>
      <c r="E76" s="953">
        <v>0</v>
      </c>
      <c r="F76" s="954" t="s">
        <v>1613</v>
      </c>
      <c r="G76" s="915" t="s">
        <v>2443</v>
      </c>
      <c r="H76" s="955" t="s">
        <v>1615</v>
      </c>
      <c r="I76" s="915" t="s">
        <v>2056</v>
      </c>
      <c r="J76" s="915" t="s">
        <v>1629</v>
      </c>
      <c r="K76" s="915" t="s">
        <v>2403</v>
      </c>
      <c r="L76" s="919"/>
      <c r="M76" s="919"/>
      <c r="N76" s="919" t="s">
        <v>2428</v>
      </c>
      <c r="O76" s="940"/>
      <c r="P76" s="919"/>
      <c r="Q76" s="919"/>
      <c r="U76" s="915" t="s">
        <v>2427</v>
      </c>
      <c r="V76" s="915" t="s">
        <v>2429</v>
      </c>
      <c r="X76" s="952">
        <v>42773</v>
      </c>
      <c r="Y76" s="952">
        <v>42773</v>
      </c>
      <c r="AA76" s="952"/>
      <c r="AB76" s="915" t="s">
        <v>1626</v>
      </c>
      <c r="AC76" s="915">
        <v>0</v>
      </c>
      <c r="AD76" s="915">
        <v>0</v>
      </c>
      <c r="AE76" s="915">
        <v>0</v>
      </c>
      <c r="AF76" s="915">
        <v>0</v>
      </c>
      <c r="AG76" s="915">
        <v>5</v>
      </c>
      <c r="AH76" s="915">
        <v>1</v>
      </c>
      <c r="AI76" s="915">
        <v>60225</v>
      </c>
      <c r="AJ76" s="915">
        <v>2010</v>
      </c>
      <c r="AK76" s="915">
        <v>0</v>
      </c>
      <c r="AL76" s="915">
        <v>0</v>
      </c>
      <c r="AO76" s="955"/>
      <c r="AP76" s="955"/>
      <c r="AQ76" s="915" t="str">
        <f t="shared" si="0"/>
        <v/>
      </c>
      <c r="AS76" s="915" t="str">
        <f t="shared" si="1"/>
        <v>wci_wa</v>
      </c>
    </row>
    <row r="77" spans="2:45">
      <c r="B77" s="915" t="s">
        <v>2365</v>
      </c>
      <c r="C77" s="952">
        <v>42794</v>
      </c>
      <c r="D77" s="953">
        <v>1650.46</v>
      </c>
      <c r="E77" s="953">
        <v>0</v>
      </c>
      <c r="F77" s="954" t="s">
        <v>1613</v>
      </c>
      <c r="G77" s="915" t="s">
        <v>2039</v>
      </c>
      <c r="H77" s="955" t="s">
        <v>1615</v>
      </c>
      <c r="I77" s="915" t="s">
        <v>2040</v>
      </c>
      <c r="J77" s="915" t="s">
        <v>2000</v>
      </c>
      <c r="K77" s="915" t="s">
        <v>1618</v>
      </c>
      <c r="L77" s="919"/>
      <c r="M77" s="919"/>
      <c r="N77" s="919" t="s">
        <v>2444</v>
      </c>
      <c r="O77" s="940"/>
      <c r="P77" s="919"/>
      <c r="Q77" s="919"/>
      <c r="U77" s="915" t="s">
        <v>2041</v>
      </c>
      <c r="V77" s="915" t="s">
        <v>2041</v>
      </c>
      <c r="X77" s="952">
        <v>42796</v>
      </c>
      <c r="Y77" s="952">
        <v>42797</v>
      </c>
      <c r="AA77" s="952"/>
      <c r="AB77" s="915" t="s">
        <v>1626</v>
      </c>
      <c r="AC77" s="915">
        <v>0</v>
      </c>
      <c r="AD77" s="915">
        <v>0</v>
      </c>
      <c r="AE77" s="915">
        <v>0</v>
      </c>
      <c r="AF77" s="915">
        <v>0</v>
      </c>
      <c r="AG77" s="915">
        <v>0</v>
      </c>
      <c r="AH77" s="915">
        <v>1</v>
      </c>
      <c r="AI77" s="915">
        <v>60225</v>
      </c>
      <c r="AJ77" s="915">
        <v>2010</v>
      </c>
      <c r="AK77" s="915">
        <v>0</v>
      </c>
      <c r="AL77" s="915">
        <v>0</v>
      </c>
      <c r="AO77" s="955"/>
      <c r="AP77" s="955"/>
      <c r="AQ77" s="915" t="str">
        <f t="shared" si="0"/>
        <v/>
      </c>
      <c r="AS77" s="915" t="str">
        <f t="shared" si="1"/>
        <v>wci_corp</v>
      </c>
    </row>
    <row r="78" spans="2:45">
      <c r="B78" s="915" t="s">
        <v>2365</v>
      </c>
      <c r="C78" s="952">
        <v>42794</v>
      </c>
      <c r="D78" s="953">
        <v>300</v>
      </c>
      <c r="E78" s="953">
        <v>0</v>
      </c>
      <c r="F78" s="954" t="s">
        <v>1613</v>
      </c>
      <c r="G78" s="915" t="s">
        <v>2039</v>
      </c>
      <c r="H78" s="955" t="s">
        <v>1615</v>
      </c>
      <c r="I78" s="915" t="s">
        <v>2040</v>
      </c>
      <c r="J78" s="915" t="s">
        <v>2000</v>
      </c>
      <c r="K78" s="915" t="s">
        <v>1618</v>
      </c>
      <c r="L78" s="919"/>
      <c r="M78" s="919"/>
      <c r="N78" s="919" t="s">
        <v>2314</v>
      </c>
      <c r="O78" s="940"/>
      <c r="P78" s="919"/>
      <c r="Q78" s="919"/>
      <c r="U78" s="915" t="s">
        <v>2041</v>
      </c>
      <c r="V78" s="915" t="s">
        <v>2041</v>
      </c>
      <c r="X78" s="952">
        <v>42796</v>
      </c>
      <c r="Y78" s="952">
        <v>42797</v>
      </c>
      <c r="AA78" s="952"/>
      <c r="AB78" s="915" t="s">
        <v>1626</v>
      </c>
      <c r="AC78" s="915">
        <v>0</v>
      </c>
      <c r="AD78" s="915">
        <v>0</v>
      </c>
      <c r="AE78" s="915">
        <v>0</v>
      </c>
      <c r="AF78" s="915">
        <v>0</v>
      </c>
      <c r="AG78" s="915">
        <v>0</v>
      </c>
      <c r="AH78" s="915">
        <v>1</v>
      </c>
      <c r="AI78" s="915">
        <v>60225</v>
      </c>
      <c r="AJ78" s="915">
        <v>2010</v>
      </c>
      <c r="AK78" s="915">
        <v>0</v>
      </c>
      <c r="AL78" s="915">
        <v>0</v>
      </c>
      <c r="AO78" s="955"/>
      <c r="AP78" s="955"/>
      <c r="AQ78" s="915" t="str">
        <f t="shared" si="0"/>
        <v/>
      </c>
      <c r="AS78" s="915" t="str">
        <f t="shared" si="1"/>
        <v>wci_corp</v>
      </c>
    </row>
    <row r="79" spans="2:45">
      <c r="B79" s="915" t="s">
        <v>2365</v>
      </c>
      <c r="C79" s="952">
        <v>42794</v>
      </c>
      <c r="D79" s="953">
        <v>173.43</v>
      </c>
      <c r="E79" s="953">
        <v>0</v>
      </c>
      <c r="F79" s="954" t="s">
        <v>1613</v>
      </c>
      <c r="G79" s="915" t="s">
        <v>2039</v>
      </c>
      <c r="H79" s="955" t="s">
        <v>1615</v>
      </c>
      <c r="I79" s="915" t="s">
        <v>2040</v>
      </c>
      <c r="J79" s="915" t="s">
        <v>2000</v>
      </c>
      <c r="K79" s="915" t="s">
        <v>1618</v>
      </c>
      <c r="L79" s="919"/>
      <c r="M79" s="919"/>
      <c r="N79" s="919" t="s">
        <v>2428</v>
      </c>
      <c r="O79" s="940"/>
      <c r="P79" s="919"/>
      <c r="Q79" s="919"/>
      <c r="U79" s="915" t="s">
        <v>2041</v>
      </c>
      <c r="V79" s="915" t="s">
        <v>2041</v>
      </c>
      <c r="X79" s="952">
        <v>42796</v>
      </c>
      <c r="Y79" s="952">
        <v>42797</v>
      </c>
      <c r="AA79" s="952"/>
      <c r="AB79" s="915" t="s">
        <v>1626</v>
      </c>
      <c r="AC79" s="915">
        <v>0</v>
      </c>
      <c r="AD79" s="915">
        <v>0</v>
      </c>
      <c r="AE79" s="915">
        <v>0</v>
      </c>
      <c r="AF79" s="915">
        <v>0</v>
      </c>
      <c r="AG79" s="915">
        <v>0</v>
      </c>
      <c r="AH79" s="915">
        <v>1</v>
      </c>
      <c r="AI79" s="915">
        <v>60225</v>
      </c>
      <c r="AJ79" s="915">
        <v>2010</v>
      </c>
      <c r="AK79" s="915">
        <v>0</v>
      </c>
      <c r="AL79" s="915">
        <v>0</v>
      </c>
      <c r="AO79" s="955"/>
      <c r="AP79" s="955"/>
      <c r="AQ79" s="915" t="str">
        <f t="shared" si="0"/>
        <v/>
      </c>
      <c r="AS79" s="915" t="str">
        <f t="shared" si="1"/>
        <v>wci_corp</v>
      </c>
    </row>
    <row r="80" spans="2:45">
      <c r="B80" s="915" t="s">
        <v>2365</v>
      </c>
      <c r="C80" s="952">
        <v>42794</v>
      </c>
      <c r="D80" s="953">
        <v>173.43</v>
      </c>
      <c r="E80" s="953">
        <v>0</v>
      </c>
      <c r="F80" s="954" t="s">
        <v>1613</v>
      </c>
      <c r="G80" s="915" t="s">
        <v>2039</v>
      </c>
      <c r="H80" s="955" t="s">
        <v>1615</v>
      </c>
      <c r="I80" s="915" t="s">
        <v>2040</v>
      </c>
      <c r="J80" s="915" t="s">
        <v>2000</v>
      </c>
      <c r="K80" s="915" t="s">
        <v>1618</v>
      </c>
      <c r="L80" s="919"/>
      <c r="M80" s="919"/>
      <c r="N80" s="919" t="s">
        <v>2428</v>
      </c>
      <c r="O80" s="940"/>
      <c r="P80" s="919"/>
      <c r="Q80" s="919"/>
      <c r="U80" s="915" t="s">
        <v>2041</v>
      </c>
      <c r="V80" s="915" t="s">
        <v>2041</v>
      </c>
      <c r="X80" s="952">
        <v>42796</v>
      </c>
      <c r="Y80" s="952">
        <v>42797</v>
      </c>
      <c r="AA80" s="952"/>
      <c r="AB80" s="915" t="s">
        <v>1626</v>
      </c>
      <c r="AC80" s="915">
        <v>0</v>
      </c>
      <c r="AD80" s="915">
        <v>0</v>
      </c>
      <c r="AE80" s="915">
        <v>0</v>
      </c>
      <c r="AF80" s="915">
        <v>0</v>
      </c>
      <c r="AG80" s="915">
        <v>0</v>
      </c>
      <c r="AH80" s="915">
        <v>1</v>
      </c>
      <c r="AI80" s="915">
        <v>60225</v>
      </c>
      <c r="AJ80" s="915">
        <v>2010</v>
      </c>
      <c r="AK80" s="915">
        <v>0</v>
      </c>
      <c r="AL80" s="915">
        <v>0</v>
      </c>
      <c r="AO80" s="955"/>
      <c r="AP80" s="955"/>
      <c r="AQ80" s="915" t="str">
        <f t="shared" si="0"/>
        <v/>
      </c>
      <c r="AS80" s="915" t="str">
        <f t="shared" si="1"/>
        <v>wci_corp</v>
      </c>
    </row>
    <row r="81" spans="2:45">
      <c r="B81" s="915" t="s">
        <v>2365</v>
      </c>
      <c r="C81" s="952">
        <v>42794</v>
      </c>
      <c r="D81" s="953">
        <v>154.38999999999999</v>
      </c>
      <c r="E81" s="953">
        <v>0</v>
      </c>
      <c r="F81" s="954" t="s">
        <v>1613</v>
      </c>
      <c r="G81" s="915" t="s">
        <v>2039</v>
      </c>
      <c r="H81" s="955" t="s">
        <v>1615</v>
      </c>
      <c r="I81" s="915" t="s">
        <v>2040</v>
      </c>
      <c r="J81" s="915" t="s">
        <v>2000</v>
      </c>
      <c r="K81" s="915" t="s">
        <v>1618</v>
      </c>
      <c r="L81" s="919"/>
      <c r="M81" s="919"/>
      <c r="N81" s="919" t="s">
        <v>2445</v>
      </c>
      <c r="O81" s="940"/>
      <c r="P81" s="919"/>
      <c r="Q81" s="919"/>
      <c r="U81" s="915" t="s">
        <v>2041</v>
      </c>
      <c r="V81" s="915" t="s">
        <v>2041</v>
      </c>
      <c r="X81" s="952">
        <v>42796</v>
      </c>
      <c r="Y81" s="952">
        <v>42797</v>
      </c>
      <c r="AA81" s="952"/>
      <c r="AB81" s="915" t="s">
        <v>1626</v>
      </c>
      <c r="AC81" s="915">
        <v>0</v>
      </c>
      <c r="AD81" s="915">
        <v>0</v>
      </c>
      <c r="AE81" s="915">
        <v>0</v>
      </c>
      <c r="AF81" s="915">
        <v>0</v>
      </c>
      <c r="AG81" s="915">
        <v>0</v>
      </c>
      <c r="AH81" s="915">
        <v>1</v>
      </c>
      <c r="AI81" s="915">
        <v>60225</v>
      </c>
      <c r="AJ81" s="915">
        <v>2010</v>
      </c>
      <c r="AK81" s="915">
        <v>0</v>
      </c>
      <c r="AL81" s="915">
        <v>0</v>
      </c>
      <c r="AO81" s="955"/>
      <c r="AP81" s="955"/>
      <c r="AQ81" s="915" t="str">
        <f t="shared" si="0"/>
        <v/>
      </c>
      <c r="AS81" s="915" t="str">
        <f t="shared" si="1"/>
        <v>wci_corp</v>
      </c>
    </row>
    <row r="82" spans="2:45">
      <c r="B82" s="915" t="s">
        <v>2365</v>
      </c>
      <c r="C82" s="952">
        <v>42794</v>
      </c>
      <c r="D82" s="953">
        <v>2482.36</v>
      </c>
      <c r="E82" s="953">
        <v>0</v>
      </c>
      <c r="F82" s="954" t="s">
        <v>1613</v>
      </c>
      <c r="G82" s="915" t="s">
        <v>2039</v>
      </c>
      <c r="H82" s="955" t="s">
        <v>1615</v>
      </c>
      <c r="I82" s="915" t="s">
        <v>2040</v>
      </c>
      <c r="J82" s="915" t="s">
        <v>2000</v>
      </c>
      <c r="K82" s="915" t="s">
        <v>1618</v>
      </c>
      <c r="L82" s="919"/>
      <c r="M82" s="919"/>
      <c r="N82" s="919" t="s">
        <v>2446</v>
      </c>
      <c r="O82" s="940"/>
      <c r="P82" s="919"/>
      <c r="Q82" s="919"/>
      <c r="U82" s="915" t="s">
        <v>2041</v>
      </c>
      <c r="V82" s="915" t="s">
        <v>2041</v>
      </c>
      <c r="X82" s="952">
        <v>42796</v>
      </c>
      <c r="Y82" s="952">
        <v>42797</v>
      </c>
      <c r="AA82" s="952"/>
      <c r="AB82" s="915" t="s">
        <v>1626</v>
      </c>
      <c r="AC82" s="915">
        <v>0</v>
      </c>
      <c r="AD82" s="915">
        <v>0</v>
      </c>
      <c r="AE82" s="915">
        <v>0</v>
      </c>
      <c r="AF82" s="915">
        <v>0</v>
      </c>
      <c r="AG82" s="915">
        <v>0</v>
      </c>
      <c r="AH82" s="915">
        <v>1</v>
      </c>
      <c r="AI82" s="915">
        <v>60225</v>
      </c>
      <c r="AJ82" s="915">
        <v>2010</v>
      </c>
      <c r="AK82" s="915">
        <v>0</v>
      </c>
      <c r="AL82" s="915">
        <v>0</v>
      </c>
      <c r="AO82" s="955"/>
      <c r="AP82" s="955"/>
      <c r="AQ82" s="915" t="str">
        <f t="shared" si="0"/>
        <v/>
      </c>
      <c r="AS82" s="915" t="str">
        <f t="shared" si="1"/>
        <v>wci_corp</v>
      </c>
    </row>
    <row r="83" spans="2:45">
      <c r="B83" s="915" t="s">
        <v>2365</v>
      </c>
      <c r="C83" s="952">
        <v>42794</v>
      </c>
      <c r="D83" s="953">
        <v>827.24</v>
      </c>
      <c r="E83" s="953">
        <v>0</v>
      </c>
      <c r="F83" s="954" t="s">
        <v>1613</v>
      </c>
      <c r="G83" s="915" t="s">
        <v>2039</v>
      </c>
      <c r="H83" s="955" t="s">
        <v>1615</v>
      </c>
      <c r="I83" s="915" t="s">
        <v>2040</v>
      </c>
      <c r="J83" s="915" t="s">
        <v>2000</v>
      </c>
      <c r="K83" s="915" t="s">
        <v>1618</v>
      </c>
      <c r="L83" s="919"/>
      <c r="M83" s="919"/>
      <c r="N83" s="919" t="s">
        <v>2447</v>
      </c>
      <c r="O83" s="940"/>
      <c r="P83" s="919"/>
      <c r="Q83" s="919"/>
      <c r="U83" s="915" t="s">
        <v>2041</v>
      </c>
      <c r="V83" s="915" t="s">
        <v>2041</v>
      </c>
      <c r="X83" s="952">
        <v>42796</v>
      </c>
      <c r="Y83" s="952">
        <v>42797</v>
      </c>
      <c r="AA83" s="952"/>
      <c r="AB83" s="915" t="s">
        <v>1626</v>
      </c>
      <c r="AC83" s="915">
        <v>0</v>
      </c>
      <c r="AD83" s="915">
        <v>0</v>
      </c>
      <c r="AE83" s="915">
        <v>0</v>
      </c>
      <c r="AF83" s="915">
        <v>0</v>
      </c>
      <c r="AG83" s="915">
        <v>0</v>
      </c>
      <c r="AH83" s="915">
        <v>1</v>
      </c>
      <c r="AI83" s="915">
        <v>60225</v>
      </c>
      <c r="AJ83" s="915">
        <v>2010</v>
      </c>
      <c r="AK83" s="915">
        <v>0</v>
      </c>
      <c r="AL83" s="915">
        <v>0</v>
      </c>
      <c r="AO83" s="955"/>
      <c r="AP83" s="955"/>
      <c r="AQ83" s="915" t="str">
        <f t="shared" si="0"/>
        <v/>
      </c>
      <c r="AS83" s="915" t="str">
        <f t="shared" si="1"/>
        <v>wci_corp</v>
      </c>
    </row>
    <row r="84" spans="2:45">
      <c r="B84" s="915" t="s">
        <v>2365</v>
      </c>
      <c r="C84" s="952">
        <v>42794</v>
      </c>
      <c r="D84" s="953">
        <v>204.66</v>
      </c>
      <c r="E84" s="953">
        <v>0</v>
      </c>
      <c r="F84" s="954" t="s">
        <v>1613</v>
      </c>
      <c r="G84" s="915" t="s">
        <v>2039</v>
      </c>
      <c r="H84" s="955" t="s">
        <v>1615</v>
      </c>
      <c r="I84" s="915" t="s">
        <v>2040</v>
      </c>
      <c r="J84" s="915" t="s">
        <v>2000</v>
      </c>
      <c r="K84" s="915" t="s">
        <v>1618</v>
      </c>
      <c r="L84" s="919"/>
      <c r="M84" s="919"/>
      <c r="N84" s="919" t="s">
        <v>2448</v>
      </c>
      <c r="O84" s="940"/>
      <c r="P84" s="919"/>
      <c r="Q84" s="919"/>
      <c r="U84" s="915" t="s">
        <v>2041</v>
      </c>
      <c r="V84" s="915" t="s">
        <v>2041</v>
      </c>
      <c r="X84" s="952">
        <v>42796</v>
      </c>
      <c r="Y84" s="952">
        <v>42797</v>
      </c>
      <c r="AA84" s="952"/>
      <c r="AB84" s="915" t="s">
        <v>1626</v>
      </c>
      <c r="AC84" s="915">
        <v>0</v>
      </c>
      <c r="AD84" s="915">
        <v>0</v>
      </c>
      <c r="AE84" s="915">
        <v>0</v>
      </c>
      <c r="AF84" s="915">
        <v>0</v>
      </c>
      <c r="AG84" s="915">
        <v>0</v>
      </c>
      <c r="AH84" s="915">
        <v>1</v>
      </c>
      <c r="AI84" s="915">
        <v>60225</v>
      </c>
      <c r="AJ84" s="915">
        <v>2010</v>
      </c>
      <c r="AK84" s="915">
        <v>0</v>
      </c>
      <c r="AL84" s="915">
        <v>0</v>
      </c>
      <c r="AO84" s="955"/>
      <c r="AP84" s="955"/>
      <c r="AQ84" s="915" t="str">
        <f t="shared" si="0"/>
        <v/>
      </c>
      <c r="AS84" s="915" t="str">
        <f t="shared" si="1"/>
        <v>wci_corp</v>
      </c>
    </row>
    <row r="85" spans="2:45">
      <c r="B85" s="915" t="s">
        <v>2365</v>
      </c>
      <c r="C85" s="952">
        <v>42794</v>
      </c>
      <c r="D85" s="953">
        <v>1001.6</v>
      </c>
      <c r="E85" s="953">
        <v>0</v>
      </c>
      <c r="F85" s="954" t="s">
        <v>1613</v>
      </c>
      <c r="G85" s="915" t="s">
        <v>1670</v>
      </c>
      <c r="H85" s="955" t="s">
        <v>1615</v>
      </c>
      <c r="I85" s="915" t="s">
        <v>1671</v>
      </c>
      <c r="J85" s="915" t="s">
        <v>1672</v>
      </c>
      <c r="K85" s="915" t="s">
        <v>1630</v>
      </c>
      <c r="L85" s="919"/>
      <c r="M85" s="919"/>
      <c r="N85" s="919" t="s">
        <v>2449</v>
      </c>
      <c r="O85" s="940"/>
      <c r="P85" s="919"/>
      <c r="Q85" s="919"/>
      <c r="U85" s="915" t="s">
        <v>1670</v>
      </c>
      <c r="X85" s="952">
        <v>42799</v>
      </c>
      <c r="Y85" s="952">
        <v>42800</v>
      </c>
      <c r="AA85" s="952"/>
      <c r="AB85" s="915" t="s">
        <v>1626</v>
      </c>
      <c r="AC85" s="915">
        <v>0</v>
      </c>
      <c r="AD85" s="915">
        <v>0</v>
      </c>
      <c r="AE85" s="915">
        <v>0</v>
      </c>
      <c r="AF85" s="915">
        <v>0</v>
      </c>
      <c r="AG85" s="915">
        <v>0</v>
      </c>
      <c r="AH85" s="915">
        <v>1</v>
      </c>
      <c r="AI85" s="915">
        <v>60225</v>
      </c>
      <c r="AJ85" s="915">
        <v>2010</v>
      </c>
      <c r="AK85" s="915">
        <v>0</v>
      </c>
      <c r="AL85" s="915">
        <v>0</v>
      </c>
      <c r="AO85" s="955"/>
      <c r="AP85" s="955"/>
      <c r="AQ85" s="915" t="str">
        <f t="shared" ref="AQ85:AQ148" si="2">IF(LEFT(U85,2)="VO",U85,"")</f>
        <v/>
      </c>
      <c r="AS85" s="915" t="str">
        <f t="shared" ref="AS85:AS148" si="3">IF(RIGHT(K85,2)="IC",IF(OR(AB85="wci_canada",AB85="wci_can_corp"),"wci_can_Corp","wci_corp"),AB85)</f>
        <v>wci_wa</v>
      </c>
    </row>
    <row r="86" spans="2:45">
      <c r="B86" s="915" t="s">
        <v>2365</v>
      </c>
      <c r="C86" s="952">
        <v>42794</v>
      </c>
      <c r="D86" s="953">
        <v>418.75</v>
      </c>
      <c r="E86" s="953">
        <v>0</v>
      </c>
      <c r="F86" s="954" t="s">
        <v>1613</v>
      </c>
      <c r="G86" s="915" t="s">
        <v>2450</v>
      </c>
      <c r="H86" s="955" t="s">
        <v>1615</v>
      </c>
      <c r="I86" s="915" t="s">
        <v>1999</v>
      </c>
      <c r="J86" s="915" t="s">
        <v>2000</v>
      </c>
      <c r="K86" s="915" t="s">
        <v>1618</v>
      </c>
      <c r="L86" s="919"/>
      <c r="M86" s="919"/>
      <c r="N86" s="919" t="s">
        <v>2433</v>
      </c>
      <c r="O86" s="940"/>
      <c r="P86" s="919"/>
      <c r="Q86" s="919"/>
      <c r="U86" s="915" t="s">
        <v>2451</v>
      </c>
      <c r="V86" s="915" t="s">
        <v>2451</v>
      </c>
      <c r="X86" s="952">
        <v>42800</v>
      </c>
      <c r="Y86" s="952">
        <v>42800</v>
      </c>
      <c r="AA86" s="952"/>
      <c r="AB86" s="915" t="s">
        <v>1626</v>
      </c>
      <c r="AC86" s="915">
        <v>0</v>
      </c>
      <c r="AD86" s="915">
        <v>0</v>
      </c>
      <c r="AE86" s="915">
        <v>0</v>
      </c>
      <c r="AF86" s="915">
        <v>0</v>
      </c>
      <c r="AG86" s="915">
        <v>0</v>
      </c>
      <c r="AH86" s="915">
        <v>1</v>
      </c>
      <c r="AI86" s="915">
        <v>60225</v>
      </c>
      <c r="AJ86" s="915">
        <v>2010</v>
      </c>
      <c r="AK86" s="915">
        <v>0</v>
      </c>
      <c r="AL86" s="915">
        <v>0</v>
      </c>
      <c r="AO86" s="955"/>
      <c r="AP86" s="955"/>
      <c r="AQ86" s="915" t="str">
        <f t="shared" si="2"/>
        <v/>
      </c>
      <c r="AS86" s="915" t="str">
        <f t="shared" si="3"/>
        <v>wci_corp</v>
      </c>
    </row>
    <row r="87" spans="2:45">
      <c r="B87" s="915" t="s">
        <v>2365</v>
      </c>
      <c r="C87" s="952">
        <v>42794</v>
      </c>
      <c r="D87" s="953">
        <v>2185</v>
      </c>
      <c r="E87" s="953">
        <v>0</v>
      </c>
      <c r="F87" s="954" t="s">
        <v>1613</v>
      </c>
      <c r="G87" s="915" t="s">
        <v>2450</v>
      </c>
      <c r="H87" s="955" t="s">
        <v>1615</v>
      </c>
      <c r="I87" s="915" t="s">
        <v>1999</v>
      </c>
      <c r="J87" s="915" t="s">
        <v>2000</v>
      </c>
      <c r="K87" s="915" t="s">
        <v>1618</v>
      </c>
      <c r="L87" s="919"/>
      <c r="M87" s="919"/>
      <c r="N87" s="919" t="s">
        <v>2452</v>
      </c>
      <c r="O87" s="940"/>
      <c r="P87" s="919"/>
      <c r="Q87" s="919"/>
      <c r="U87" s="915" t="s">
        <v>2451</v>
      </c>
      <c r="V87" s="915" t="s">
        <v>2451</v>
      </c>
      <c r="X87" s="952">
        <v>42800</v>
      </c>
      <c r="Y87" s="952">
        <v>42800</v>
      </c>
      <c r="AA87" s="952"/>
      <c r="AB87" s="915" t="s">
        <v>1626</v>
      </c>
      <c r="AC87" s="915">
        <v>0</v>
      </c>
      <c r="AD87" s="915">
        <v>0</v>
      </c>
      <c r="AE87" s="915">
        <v>0</v>
      </c>
      <c r="AF87" s="915">
        <v>0</v>
      </c>
      <c r="AG87" s="915">
        <v>0</v>
      </c>
      <c r="AH87" s="915">
        <v>1</v>
      </c>
      <c r="AI87" s="915">
        <v>60225</v>
      </c>
      <c r="AJ87" s="915">
        <v>2010</v>
      </c>
      <c r="AK87" s="915">
        <v>0</v>
      </c>
      <c r="AL87" s="915">
        <v>0</v>
      </c>
      <c r="AO87" s="955"/>
      <c r="AP87" s="955"/>
      <c r="AQ87" s="915" t="str">
        <f t="shared" si="2"/>
        <v/>
      </c>
      <c r="AS87" s="915" t="str">
        <f t="shared" si="3"/>
        <v>wci_corp</v>
      </c>
    </row>
    <row r="88" spans="2:45">
      <c r="B88" s="915" t="s">
        <v>2434</v>
      </c>
      <c r="C88" s="952">
        <v>42794</v>
      </c>
      <c r="D88" s="953">
        <v>10</v>
      </c>
      <c r="E88" s="953">
        <v>0</v>
      </c>
      <c r="F88" s="954" t="s">
        <v>1613</v>
      </c>
      <c r="G88" s="915" t="s">
        <v>2453</v>
      </c>
      <c r="H88" s="955" t="s">
        <v>1615</v>
      </c>
      <c r="I88" s="915" t="s">
        <v>2151</v>
      </c>
      <c r="J88" s="915" t="s">
        <v>2000</v>
      </c>
      <c r="K88" s="915" t="s">
        <v>1618</v>
      </c>
      <c r="L88" s="919"/>
      <c r="M88" s="919"/>
      <c r="N88" s="919" t="s">
        <v>305</v>
      </c>
      <c r="O88" s="940"/>
      <c r="P88" s="919"/>
      <c r="Q88" s="919"/>
      <c r="U88" s="915" t="s">
        <v>2454</v>
      </c>
      <c r="V88" s="915" t="s">
        <v>2454</v>
      </c>
      <c r="X88" s="952">
        <v>42800</v>
      </c>
      <c r="Y88" s="952">
        <v>42800</v>
      </c>
      <c r="AA88" s="952"/>
      <c r="AB88" s="915" t="s">
        <v>1626</v>
      </c>
      <c r="AC88" s="915">
        <v>0</v>
      </c>
      <c r="AD88" s="915">
        <v>0</v>
      </c>
      <c r="AE88" s="915">
        <v>0</v>
      </c>
      <c r="AF88" s="915">
        <v>0</v>
      </c>
      <c r="AG88" s="915">
        <v>0</v>
      </c>
      <c r="AH88" s="915">
        <v>1</v>
      </c>
      <c r="AI88" s="915">
        <v>60225</v>
      </c>
      <c r="AJ88" s="915">
        <v>2010</v>
      </c>
      <c r="AK88" s="915">
        <v>100</v>
      </c>
      <c r="AL88" s="915">
        <v>0</v>
      </c>
      <c r="AO88" s="955"/>
      <c r="AP88" s="955"/>
      <c r="AQ88" s="915" t="str">
        <f t="shared" si="2"/>
        <v/>
      </c>
      <c r="AS88" s="915" t="str">
        <f t="shared" si="3"/>
        <v>wci_corp</v>
      </c>
    </row>
    <row r="89" spans="2:45">
      <c r="B89" s="915" t="s">
        <v>2365</v>
      </c>
      <c r="C89" s="952">
        <v>42824</v>
      </c>
      <c r="D89" s="953">
        <v>302.44</v>
      </c>
      <c r="E89" s="953">
        <v>0</v>
      </c>
      <c r="F89" s="954" t="s">
        <v>1613</v>
      </c>
      <c r="G89" s="915" t="s">
        <v>2455</v>
      </c>
      <c r="H89" s="955" t="s">
        <v>1615</v>
      </c>
      <c r="I89" s="915" t="s">
        <v>1616</v>
      </c>
      <c r="J89" s="915" t="s">
        <v>1617</v>
      </c>
      <c r="K89" s="915" t="s">
        <v>1618</v>
      </c>
      <c r="L89" s="919" t="s">
        <v>2456</v>
      </c>
      <c r="M89" s="919"/>
      <c r="N89" s="919" t="s">
        <v>2457</v>
      </c>
      <c r="O89" s="940">
        <v>42816</v>
      </c>
      <c r="P89" s="919" t="s">
        <v>2458</v>
      </c>
      <c r="Q89" s="919">
        <v>180024238</v>
      </c>
      <c r="R89" s="915" t="s">
        <v>2459</v>
      </c>
      <c r="U89" s="915" t="s">
        <v>2460</v>
      </c>
      <c r="V89" s="915" t="s">
        <v>2461</v>
      </c>
      <c r="W89" s="915">
        <v>2010</v>
      </c>
      <c r="X89" s="952">
        <v>42824</v>
      </c>
      <c r="Y89" s="952">
        <v>42824</v>
      </c>
      <c r="Z89" s="915">
        <v>302.44</v>
      </c>
      <c r="AA89" s="952">
        <v>42826</v>
      </c>
      <c r="AB89" s="915" t="s">
        <v>1626</v>
      </c>
      <c r="AC89" s="915">
        <v>0</v>
      </c>
      <c r="AD89" s="915">
        <v>0</v>
      </c>
      <c r="AE89" s="915">
        <v>0</v>
      </c>
      <c r="AF89" s="915">
        <v>0</v>
      </c>
      <c r="AG89" s="915">
        <v>0</v>
      </c>
      <c r="AH89" s="915">
        <v>1</v>
      </c>
      <c r="AI89" s="915">
        <v>60225</v>
      </c>
      <c r="AJ89" s="915">
        <v>2010</v>
      </c>
      <c r="AK89" s="915">
        <v>0</v>
      </c>
      <c r="AL89" s="915">
        <v>0</v>
      </c>
      <c r="AO89" s="955"/>
      <c r="AP89" s="955"/>
      <c r="AQ89" s="915" t="str">
        <f t="shared" si="2"/>
        <v>VO04245431</v>
      </c>
      <c r="AS89" s="915" t="str">
        <f t="shared" si="3"/>
        <v>wci_corp</v>
      </c>
    </row>
    <row r="90" spans="2:45">
      <c r="B90" s="915" t="s">
        <v>2365</v>
      </c>
      <c r="C90" s="952">
        <v>42825</v>
      </c>
      <c r="D90" s="953">
        <v>-418.75</v>
      </c>
      <c r="E90" s="953">
        <v>0</v>
      </c>
      <c r="F90" s="954" t="s">
        <v>1613</v>
      </c>
      <c r="G90" s="915" t="s">
        <v>2462</v>
      </c>
      <c r="H90" s="955" t="s">
        <v>1615</v>
      </c>
      <c r="I90" s="915" t="s">
        <v>1999</v>
      </c>
      <c r="J90" s="915" t="s">
        <v>2018</v>
      </c>
      <c r="K90" s="915" t="s">
        <v>1618</v>
      </c>
      <c r="L90" s="919"/>
      <c r="M90" s="919"/>
      <c r="N90" s="919" t="s">
        <v>2433</v>
      </c>
      <c r="O90" s="940"/>
      <c r="P90" s="919"/>
      <c r="Q90" s="919"/>
      <c r="U90" s="915" t="s">
        <v>2451</v>
      </c>
      <c r="V90" s="915" t="s">
        <v>2463</v>
      </c>
      <c r="X90" s="952">
        <v>42800</v>
      </c>
      <c r="Y90" s="952">
        <v>42801</v>
      </c>
      <c r="AA90" s="952"/>
      <c r="AB90" s="915" t="s">
        <v>1626</v>
      </c>
      <c r="AC90" s="915">
        <v>0</v>
      </c>
      <c r="AD90" s="915">
        <v>0</v>
      </c>
      <c r="AE90" s="915">
        <v>0</v>
      </c>
      <c r="AF90" s="915">
        <v>0</v>
      </c>
      <c r="AG90" s="915">
        <v>5</v>
      </c>
      <c r="AH90" s="915">
        <v>1</v>
      </c>
      <c r="AI90" s="915">
        <v>60225</v>
      </c>
      <c r="AJ90" s="915">
        <v>2010</v>
      </c>
      <c r="AK90" s="915">
        <v>0</v>
      </c>
      <c r="AL90" s="915">
        <v>0</v>
      </c>
      <c r="AO90" s="955"/>
      <c r="AP90" s="955"/>
      <c r="AQ90" s="915" t="str">
        <f t="shared" si="2"/>
        <v/>
      </c>
      <c r="AS90" s="915" t="str">
        <f t="shared" si="3"/>
        <v>wci_corp</v>
      </c>
    </row>
    <row r="91" spans="2:45">
      <c r="B91" s="915" t="s">
        <v>2365</v>
      </c>
      <c r="C91" s="952">
        <v>42825</v>
      </c>
      <c r="D91" s="953">
        <v>-2185</v>
      </c>
      <c r="E91" s="953">
        <v>0</v>
      </c>
      <c r="F91" s="954" t="s">
        <v>1613</v>
      </c>
      <c r="G91" s="915" t="s">
        <v>2462</v>
      </c>
      <c r="H91" s="955" t="s">
        <v>1615</v>
      </c>
      <c r="I91" s="915" t="s">
        <v>1999</v>
      </c>
      <c r="J91" s="915" t="s">
        <v>2018</v>
      </c>
      <c r="K91" s="915" t="s">
        <v>1618</v>
      </c>
      <c r="L91" s="919"/>
      <c r="M91" s="919"/>
      <c r="N91" s="919" t="s">
        <v>2452</v>
      </c>
      <c r="O91" s="940"/>
      <c r="P91" s="919"/>
      <c r="Q91" s="919"/>
      <c r="U91" s="915" t="s">
        <v>2451</v>
      </c>
      <c r="V91" s="915" t="s">
        <v>2463</v>
      </c>
      <c r="X91" s="952">
        <v>42800</v>
      </c>
      <c r="Y91" s="952">
        <v>42801</v>
      </c>
      <c r="AA91" s="952"/>
      <c r="AB91" s="915" t="s">
        <v>1626</v>
      </c>
      <c r="AC91" s="915">
        <v>0</v>
      </c>
      <c r="AD91" s="915">
        <v>0</v>
      </c>
      <c r="AE91" s="915">
        <v>0</v>
      </c>
      <c r="AF91" s="915">
        <v>0</v>
      </c>
      <c r="AG91" s="915">
        <v>5</v>
      </c>
      <c r="AH91" s="915">
        <v>1</v>
      </c>
      <c r="AI91" s="915">
        <v>60225</v>
      </c>
      <c r="AJ91" s="915">
        <v>2010</v>
      </c>
      <c r="AK91" s="915">
        <v>0</v>
      </c>
      <c r="AL91" s="915">
        <v>0</v>
      </c>
      <c r="AO91" s="955"/>
      <c r="AP91" s="955"/>
      <c r="AQ91" s="915" t="str">
        <f t="shared" si="2"/>
        <v/>
      </c>
      <c r="AS91" s="915" t="str">
        <f t="shared" si="3"/>
        <v>wci_corp</v>
      </c>
    </row>
    <row r="92" spans="2:45">
      <c r="B92" s="915" t="s">
        <v>2434</v>
      </c>
      <c r="C92" s="952">
        <v>42825</v>
      </c>
      <c r="D92" s="953">
        <v>-10</v>
      </c>
      <c r="E92" s="953">
        <v>0</v>
      </c>
      <c r="F92" s="954" t="s">
        <v>1613</v>
      </c>
      <c r="G92" s="915" t="s">
        <v>2464</v>
      </c>
      <c r="H92" s="955" t="s">
        <v>1615</v>
      </c>
      <c r="I92" s="915" t="s">
        <v>2151</v>
      </c>
      <c r="J92" s="915" t="s">
        <v>2018</v>
      </c>
      <c r="K92" s="915" t="s">
        <v>1618</v>
      </c>
      <c r="L92" s="919"/>
      <c r="M92" s="919"/>
      <c r="N92" s="919" t="s">
        <v>305</v>
      </c>
      <c r="O92" s="940"/>
      <c r="P92" s="919"/>
      <c r="Q92" s="919"/>
      <c r="U92" s="915" t="s">
        <v>2454</v>
      </c>
      <c r="V92" s="915" t="s">
        <v>2465</v>
      </c>
      <c r="X92" s="952">
        <v>42800</v>
      </c>
      <c r="Y92" s="952">
        <v>42801</v>
      </c>
      <c r="AA92" s="952"/>
      <c r="AB92" s="915" t="s">
        <v>1626</v>
      </c>
      <c r="AC92" s="915">
        <v>0</v>
      </c>
      <c r="AD92" s="915">
        <v>0</v>
      </c>
      <c r="AE92" s="915">
        <v>0</v>
      </c>
      <c r="AF92" s="915">
        <v>0</v>
      </c>
      <c r="AG92" s="915">
        <v>5</v>
      </c>
      <c r="AH92" s="915">
        <v>1</v>
      </c>
      <c r="AI92" s="915">
        <v>60225</v>
      </c>
      <c r="AJ92" s="915">
        <v>2010</v>
      </c>
      <c r="AK92" s="915">
        <v>100</v>
      </c>
      <c r="AL92" s="915">
        <v>0</v>
      </c>
      <c r="AO92" s="955"/>
      <c r="AP92" s="955"/>
      <c r="AQ92" s="915" t="str">
        <f t="shared" si="2"/>
        <v/>
      </c>
      <c r="AS92" s="915" t="str">
        <f t="shared" si="3"/>
        <v>wci_corp</v>
      </c>
    </row>
    <row r="93" spans="2:45">
      <c r="B93" s="915" t="s">
        <v>2365</v>
      </c>
      <c r="C93" s="952">
        <v>42825</v>
      </c>
      <c r="D93" s="953">
        <v>418.75</v>
      </c>
      <c r="E93" s="953">
        <v>0</v>
      </c>
      <c r="F93" s="954" t="s">
        <v>1613</v>
      </c>
      <c r="G93" s="915" t="s">
        <v>2466</v>
      </c>
      <c r="H93" s="955" t="s">
        <v>1615</v>
      </c>
      <c r="I93" s="915" t="s">
        <v>2467</v>
      </c>
      <c r="J93" s="915" t="s">
        <v>2018</v>
      </c>
      <c r="K93" s="915" t="s">
        <v>1618</v>
      </c>
      <c r="L93" s="919"/>
      <c r="M93" s="919"/>
      <c r="N93" s="919" t="s">
        <v>2314</v>
      </c>
      <c r="O93" s="940"/>
      <c r="P93" s="919"/>
      <c r="Q93" s="919"/>
      <c r="U93" s="915" t="s">
        <v>2468</v>
      </c>
      <c r="V93" s="915" t="s">
        <v>2468</v>
      </c>
      <c r="X93" s="952">
        <v>42828</v>
      </c>
      <c r="Y93" s="952">
        <v>42829</v>
      </c>
      <c r="AA93" s="952"/>
      <c r="AB93" s="915" t="s">
        <v>1626</v>
      </c>
      <c r="AC93" s="915">
        <v>0</v>
      </c>
      <c r="AD93" s="915">
        <v>0</v>
      </c>
      <c r="AE93" s="915">
        <v>0</v>
      </c>
      <c r="AF93" s="915">
        <v>0</v>
      </c>
      <c r="AG93" s="915">
        <v>0</v>
      </c>
      <c r="AH93" s="915">
        <v>1</v>
      </c>
      <c r="AI93" s="915">
        <v>60225</v>
      </c>
      <c r="AJ93" s="915">
        <v>2010</v>
      </c>
      <c r="AK93" s="915">
        <v>0</v>
      </c>
      <c r="AL93" s="915">
        <v>0</v>
      </c>
      <c r="AO93" s="955"/>
      <c r="AP93" s="955"/>
      <c r="AQ93" s="915" t="str">
        <f t="shared" si="2"/>
        <v/>
      </c>
      <c r="AS93" s="915" t="str">
        <f t="shared" si="3"/>
        <v>wci_corp</v>
      </c>
    </row>
    <row r="94" spans="2:45">
      <c r="B94" s="915" t="s">
        <v>2365</v>
      </c>
      <c r="C94" s="952">
        <v>42825</v>
      </c>
      <c r="D94" s="953">
        <v>561.51</v>
      </c>
      <c r="E94" s="953">
        <v>0</v>
      </c>
      <c r="F94" s="954" t="s">
        <v>1613</v>
      </c>
      <c r="G94" s="915" t="s">
        <v>2466</v>
      </c>
      <c r="H94" s="955" t="s">
        <v>1615</v>
      </c>
      <c r="I94" s="915" t="s">
        <v>2467</v>
      </c>
      <c r="J94" s="915" t="s">
        <v>2018</v>
      </c>
      <c r="K94" s="915" t="s">
        <v>1618</v>
      </c>
      <c r="L94" s="919"/>
      <c r="M94" s="919"/>
      <c r="N94" s="919" t="s">
        <v>2448</v>
      </c>
      <c r="O94" s="940"/>
      <c r="P94" s="919"/>
      <c r="Q94" s="919"/>
      <c r="U94" s="915" t="s">
        <v>2468</v>
      </c>
      <c r="V94" s="915" t="s">
        <v>2468</v>
      </c>
      <c r="X94" s="952">
        <v>42828</v>
      </c>
      <c r="Y94" s="952">
        <v>42829</v>
      </c>
      <c r="AA94" s="952"/>
      <c r="AB94" s="915" t="s">
        <v>1626</v>
      </c>
      <c r="AC94" s="915">
        <v>0</v>
      </c>
      <c r="AD94" s="915">
        <v>0</v>
      </c>
      <c r="AE94" s="915">
        <v>0</v>
      </c>
      <c r="AF94" s="915">
        <v>0</v>
      </c>
      <c r="AG94" s="915">
        <v>0</v>
      </c>
      <c r="AH94" s="915">
        <v>1</v>
      </c>
      <c r="AI94" s="915">
        <v>60225</v>
      </c>
      <c r="AJ94" s="915">
        <v>2010</v>
      </c>
      <c r="AK94" s="915">
        <v>0</v>
      </c>
      <c r="AL94" s="915">
        <v>0</v>
      </c>
      <c r="AO94" s="955"/>
      <c r="AP94" s="955"/>
      <c r="AQ94" s="915" t="str">
        <f t="shared" si="2"/>
        <v/>
      </c>
      <c r="AS94" s="915" t="str">
        <f t="shared" si="3"/>
        <v>wci_corp</v>
      </c>
    </row>
    <row r="95" spans="2:45">
      <c r="B95" s="915" t="s">
        <v>2365</v>
      </c>
      <c r="C95" s="952">
        <v>42825</v>
      </c>
      <c r="D95" s="953">
        <v>558.26</v>
      </c>
      <c r="E95" s="953">
        <v>0</v>
      </c>
      <c r="F95" s="954" t="s">
        <v>1613</v>
      </c>
      <c r="G95" s="915" t="s">
        <v>2466</v>
      </c>
      <c r="H95" s="955" t="s">
        <v>1615</v>
      </c>
      <c r="I95" s="915" t="s">
        <v>2467</v>
      </c>
      <c r="J95" s="915" t="s">
        <v>2018</v>
      </c>
      <c r="K95" s="915" t="s">
        <v>1618</v>
      </c>
      <c r="L95" s="919"/>
      <c r="M95" s="919"/>
      <c r="N95" s="919" t="s">
        <v>2469</v>
      </c>
      <c r="O95" s="940"/>
      <c r="P95" s="919"/>
      <c r="Q95" s="919"/>
      <c r="U95" s="915" t="s">
        <v>2468</v>
      </c>
      <c r="V95" s="915" t="s">
        <v>2468</v>
      </c>
      <c r="X95" s="952">
        <v>42828</v>
      </c>
      <c r="Y95" s="952">
        <v>42829</v>
      </c>
      <c r="AA95" s="952"/>
      <c r="AB95" s="915" t="s">
        <v>1626</v>
      </c>
      <c r="AC95" s="915">
        <v>0</v>
      </c>
      <c r="AD95" s="915">
        <v>0</v>
      </c>
      <c r="AE95" s="915">
        <v>0</v>
      </c>
      <c r="AF95" s="915">
        <v>0</v>
      </c>
      <c r="AG95" s="915">
        <v>0</v>
      </c>
      <c r="AH95" s="915">
        <v>1</v>
      </c>
      <c r="AI95" s="915">
        <v>60225</v>
      </c>
      <c r="AJ95" s="915">
        <v>2010</v>
      </c>
      <c r="AK95" s="915">
        <v>0</v>
      </c>
      <c r="AL95" s="915">
        <v>0</v>
      </c>
      <c r="AO95" s="955"/>
      <c r="AP95" s="955"/>
      <c r="AQ95" s="915" t="str">
        <f t="shared" si="2"/>
        <v/>
      </c>
      <c r="AS95" s="915" t="str">
        <f t="shared" si="3"/>
        <v>wci_corp</v>
      </c>
    </row>
    <row r="96" spans="2:45">
      <c r="B96" s="915" t="s">
        <v>2365</v>
      </c>
      <c r="C96" s="952">
        <v>42825</v>
      </c>
      <c r="D96" s="953">
        <v>362.57</v>
      </c>
      <c r="E96" s="953">
        <v>0</v>
      </c>
      <c r="F96" s="954" t="s">
        <v>1613</v>
      </c>
      <c r="G96" s="915" t="s">
        <v>2470</v>
      </c>
      <c r="H96" s="955" t="s">
        <v>1615</v>
      </c>
      <c r="I96" s="915" t="s">
        <v>2056</v>
      </c>
      <c r="J96" s="915" t="s">
        <v>2000</v>
      </c>
      <c r="K96" s="915" t="s">
        <v>1618</v>
      </c>
      <c r="L96" s="919"/>
      <c r="M96" s="919"/>
      <c r="N96" s="919" t="s">
        <v>2388</v>
      </c>
      <c r="O96" s="940"/>
      <c r="P96" s="919"/>
      <c r="Q96" s="919"/>
      <c r="U96" s="915" t="s">
        <v>2471</v>
      </c>
      <c r="V96" s="915" t="s">
        <v>2471</v>
      </c>
      <c r="X96" s="952">
        <v>42831</v>
      </c>
      <c r="Y96" s="952">
        <v>42832</v>
      </c>
      <c r="AA96" s="952"/>
      <c r="AB96" s="915" t="s">
        <v>1626</v>
      </c>
      <c r="AC96" s="915">
        <v>0</v>
      </c>
      <c r="AD96" s="915">
        <v>0</v>
      </c>
      <c r="AE96" s="915">
        <v>0</v>
      </c>
      <c r="AF96" s="915">
        <v>0</v>
      </c>
      <c r="AG96" s="915">
        <v>0</v>
      </c>
      <c r="AH96" s="915">
        <v>1</v>
      </c>
      <c r="AI96" s="915">
        <v>60225</v>
      </c>
      <c r="AJ96" s="915">
        <v>2010</v>
      </c>
      <c r="AK96" s="915">
        <v>0</v>
      </c>
      <c r="AL96" s="915">
        <v>0</v>
      </c>
      <c r="AO96" s="955"/>
      <c r="AP96" s="955"/>
      <c r="AQ96" s="915" t="str">
        <f t="shared" si="2"/>
        <v/>
      </c>
      <c r="AS96" s="915" t="str">
        <f t="shared" si="3"/>
        <v>wci_corp</v>
      </c>
    </row>
    <row r="97" spans="2:45">
      <c r="B97" s="915" t="s">
        <v>2365</v>
      </c>
      <c r="C97" s="952">
        <v>42825</v>
      </c>
      <c r="D97" s="953">
        <v>1725.73</v>
      </c>
      <c r="E97" s="953">
        <v>0</v>
      </c>
      <c r="F97" s="954" t="s">
        <v>1613</v>
      </c>
      <c r="G97" s="915" t="s">
        <v>2470</v>
      </c>
      <c r="H97" s="955" t="s">
        <v>1615</v>
      </c>
      <c r="I97" s="915" t="s">
        <v>2056</v>
      </c>
      <c r="J97" s="915" t="s">
        <v>2000</v>
      </c>
      <c r="K97" s="915" t="s">
        <v>1618</v>
      </c>
      <c r="L97" s="919"/>
      <c r="M97" s="919"/>
      <c r="N97" s="919" t="s">
        <v>2404</v>
      </c>
      <c r="O97" s="940"/>
      <c r="P97" s="919"/>
      <c r="Q97" s="919"/>
      <c r="U97" s="915" t="s">
        <v>2471</v>
      </c>
      <c r="V97" s="915" t="s">
        <v>2471</v>
      </c>
      <c r="X97" s="952">
        <v>42831</v>
      </c>
      <c r="Y97" s="952">
        <v>42832</v>
      </c>
      <c r="AA97" s="952"/>
      <c r="AB97" s="915" t="s">
        <v>1626</v>
      </c>
      <c r="AC97" s="915">
        <v>0</v>
      </c>
      <c r="AD97" s="915">
        <v>0</v>
      </c>
      <c r="AE97" s="915">
        <v>0</v>
      </c>
      <c r="AF97" s="915">
        <v>0</v>
      </c>
      <c r="AG97" s="915">
        <v>0</v>
      </c>
      <c r="AH97" s="915">
        <v>1</v>
      </c>
      <c r="AI97" s="915">
        <v>60225</v>
      </c>
      <c r="AJ97" s="915">
        <v>2010</v>
      </c>
      <c r="AK97" s="915">
        <v>0</v>
      </c>
      <c r="AL97" s="915">
        <v>0</v>
      </c>
      <c r="AO97" s="955"/>
      <c r="AP97" s="955"/>
      <c r="AQ97" s="915" t="str">
        <f t="shared" si="2"/>
        <v/>
      </c>
      <c r="AS97" s="915" t="str">
        <f t="shared" si="3"/>
        <v>wci_corp</v>
      </c>
    </row>
    <row r="98" spans="2:45">
      <c r="B98" s="915" t="s">
        <v>2365</v>
      </c>
      <c r="C98" s="952">
        <v>42825</v>
      </c>
      <c r="D98" s="953">
        <v>371.16</v>
      </c>
      <c r="E98" s="953">
        <v>0</v>
      </c>
      <c r="F98" s="954" t="s">
        <v>1613</v>
      </c>
      <c r="G98" s="915" t="s">
        <v>2470</v>
      </c>
      <c r="H98" s="955" t="s">
        <v>1615</v>
      </c>
      <c r="I98" s="915" t="s">
        <v>2056</v>
      </c>
      <c r="J98" s="915" t="s">
        <v>2000</v>
      </c>
      <c r="K98" s="915" t="s">
        <v>1618</v>
      </c>
      <c r="L98" s="919"/>
      <c r="M98" s="919"/>
      <c r="N98" s="919" t="s">
        <v>2472</v>
      </c>
      <c r="O98" s="940"/>
      <c r="P98" s="919"/>
      <c r="Q98" s="919"/>
      <c r="U98" s="915" t="s">
        <v>2471</v>
      </c>
      <c r="V98" s="915" t="s">
        <v>2471</v>
      </c>
      <c r="X98" s="952">
        <v>42831</v>
      </c>
      <c r="Y98" s="952">
        <v>42832</v>
      </c>
      <c r="AA98" s="952"/>
      <c r="AB98" s="915" t="s">
        <v>1626</v>
      </c>
      <c r="AC98" s="915">
        <v>0</v>
      </c>
      <c r="AD98" s="915">
        <v>0</v>
      </c>
      <c r="AE98" s="915">
        <v>0</v>
      </c>
      <c r="AF98" s="915">
        <v>0</v>
      </c>
      <c r="AG98" s="915">
        <v>0</v>
      </c>
      <c r="AH98" s="915">
        <v>1</v>
      </c>
      <c r="AI98" s="915">
        <v>60225</v>
      </c>
      <c r="AJ98" s="915">
        <v>2010</v>
      </c>
      <c r="AK98" s="915">
        <v>0</v>
      </c>
      <c r="AL98" s="915">
        <v>0</v>
      </c>
      <c r="AO98" s="955"/>
      <c r="AP98" s="955"/>
      <c r="AQ98" s="915" t="str">
        <f t="shared" si="2"/>
        <v/>
      </c>
      <c r="AS98" s="915" t="str">
        <f t="shared" si="3"/>
        <v>wci_corp</v>
      </c>
    </row>
    <row r="99" spans="2:45">
      <c r="B99" s="915" t="s">
        <v>2365</v>
      </c>
      <c r="C99" s="952">
        <v>42825</v>
      </c>
      <c r="D99" s="953">
        <v>718.75</v>
      </c>
      <c r="E99" s="953">
        <v>0</v>
      </c>
      <c r="F99" s="954" t="s">
        <v>1613</v>
      </c>
      <c r="G99" s="915" t="s">
        <v>2473</v>
      </c>
      <c r="H99" s="955" t="s">
        <v>1615</v>
      </c>
      <c r="I99" s="915" t="s">
        <v>1999</v>
      </c>
      <c r="J99" s="915" t="s">
        <v>2000</v>
      </c>
      <c r="K99" s="915" t="s">
        <v>1618</v>
      </c>
      <c r="L99" s="919"/>
      <c r="M99" s="919"/>
      <c r="N99" s="919" t="s">
        <v>2433</v>
      </c>
      <c r="O99" s="940"/>
      <c r="P99" s="919"/>
      <c r="Q99" s="919"/>
      <c r="U99" s="915" t="s">
        <v>2474</v>
      </c>
      <c r="V99" s="915" t="s">
        <v>2474</v>
      </c>
      <c r="X99" s="952">
        <v>42831</v>
      </c>
      <c r="Y99" s="952">
        <v>42832</v>
      </c>
      <c r="AA99" s="952"/>
      <c r="AB99" s="915" t="s">
        <v>1626</v>
      </c>
      <c r="AC99" s="915">
        <v>0</v>
      </c>
      <c r="AD99" s="915">
        <v>0</v>
      </c>
      <c r="AE99" s="915">
        <v>0</v>
      </c>
      <c r="AF99" s="915">
        <v>0</v>
      </c>
      <c r="AG99" s="915">
        <v>0</v>
      </c>
      <c r="AH99" s="915">
        <v>1</v>
      </c>
      <c r="AI99" s="915">
        <v>60225</v>
      </c>
      <c r="AJ99" s="915">
        <v>2010</v>
      </c>
      <c r="AK99" s="915">
        <v>0</v>
      </c>
      <c r="AL99" s="915">
        <v>0</v>
      </c>
      <c r="AO99" s="955"/>
      <c r="AP99" s="955"/>
      <c r="AQ99" s="915" t="str">
        <f t="shared" si="2"/>
        <v/>
      </c>
      <c r="AS99" s="915" t="str">
        <f t="shared" si="3"/>
        <v>wci_corp</v>
      </c>
    </row>
    <row r="100" spans="2:45">
      <c r="B100" s="915" t="s">
        <v>2365</v>
      </c>
      <c r="C100" s="952">
        <v>42825</v>
      </c>
      <c r="D100" s="953">
        <v>244.71</v>
      </c>
      <c r="E100" s="953">
        <v>0</v>
      </c>
      <c r="F100" s="954" t="s">
        <v>1613</v>
      </c>
      <c r="G100" s="915" t="s">
        <v>2473</v>
      </c>
      <c r="H100" s="955" t="s">
        <v>1615</v>
      </c>
      <c r="I100" s="915" t="s">
        <v>1999</v>
      </c>
      <c r="J100" s="915" t="s">
        <v>2000</v>
      </c>
      <c r="K100" s="915" t="s">
        <v>1618</v>
      </c>
      <c r="L100" s="919"/>
      <c r="M100" s="919"/>
      <c r="N100" s="919" t="s">
        <v>2475</v>
      </c>
      <c r="O100" s="940"/>
      <c r="P100" s="919"/>
      <c r="Q100" s="919"/>
      <c r="U100" s="915" t="s">
        <v>2474</v>
      </c>
      <c r="V100" s="915" t="s">
        <v>2474</v>
      </c>
      <c r="X100" s="952">
        <v>42831</v>
      </c>
      <c r="Y100" s="952">
        <v>42832</v>
      </c>
      <c r="AA100" s="952"/>
      <c r="AB100" s="915" t="s">
        <v>1626</v>
      </c>
      <c r="AC100" s="915">
        <v>0</v>
      </c>
      <c r="AD100" s="915">
        <v>0</v>
      </c>
      <c r="AE100" s="915">
        <v>0</v>
      </c>
      <c r="AF100" s="915">
        <v>0</v>
      </c>
      <c r="AG100" s="915">
        <v>0</v>
      </c>
      <c r="AH100" s="915">
        <v>1</v>
      </c>
      <c r="AI100" s="915">
        <v>60225</v>
      </c>
      <c r="AJ100" s="915">
        <v>2010</v>
      </c>
      <c r="AK100" s="915">
        <v>0</v>
      </c>
      <c r="AL100" s="915">
        <v>0</v>
      </c>
      <c r="AO100" s="955"/>
      <c r="AP100" s="955"/>
      <c r="AQ100" s="915" t="str">
        <f t="shared" si="2"/>
        <v/>
      </c>
      <c r="AS100" s="915" t="str">
        <f t="shared" si="3"/>
        <v>wci_corp</v>
      </c>
    </row>
    <row r="101" spans="2:45">
      <c r="B101" s="915" t="s">
        <v>2365</v>
      </c>
      <c r="C101" s="952">
        <v>42825</v>
      </c>
      <c r="D101" s="953">
        <v>2368.54</v>
      </c>
      <c r="E101" s="953">
        <v>0</v>
      </c>
      <c r="F101" s="954" t="s">
        <v>1613</v>
      </c>
      <c r="G101" s="915" t="s">
        <v>2473</v>
      </c>
      <c r="H101" s="955" t="s">
        <v>1615</v>
      </c>
      <c r="I101" s="915" t="s">
        <v>1999</v>
      </c>
      <c r="J101" s="915" t="s">
        <v>2000</v>
      </c>
      <c r="K101" s="915" t="s">
        <v>1618</v>
      </c>
      <c r="L101" s="919"/>
      <c r="M101" s="919"/>
      <c r="N101" s="919" t="s">
        <v>2452</v>
      </c>
      <c r="O101" s="940"/>
      <c r="P101" s="919"/>
      <c r="Q101" s="919"/>
      <c r="U101" s="915" t="s">
        <v>2474</v>
      </c>
      <c r="V101" s="915" t="s">
        <v>2474</v>
      </c>
      <c r="X101" s="952">
        <v>42831</v>
      </c>
      <c r="Y101" s="952">
        <v>42832</v>
      </c>
      <c r="AA101" s="952"/>
      <c r="AB101" s="915" t="s">
        <v>1626</v>
      </c>
      <c r="AC101" s="915">
        <v>0</v>
      </c>
      <c r="AD101" s="915">
        <v>0</v>
      </c>
      <c r="AE101" s="915">
        <v>0</v>
      </c>
      <c r="AF101" s="915">
        <v>0</v>
      </c>
      <c r="AG101" s="915">
        <v>0</v>
      </c>
      <c r="AH101" s="915">
        <v>1</v>
      </c>
      <c r="AI101" s="915">
        <v>60225</v>
      </c>
      <c r="AJ101" s="915">
        <v>2010</v>
      </c>
      <c r="AK101" s="915">
        <v>0</v>
      </c>
      <c r="AL101" s="915">
        <v>0</v>
      </c>
      <c r="AO101" s="955"/>
      <c r="AP101" s="955"/>
      <c r="AQ101" s="915" t="str">
        <f t="shared" si="2"/>
        <v/>
      </c>
      <c r="AS101" s="915" t="str">
        <f t="shared" si="3"/>
        <v>wci_corp</v>
      </c>
    </row>
    <row r="102" spans="2:45">
      <c r="B102" s="915" t="s">
        <v>2365</v>
      </c>
      <c r="C102" s="952">
        <v>42825</v>
      </c>
      <c r="D102" s="953">
        <v>-371.16</v>
      </c>
      <c r="E102" s="953">
        <v>0</v>
      </c>
      <c r="F102" s="954" t="s">
        <v>1613</v>
      </c>
      <c r="G102" s="915" t="s">
        <v>2473</v>
      </c>
      <c r="H102" s="955" t="s">
        <v>1615</v>
      </c>
      <c r="I102" s="915" t="s">
        <v>1999</v>
      </c>
      <c r="J102" s="915" t="s">
        <v>2000</v>
      </c>
      <c r="K102" s="915" t="s">
        <v>1618</v>
      </c>
      <c r="L102" s="919"/>
      <c r="M102" s="919"/>
      <c r="N102" s="919" t="s">
        <v>2476</v>
      </c>
      <c r="O102" s="940"/>
      <c r="P102" s="919"/>
      <c r="Q102" s="919"/>
      <c r="U102" s="915" t="s">
        <v>2474</v>
      </c>
      <c r="V102" s="915" t="s">
        <v>2474</v>
      </c>
      <c r="X102" s="952">
        <v>42831</v>
      </c>
      <c r="Y102" s="952">
        <v>42832</v>
      </c>
      <c r="AA102" s="952"/>
      <c r="AB102" s="915" t="s">
        <v>1626</v>
      </c>
      <c r="AC102" s="915">
        <v>0</v>
      </c>
      <c r="AD102" s="915">
        <v>0</v>
      </c>
      <c r="AE102" s="915">
        <v>0</v>
      </c>
      <c r="AF102" s="915">
        <v>0</v>
      </c>
      <c r="AG102" s="915">
        <v>0</v>
      </c>
      <c r="AH102" s="915">
        <v>1</v>
      </c>
      <c r="AI102" s="915">
        <v>60225</v>
      </c>
      <c r="AJ102" s="915">
        <v>2010</v>
      </c>
      <c r="AK102" s="915">
        <v>0</v>
      </c>
      <c r="AL102" s="915">
        <v>0</v>
      </c>
      <c r="AO102" s="955"/>
      <c r="AP102" s="955"/>
      <c r="AQ102" s="915" t="str">
        <f t="shared" si="2"/>
        <v/>
      </c>
      <c r="AS102" s="915" t="str">
        <f t="shared" si="3"/>
        <v>wci_corp</v>
      </c>
    </row>
    <row r="103" spans="2:45">
      <c r="B103" s="915" t="s">
        <v>2365</v>
      </c>
      <c r="C103" s="952">
        <v>42832</v>
      </c>
      <c r="D103" s="953">
        <v>1300</v>
      </c>
      <c r="E103" s="953">
        <v>0</v>
      </c>
      <c r="F103" s="954" t="s">
        <v>1613</v>
      </c>
      <c r="G103" s="915" t="s">
        <v>2274</v>
      </c>
      <c r="H103" s="955" t="s">
        <v>1615</v>
      </c>
      <c r="I103" s="915" t="s">
        <v>1616</v>
      </c>
      <c r="J103" s="915" t="s">
        <v>1617</v>
      </c>
      <c r="K103" s="915" t="s">
        <v>1618</v>
      </c>
      <c r="L103" s="919" t="s">
        <v>2477</v>
      </c>
      <c r="M103" s="919"/>
      <c r="N103" s="919" t="s">
        <v>2397</v>
      </c>
      <c r="O103" s="940">
        <v>42826</v>
      </c>
      <c r="P103" s="919" t="s">
        <v>2478</v>
      </c>
      <c r="Q103" s="919" t="s">
        <v>2479</v>
      </c>
      <c r="R103" s="915" t="s">
        <v>2480</v>
      </c>
      <c r="U103" s="915" t="s">
        <v>2481</v>
      </c>
      <c r="V103" s="915" t="s">
        <v>2279</v>
      </c>
      <c r="W103" s="915">
        <v>2010</v>
      </c>
      <c r="X103" s="952">
        <v>42832</v>
      </c>
      <c r="Y103" s="952">
        <v>42832</v>
      </c>
      <c r="Z103" s="915">
        <v>1300</v>
      </c>
      <c r="AA103" s="952">
        <v>42836</v>
      </c>
      <c r="AB103" s="915" t="s">
        <v>1626</v>
      </c>
      <c r="AC103" s="915">
        <v>0</v>
      </c>
      <c r="AD103" s="915">
        <v>0</v>
      </c>
      <c r="AE103" s="915">
        <v>0</v>
      </c>
      <c r="AF103" s="915">
        <v>0</v>
      </c>
      <c r="AG103" s="915">
        <v>0</v>
      </c>
      <c r="AH103" s="915">
        <v>1</v>
      </c>
      <c r="AI103" s="915">
        <v>60225</v>
      </c>
      <c r="AJ103" s="915">
        <v>2010</v>
      </c>
      <c r="AK103" s="915">
        <v>0</v>
      </c>
      <c r="AL103" s="915">
        <v>0</v>
      </c>
      <c r="AO103" s="955"/>
      <c r="AP103" s="955"/>
      <c r="AQ103" s="915" t="str">
        <f t="shared" si="2"/>
        <v>VO04252687</v>
      </c>
      <c r="AS103" s="915" t="str">
        <f t="shared" si="3"/>
        <v>wci_corp</v>
      </c>
    </row>
    <row r="104" spans="2:45">
      <c r="B104" s="915" t="s">
        <v>2365</v>
      </c>
      <c r="C104" s="952">
        <v>42855</v>
      </c>
      <c r="D104" s="953">
        <v>-362.57</v>
      </c>
      <c r="E104" s="953">
        <v>0</v>
      </c>
      <c r="F104" s="954" t="s">
        <v>1613</v>
      </c>
      <c r="G104" s="915" t="s">
        <v>2482</v>
      </c>
      <c r="H104" s="955" t="s">
        <v>1615</v>
      </c>
      <c r="I104" s="915" t="s">
        <v>2056</v>
      </c>
      <c r="J104" s="915" t="s">
        <v>2025</v>
      </c>
      <c r="K104" s="915" t="s">
        <v>1618</v>
      </c>
      <c r="L104" s="919"/>
      <c r="M104" s="919"/>
      <c r="N104" s="919" t="s">
        <v>2388</v>
      </c>
      <c r="O104" s="940"/>
      <c r="P104" s="919"/>
      <c r="Q104" s="919"/>
      <c r="U104" s="915" t="s">
        <v>2471</v>
      </c>
      <c r="V104" s="915" t="s">
        <v>2483</v>
      </c>
      <c r="X104" s="952">
        <v>42832</v>
      </c>
      <c r="Y104" s="952">
        <v>42832</v>
      </c>
      <c r="AA104" s="952"/>
      <c r="AB104" s="915" t="s">
        <v>1626</v>
      </c>
      <c r="AC104" s="915">
        <v>0</v>
      </c>
      <c r="AD104" s="915">
        <v>0</v>
      </c>
      <c r="AE104" s="915">
        <v>0</v>
      </c>
      <c r="AF104" s="915">
        <v>0</v>
      </c>
      <c r="AG104" s="915">
        <v>5</v>
      </c>
      <c r="AH104" s="915">
        <v>1</v>
      </c>
      <c r="AI104" s="915">
        <v>60225</v>
      </c>
      <c r="AJ104" s="915">
        <v>2010</v>
      </c>
      <c r="AK104" s="915">
        <v>0</v>
      </c>
      <c r="AL104" s="915">
        <v>0</v>
      </c>
      <c r="AO104" s="955"/>
      <c r="AP104" s="955"/>
      <c r="AQ104" s="915" t="str">
        <f t="shared" si="2"/>
        <v/>
      </c>
      <c r="AS104" s="915" t="str">
        <f t="shared" si="3"/>
        <v>wci_corp</v>
      </c>
    </row>
    <row r="105" spans="2:45">
      <c r="B105" s="915" t="s">
        <v>2365</v>
      </c>
      <c r="C105" s="952">
        <v>42855</v>
      </c>
      <c r="D105" s="953">
        <v>-1725.73</v>
      </c>
      <c r="E105" s="953">
        <v>0</v>
      </c>
      <c r="F105" s="954" t="s">
        <v>1613</v>
      </c>
      <c r="G105" s="915" t="s">
        <v>2482</v>
      </c>
      <c r="H105" s="955" t="s">
        <v>1615</v>
      </c>
      <c r="I105" s="915" t="s">
        <v>2056</v>
      </c>
      <c r="J105" s="915" t="s">
        <v>2025</v>
      </c>
      <c r="K105" s="915" t="s">
        <v>1618</v>
      </c>
      <c r="L105" s="919"/>
      <c r="M105" s="919"/>
      <c r="N105" s="919" t="s">
        <v>2404</v>
      </c>
      <c r="O105" s="940"/>
      <c r="P105" s="919"/>
      <c r="Q105" s="919"/>
      <c r="U105" s="915" t="s">
        <v>2471</v>
      </c>
      <c r="V105" s="915" t="s">
        <v>2483</v>
      </c>
      <c r="X105" s="952">
        <v>42832</v>
      </c>
      <c r="Y105" s="952">
        <v>42832</v>
      </c>
      <c r="AA105" s="952"/>
      <c r="AB105" s="915" t="s">
        <v>1626</v>
      </c>
      <c r="AC105" s="915">
        <v>0</v>
      </c>
      <c r="AD105" s="915">
        <v>0</v>
      </c>
      <c r="AE105" s="915">
        <v>0</v>
      </c>
      <c r="AF105" s="915">
        <v>0</v>
      </c>
      <c r="AG105" s="915">
        <v>5</v>
      </c>
      <c r="AH105" s="915">
        <v>1</v>
      </c>
      <c r="AI105" s="915">
        <v>60225</v>
      </c>
      <c r="AJ105" s="915">
        <v>2010</v>
      </c>
      <c r="AK105" s="915">
        <v>0</v>
      </c>
      <c r="AL105" s="915">
        <v>0</v>
      </c>
      <c r="AO105" s="955"/>
      <c r="AP105" s="955"/>
      <c r="AQ105" s="915" t="str">
        <f t="shared" si="2"/>
        <v/>
      </c>
      <c r="AS105" s="915" t="str">
        <f t="shared" si="3"/>
        <v>wci_corp</v>
      </c>
    </row>
    <row r="106" spans="2:45">
      <c r="B106" s="915" t="s">
        <v>2365</v>
      </c>
      <c r="C106" s="952">
        <v>42855</v>
      </c>
      <c r="D106" s="953">
        <v>-371.16</v>
      </c>
      <c r="E106" s="953">
        <v>0</v>
      </c>
      <c r="F106" s="954" t="s">
        <v>1613</v>
      </c>
      <c r="G106" s="915" t="s">
        <v>2482</v>
      </c>
      <c r="H106" s="955" t="s">
        <v>1615</v>
      </c>
      <c r="I106" s="915" t="s">
        <v>2056</v>
      </c>
      <c r="J106" s="915" t="s">
        <v>2025</v>
      </c>
      <c r="K106" s="915" t="s">
        <v>1618</v>
      </c>
      <c r="L106" s="919"/>
      <c r="M106" s="919"/>
      <c r="N106" s="919" t="s">
        <v>2472</v>
      </c>
      <c r="O106" s="940"/>
      <c r="P106" s="919"/>
      <c r="Q106" s="919"/>
      <c r="U106" s="915" t="s">
        <v>2471</v>
      </c>
      <c r="V106" s="915" t="s">
        <v>2483</v>
      </c>
      <c r="X106" s="952">
        <v>42832</v>
      </c>
      <c r="Y106" s="952">
        <v>42832</v>
      </c>
      <c r="AA106" s="952"/>
      <c r="AB106" s="915" t="s">
        <v>1626</v>
      </c>
      <c r="AC106" s="915">
        <v>0</v>
      </c>
      <c r="AD106" s="915">
        <v>0</v>
      </c>
      <c r="AE106" s="915">
        <v>0</v>
      </c>
      <c r="AF106" s="915">
        <v>0</v>
      </c>
      <c r="AG106" s="915">
        <v>5</v>
      </c>
      <c r="AH106" s="915">
        <v>1</v>
      </c>
      <c r="AI106" s="915">
        <v>60225</v>
      </c>
      <c r="AJ106" s="915">
        <v>2010</v>
      </c>
      <c r="AK106" s="915">
        <v>0</v>
      </c>
      <c r="AL106" s="915">
        <v>0</v>
      </c>
      <c r="AO106" s="955"/>
      <c r="AP106" s="955"/>
      <c r="AQ106" s="915" t="str">
        <f t="shared" si="2"/>
        <v/>
      </c>
      <c r="AS106" s="915" t="str">
        <f t="shared" si="3"/>
        <v>wci_corp</v>
      </c>
    </row>
    <row r="107" spans="2:45">
      <c r="B107" s="915" t="s">
        <v>2365</v>
      </c>
      <c r="C107" s="952">
        <v>42855</v>
      </c>
      <c r="D107" s="953">
        <v>-718.75</v>
      </c>
      <c r="E107" s="953">
        <v>0</v>
      </c>
      <c r="F107" s="954" t="s">
        <v>1613</v>
      </c>
      <c r="G107" s="915" t="s">
        <v>2484</v>
      </c>
      <c r="H107" s="955" t="s">
        <v>1615</v>
      </c>
      <c r="I107" s="915" t="s">
        <v>1999</v>
      </c>
      <c r="J107" s="915" t="s">
        <v>2025</v>
      </c>
      <c r="K107" s="915" t="s">
        <v>1618</v>
      </c>
      <c r="L107" s="919"/>
      <c r="M107" s="919"/>
      <c r="N107" s="919" t="s">
        <v>2433</v>
      </c>
      <c r="O107" s="940"/>
      <c r="P107" s="919"/>
      <c r="Q107" s="919"/>
      <c r="U107" s="915" t="s">
        <v>2474</v>
      </c>
      <c r="V107" s="915" t="s">
        <v>2485</v>
      </c>
      <c r="X107" s="952">
        <v>42832</v>
      </c>
      <c r="Y107" s="952">
        <v>42832</v>
      </c>
      <c r="AA107" s="952"/>
      <c r="AB107" s="915" t="s">
        <v>1626</v>
      </c>
      <c r="AC107" s="915">
        <v>0</v>
      </c>
      <c r="AD107" s="915">
        <v>0</v>
      </c>
      <c r="AE107" s="915">
        <v>0</v>
      </c>
      <c r="AF107" s="915">
        <v>0</v>
      </c>
      <c r="AG107" s="915">
        <v>5</v>
      </c>
      <c r="AH107" s="915">
        <v>1</v>
      </c>
      <c r="AI107" s="915">
        <v>60225</v>
      </c>
      <c r="AJ107" s="915">
        <v>2010</v>
      </c>
      <c r="AK107" s="915">
        <v>0</v>
      </c>
      <c r="AL107" s="915">
        <v>0</v>
      </c>
      <c r="AO107" s="955"/>
      <c r="AP107" s="955"/>
      <c r="AQ107" s="915" t="str">
        <f t="shared" si="2"/>
        <v/>
      </c>
      <c r="AS107" s="915" t="str">
        <f t="shared" si="3"/>
        <v>wci_corp</v>
      </c>
    </row>
    <row r="108" spans="2:45">
      <c r="B108" s="915" t="s">
        <v>2365</v>
      </c>
      <c r="C108" s="952">
        <v>42855</v>
      </c>
      <c r="D108" s="953">
        <v>-244.71</v>
      </c>
      <c r="E108" s="953">
        <v>0</v>
      </c>
      <c r="F108" s="954" t="s">
        <v>1613</v>
      </c>
      <c r="G108" s="915" t="s">
        <v>2484</v>
      </c>
      <c r="H108" s="955" t="s">
        <v>1615</v>
      </c>
      <c r="I108" s="915" t="s">
        <v>1999</v>
      </c>
      <c r="J108" s="915" t="s">
        <v>2025</v>
      </c>
      <c r="K108" s="915" t="s">
        <v>1618</v>
      </c>
      <c r="L108" s="919"/>
      <c r="M108" s="919"/>
      <c r="N108" s="919" t="s">
        <v>2475</v>
      </c>
      <c r="O108" s="940"/>
      <c r="P108" s="919"/>
      <c r="Q108" s="919"/>
      <c r="U108" s="915" t="s">
        <v>2474</v>
      </c>
      <c r="V108" s="915" t="s">
        <v>2485</v>
      </c>
      <c r="X108" s="952">
        <v>42832</v>
      </c>
      <c r="Y108" s="952">
        <v>42832</v>
      </c>
      <c r="AA108" s="952"/>
      <c r="AB108" s="915" t="s">
        <v>1626</v>
      </c>
      <c r="AC108" s="915">
        <v>0</v>
      </c>
      <c r="AD108" s="915">
        <v>0</v>
      </c>
      <c r="AE108" s="915">
        <v>0</v>
      </c>
      <c r="AF108" s="915">
        <v>0</v>
      </c>
      <c r="AG108" s="915">
        <v>5</v>
      </c>
      <c r="AH108" s="915">
        <v>1</v>
      </c>
      <c r="AI108" s="915">
        <v>60225</v>
      </c>
      <c r="AJ108" s="915">
        <v>2010</v>
      </c>
      <c r="AK108" s="915">
        <v>0</v>
      </c>
      <c r="AL108" s="915">
        <v>0</v>
      </c>
      <c r="AO108" s="955"/>
      <c r="AP108" s="955"/>
      <c r="AQ108" s="915" t="str">
        <f t="shared" si="2"/>
        <v/>
      </c>
      <c r="AS108" s="915" t="str">
        <f t="shared" si="3"/>
        <v>wci_corp</v>
      </c>
    </row>
    <row r="109" spans="2:45">
      <c r="B109" s="915" t="s">
        <v>2365</v>
      </c>
      <c r="C109" s="952">
        <v>42855</v>
      </c>
      <c r="D109" s="953">
        <v>-2368.54</v>
      </c>
      <c r="E109" s="953">
        <v>0</v>
      </c>
      <c r="F109" s="954" t="s">
        <v>1613</v>
      </c>
      <c r="G109" s="915" t="s">
        <v>2484</v>
      </c>
      <c r="H109" s="955" t="s">
        <v>1615</v>
      </c>
      <c r="I109" s="915" t="s">
        <v>1999</v>
      </c>
      <c r="J109" s="915" t="s">
        <v>2025</v>
      </c>
      <c r="K109" s="915" t="s">
        <v>1618</v>
      </c>
      <c r="L109" s="919"/>
      <c r="M109" s="919"/>
      <c r="N109" s="919" t="s">
        <v>2452</v>
      </c>
      <c r="O109" s="940"/>
      <c r="P109" s="919"/>
      <c r="Q109" s="919"/>
      <c r="U109" s="915" t="s">
        <v>2474</v>
      </c>
      <c r="V109" s="915" t="s">
        <v>2485</v>
      </c>
      <c r="X109" s="952">
        <v>42832</v>
      </c>
      <c r="Y109" s="952">
        <v>42832</v>
      </c>
      <c r="AA109" s="952"/>
      <c r="AB109" s="915" t="s">
        <v>1626</v>
      </c>
      <c r="AC109" s="915">
        <v>0</v>
      </c>
      <c r="AD109" s="915">
        <v>0</v>
      </c>
      <c r="AE109" s="915">
        <v>0</v>
      </c>
      <c r="AF109" s="915">
        <v>0</v>
      </c>
      <c r="AG109" s="915">
        <v>5</v>
      </c>
      <c r="AH109" s="915">
        <v>1</v>
      </c>
      <c r="AI109" s="915">
        <v>60225</v>
      </c>
      <c r="AJ109" s="915">
        <v>2010</v>
      </c>
      <c r="AK109" s="915">
        <v>0</v>
      </c>
      <c r="AL109" s="915">
        <v>0</v>
      </c>
      <c r="AO109" s="955"/>
      <c r="AP109" s="955"/>
      <c r="AQ109" s="915" t="str">
        <f t="shared" si="2"/>
        <v/>
      </c>
      <c r="AS109" s="915" t="str">
        <f t="shared" si="3"/>
        <v>wci_corp</v>
      </c>
    </row>
    <row r="110" spans="2:45">
      <c r="B110" s="915" t="s">
        <v>2365</v>
      </c>
      <c r="C110" s="952">
        <v>42855</v>
      </c>
      <c r="D110" s="953">
        <v>371.16</v>
      </c>
      <c r="E110" s="953">
        <v>0</v>
      </c>
      <c r="F110" s="954" t="s">
        <v>1613</v>
      </c>
      <c r="G110" s="915" t="s">
        <v>2484</v>
      </c>
      <c r="H110" s="955" t="s">
        <v>1615</v>
      </c>
      <c r="I110" s="915" t="s">
        <v>1999</v>
      </c>
      <c r="J110" s="915" t="s">
        <v>2025</v>
      </c>
      <c r="K110" s="915" t="s">
        <v>1618</v>
      </c>
      <c r="L110" s="919"/>
      <c r="M110" s="919"/>
      <c r="N110" s="919" t="s">
        <v>2476</v>
      </c>
      <c r="O110" s="940"/>
      <c r="P110" s="919"/>
      <c r="Q110" s="919"/>
      <c r="U110" s="915" t="s">
        <v>2474</v>
      </c>
      <c r="V110" s="915" t="s">
        <v>2485</v>
      </c>
      <c r="X110" s="952">
        <v>42832</v>
      </c>
      <c r="Y110" s="952">
        <v>42832</v>
      </c>
      <c r="AA110" s="952"/>
      <c r="AB110" s="915" t="s">
        <v>1626</v>
      </c>
      <c r="AC110" s="915">
        <v>0</v>
      </c>
      <c r="AD110" s="915">
        <v>0</v>
      </c>
      <c r="AE110" s="915">
        <v>0</v>
      </c>
      <c r="AF110" s="915">
        <v>0</v>
      </c>
      <c r="AG110" s="915">
        <v>5</v>
      </c>
      <c r="AH110" s="915">
        <v>1</v>
      </c>
      <c r="AI110" s="915">
        <v>60225</v>
      </c>
      <c r="AJ110" s="915">
        <v>2010</v>
      </c>
      <c r="AK110" s="915">
        <v>0</v>
      </c>
      <c r="AL110" s="915">
        <v>0</v>
      </c>
      <c r="AO110" s="955"/>
      <c r="AP110" s="955"/>
      <c r="AQ110" s="915" t="str">
        <f t="shared" si="2"/>
        <v/>
      </c>
      <c r="AS110" s="915" t="str">
        <f t="shared" si="3"/>
        <v>wci_corp</v>
      </c>
    </row>
    <row r="111" spans="2:45">
      <c r="B111" s="915" t="s">
        <v>2365</v>
      </c>
      <c r="C111" s="952">
        <v>42855</v>
      </c>
      <c r="D111" s="953">
        <v>718.75</v>
      </c>
      <c r="E111" s="953">
        <v>0</v>
      </c>
      <c r="F111" s="954" t="s">
        <v>1613</v>
      </c>
      <c r="G111" s="915" t="s">
        <v>2486</v>
      </c>
      <c r="H111" s="955" t="s">
        <v>1615</v>
      </c>
      <c r="I111" s="915" t="s">
        <v>2487</v>
      </c>
      <c r="J111" s="915" t="s">
        <v>2018</v>
      </c>
      <c r="K111" s="915" t="s">
        <v>1618</v>
      </c>
      <c r="L111" s="919"/>
      <c r="M111" s="919"/>
      <c r="N111" s="919" t="s">
        <v>2314</v>
      </c>
      <c r="O111" s="940"/>
      <c r="P111" s="919"/>
      <c r="Q111" s="919"/>
      <c r="U111" s="915" t="s">
        <v>2488</v>
      </c>
      <c r="V111" s="915" t="s">
        <v>2488</v>
      </c>
      <c r="X111" s="952">
        <v>42857</v>
      </c>
      <c r="Y111" s="952">
        <v>42858</v>
      </c>
      <c r="AA111" s="952"/>
      <c r="AB111" s="915" t="s">
        <v>1626</v>
      </c>
      <c r="AC111" s="915">
        <v>0</v>
      </c>
      <c r="AD111" s="915">
        <v>0</v>
      </c>
      <c r="AE111" s="915">
        <v>0</v>
      </c>
      <c r="AF111" s="915">
        <v>0</v>
      </c>
      <c r="AG111" s="915">
        <v>0</v>
      </c>
      <c r="AH111" s="915">
        <v>1</v>
      </c>
      <c r="AI111" s="915">
        <v>60225</v>
      </c>
      <c r="AJ111" s="915">
        <v>2010</v>
      </c>
      <c r="AK111" s="915">
        <v>0</v>
      </c>
      <c r="AL111" s="915">
        <v>0</v>
      </c>
      <c r="AO111" s="955"/>
      <c r="AP111" s="955"/>
      <c r="AQ111" s="915" t="str">
        <f t="shared" si="2"/>
        <v/>
      </c>
      <c r="AS111" s="915" t="str">
        <f t="shared" si="3"/>
        <v>wci_corp</v>
      </c>
    </row>
    <row r="112" spans="2:45">
      <c r="B112" s="915" t="s">
        <v>2365</v>
      </c>
      <c r="C112" s="952">
        <v>42855</v>
      </c>
      <c r="D112" s="953">
        <v>244.71</v>
      </c>
      <c r="E112" s="953">
        <v>0</v>
      </c>
      <c r="F112" s="954" t="s">
        <v>1613</v>
      </c>
      <c r="G112" s="915" t="s">
        <v>2486</v>
      </c>
      <c r="H112" s="955" t="s">
        <v>1615</v>
      </c>
      <c r="I112" s="915" t="s">
        <v>2487</v>
      </c>
      <c r="J112" s="915" t="s">
        <v>2018</v>
      </c>
      <c r="K112" s="915" t="s">
        <v>1618</v>
      </c>
      <c r="L112" s="919"/>
      <c r="M112" s="919"/>
      <c r="N112" s="919" t="s">
        <v>2489</v>
      </c>
      <c r="O112" s="940"/>
      <c r="P112" s="919"/>
      <c r="Q112" s="919"/>
      <c r="U112" s="915" t="s">
        <v>2488</v>
      </c>
      <c r="V112" s="915" t="s">
        <v>2488</v>
      </c>
      <c r="X112" s="952">
        <v>42857</v>
      </c>
      <c r="Y112" s="952">
        <v>42858</v>
      </c>
      <c r="AA112" s="952"/>
      <c r="AB112" s="915" t="s">
        <v>1626</v>
      </c>
      <c r="AC112" s="915">
        <v>0</v>
      </c>
      <c r="AD112" s="915">
        <v>0</v>
      </c>
      <c r="AE112" s="915">
        <v>0</v>
      </c>
      <c r="AF112" s="915">
        <v>0</v>
      </c>
      <c r="AG112" s="915">
        <v>0</v>
      </c>
      <c r="AH112" s="915">
        <v>1</v>
      </c>
      <c r="AI112" s="915">
        <v>60225</v>
      </c>
      <c r="AJ112" s="915">
        <v>2010</v>
      </c>
      <c r="AK112" s="915">
        <v>0</v>
      </c>
      <c r="AL112" s="915">
        <v>0</v>
      </c>
      <c r="AO112" s="955"/>
      <c r="AP112" s="955"/>
      <c r="AQ112" s="915" t="str">
        <f t="shared" si="2"/>
        <v/>
      </c>
      <c r="AS112" s="915" t="str">
        <f t="shared" si="3"/>
        <v>wci_corp</v>
      </c>
    </row>
    <row r="113" spans="2:45">
      <c r="B113" s="915" t="s">
        <v>2365</v>
      </c>
      <c r="C113" s="952">
        <v>42855</v>
      </c>
      <c r="D113" s="953">
        <v>362.57</v>
      </c>
      <c r="E113" s="953">
        <v>0</v>
      </c>
      <c r="F113" s="954" t="s">
        <v>1613</v>
      </c>
      <c r="G113" s="915" t="s">
        <v>2486</v>
      </c>
      <c r="H113" s="955" t="s">
        <v>1615</v>
      </c>
      <c r="I113" s="915" t="s">
        <v>2487</v>
      </c>
      <c r="J113" s="915" t="s">
        <v>2018</v>
      </c>
      <c r="K113" s="915" t="s">
        <v>1618</v>
      </c>
      <c r="L113" s="919"/>
      <c r="M113" s="919"/>
      <c r="N113" s="919" t="s">
        <v>2388</v>
      </c>
      <c r="O113" s="940"/>
      <c r="P113" s="919"/>
      <c r="Q113" s="919"/>
      <c r="U113" s="915" t="s">
        <v>2488</v>
      </c>
      <c r="V113" s="915" t="s">
        <v>2488</v>
      </c>
      <c r="X113" s="952">
        <v>42857</v>
      </c>
      <c r="Y113" s="952">
        <v>42858</v>
      </c>
      <c r="AA113" s="952"/>
      <c r="AB113" s="915" t="s">
        <v>1626</v>
      </c>
      <c r="AC113" s="915">
        <v>0</v>
      </c>
      <c r="AD113" s="915">
        <v>0</v>
      </c>
      <c r="AE113" s="915">
        <v>0</v>
      </c>
      <c r="AF113" s="915">
        <v>0</v>
      </c>
      <c r="AG113" s="915">
        <v>0</v>
      </c>
      <c r="AH113" s="915">
        <v>1</v>
      </c>
      <c r="AI113" s="915">
        <v>60225</v>
      </c>
      <c r="AJ113" s="915">
        <v>2010</v>
      </c>
      <c r="AK113" s="915">
        <v>0</v>
      </c>
      <c r="AL113" s="915">
        <v>0</v>
      </c>
      <c r="AO113" s="955"/>
      <c r="AP113" s="955"/>
      <c r="AQ113" s="915" t="str">
        <f t="shared" si="2"/>
        <v/>
      </c>
      <c r="AS113" s="915" t="str">
        <f t="shared" si="3"/>
        <v>wci_corp</v>
      </c>
    </row>
    <row r="114" spans="2:45">
      <c r="B114" s="915" t="s">
        <v>2365</v>
      </c>
      <c r="C114" s="952">
        <v>42855</v>
      </c>
      <c r="D114" s="953">
        <v>1725.73</v>
      </c>
      <c r="E114" s="953">
        <v>0</v>
      </c>
      <c r="F114" s="954" t="s">
        <v>1613</v>
      </c>
      <c r="G114" s="915" t="s">
        <v>2486</v>
      </c>
      <c r="H114" s="955" t="s">
        <v>1615</v>
      </c>
      <c r="I114" s="915" t="s">
        <v>2487</v>
      </c>
      <c r="J114" s="915" t="s">
        <v>2018</v>
      </c>
      <c r="K114" s="915" t="s">
        <v>1618</v>
      </c>
      <c r="L114" s="919"/>
      <c r="M114" s="919"/>
      <c r="N114" s="919" t="s">
        <v>2404</v>
      </c>
      <c r="O114" s="940"/>
      <c r="P114" s="919"/>
      <c r="Q114" s="919"/>
      <c r="U114" s="915" t="s">
        <v>2488</v>
      </c>
      <c r="V114" s="915" t="s">
        <v>2488</v>
      </c>
      <c r="X114" s="952">
        <v>42857</v>
      </c>
      <c r="Y114" s="952">
        <v>42858</v>
      </c>
      <c r="AA114" s="952"/>
      <c r="AB114" s="915" t="s">
        <v>1626</v>
      </c>
      <c r="AC114" s="915">
        <v>0</v>
      </c>
      <c r="AD114" s="915">
        <v>0</v>
      </c>
      <c r="AE114" s="915">
        <v>0</v>
      </c>
      <c r="AF114" s="915">
        <v>0</v>
      </c>
      <c r="AG114" s="915">
        <v>0</v>
      </c>
      <c r="AH114" s="915">
        <v>1</v>
      </c>
      <c r="AI114" s="915">
        <v>60225</v>
      </c>
      <c r="AJ114" s="915">
        <v>2010</v>
      </c>
      <c r="AK114" s="915">
        <v>0</v>
      </c>
      <c r="AL114" s="915">
        <v>0</v>
      </c>
      <c r="AO114" s="955"/>
      <c r="AP114" s="955"/>
      <c r="AQ114" s="915" t="str">
        <f t="shared" si="2"/>
        <v/>
      </c>
      <c r="AS114" s="915" t="str">
        <f t="shared" si="3"/>
        <v>wci_corp</v>
      </c>
    </row>
    <row r="115" spans="2:45">
      <c r="B115" s="915" t="s">
        <v>2365</v>
      </c>
      <c r="C115" s="952">
        <v>42855</v>
      </c>
      <c r="D115" s="953">
        <v>371.16</v>
      </c>
      <c r="E115" s="953">
        <v>0</v>
      </c>
      <c r="F115" s="954" t="s">
        <v>1613</v>
      </c>
      <c r="G115" s="915" t="s">
        <v>2486</v>
      </c>
      <c r="H115" s="955" t="s">
        <v>1615</v>
      </c>
      <c r="I115" s="915" t="s">
        <v>2487</v>
      </c>
      <c r="J115" s="915" t="s">
        <v>2018</v>
      </c>
      <c r="K115" s="915" t="s">
        <v>1618</v>
      </c>
      <c r="L115" s="919"/>
      <c r="M115" s="919"/>
      <c r="N115" s="919" t="s">
        <v>2472</v>
      </c>
      <c r="O115" s="940"/>
      <c r="P115" s="919"/>
      <c r="Q115" s="919"/>
      <c r="U115" s="915" t="s">
        <v>2488</v>
      </c>
      <c r="V115" s="915" t="s">
        <v>2488</v>
      </c>
      <c r="X115" s="952">
        <v>42857</v>
      </c>
      <c r="Y115" s="952">
        <v>42858</v>
      </c>
      <c r="AA115" s="952"/>
      <c r="AB115" s="915" t="s">
        <v>1626</v>
      </c>
      <c r="AC115" s="915">
        <v>0</v>
      </c>
      <c r="AD115" s="915">
        <v>0</v>
      </c>
      <c r="AE115" s="915">
        <v>0</v>
      </c>
      <c r="AF115" s="915">
        <v>0</v>
      </c>
      <c r="AG115" s="915">
        <v>0</v>
      </c>
      <c r="AH115" s="915">
        <v>1</v>
      </c>
      <c r="AI115" s="915">
        <v>60225</v>
      </c>
      <c r="AJ115" s="915">
        <v>2010</v>
      </c>
      <c r="AK115" s="915">
        <v>0</v>
      </c>
      <c r="AL115" s="915">
        <v>0</v>
      </c>
      <c r="AO115" s="955"/>
      <c r="AP115" s="955"/>
      <c r="AQ115" s="915" t="str">
        <f t="shared" si="2"/>
        <v/>
      </c>
      <c r="AS115" s="915" t="str">
        <f t="shared" si="3"/>
        <v>wci_corp</v>
      </c>
    </row>
    <row r="116" spans="2:45">
      <c r="B116" s="915" t="s">
        <v>2365</v>
      </c>
      <c r="C116" s="952">
        <v>42855</v>
      </c>
      <c r="D116" s="953">
        <v>100</v>
      </c>
      <c r="E116" s="953">
        <v>0</v>
      </c>
      <c r="F116" s="954" t="s">
        <v>1613</v>
      </c>
      <c r="G116" s="915" t="s">
        <v>2486</v>
      </c>
      <c r="H116" s="955" t="s">
        <v>1615</v>
      </c>
      <c r="I116" s="915" t="s">
        <v>2487</v>
      </c>
      <c r="J116" s="915" t="s">
        <v>2018</v>
      </c>
      <c r="K116" s="915" t="s">
        <v>1618</v>
      </c>
      <c r="L116" s="919"/>
      <c r="M116" s="919"/>
      <c r="N116" s="919" t="s">
        <v>2490</v>
      </c>
      <c r="O116" s="940"/>
      <c r="P116" s="919"/>
      <c r="Q116" s="919"/>
      <c r="U116" s="915" t="s">
        <v>2488</v>
      </c>
      <c r="V116" s="915" t="s">
        <v>2488</v>
      </c>
      <c r="X116" s="952">
        <v>42857</v>
      </c>
      <c r="Y116" s="952">
        <v>42858</v>
      </c>
      <c r="AA116" s="952"/>
      <c r="AB116" s="915" t="s">
        <v>1626</v>
      </c>
      <c r="AC116" s="915">
        <v>0</v>
      </c>
      <c r="AD116" s="915">
        <v>0</v>
      </c>
      <c r="AE116" s="915">
        <v>0</v>
      </c>
      <c r="AF116" s="915">
        <v>0</v>
      </c>
      <c r="AG116" s="915">
        <v>0</v>
      </c>
      <c r="AH116" s="915">
        <v>1</v>
      </c>
      <c r="AI116" s="915">
        <v>60225</v>
      </c>
      <c r="AJ116" s="915">
        <v>2010</v>
      </c>
      <c r="AK116" s="915">
        <v>0</v>
      </c>
      <c r="AL116" s="915">
        <v>0</v>
      </c>
      <c r="AO116" s="955"/>
      <c r="AP116" s="955"/>
      <c r="AQ116" s="915" t="str">
        <f t="shared" si="2"/>
        <v/>
      </c>
      <c r="AS116" s="915" t="str">
        <f t="shared" si="3"/>
        <v>wci_corp</v>
      </c>
    </row>
    <row r="117" spans="2:45">
      <c r="B117" s="915" t="s">
        <v>2365</v>
      </c>
      <c r="C117" s="952">
        <v>42855</v>
      </c>
      <c r="D117" s="953">
        <v>1018.75</v>
      </c>
      <c r="E117" s="953">
        <v>0</v>
      </c>
      <c r="F117" s="954" t="s">
        <v>1613</v>
      </c>
      <c r="G117" s="915" t="s">
        <v>2491</v>
      </c>
      <c r="H117" s="955" t="s">
        <v>1615</v>
      </c>
      <c r="I117" s="915" t="s">
        <v>1999</v>
      </c>
      <c r="J117" s="915" t="s">
        <v>2018</v>
      </c>
      <c r="K117" s="915" t="s">
        <v>1618</v>
      </c>
      <c r="L117" s="919"/>
      <c r="M117" s="919"/>
      <c r="N117" s="919" t="s">
        <v>2433</v>
      </c>
      <c r="O117" s="940"/>
      <c r="P117" s="919"/>
      <c r="Q117" s="919"/>
      <c r="U117" s="915" t="s">
        <v>2492</v>
      </c>
      <c r="V117" s="915" t="s">
        <v>2492</v>
      </c>
      <c r="X117" s="952">
        <v>42859</v>
      </c>
      <c r="Y117" s="952">
        <v>42860</v>
      </c>
      <c r="AA117" s="952"/>
      <c r="AB117" s="915" t="s">
        <v>1626</v>
      </c>
      <c r="AC117" s="915">
        <v>0</v>
      </c>
      <c r="AD117" s="915">
        <v>0</v>
      </c>
      <c r="AE117" s="915">
        <v>0</v>
      </c>
      <c r="AF117" s="915">
        <v>0</v>
      </c>
      <c r="AG117" s="915">
        <v>0</v>
      </c>
      <c r="AH117" s="915">
        <v>1</v>
      </c>
      <c r="AI117" s="915">
        <v>60225</v>
      </c>
      <c r="AJ117" s="915">
        <v>2010</v>
      </c>
      <c r="AK117" s="915">
        <v>0</v>
      </c>
      <c r="AL117" s="915">
        <v>0</v>
      </c>
      <c r="AO117" s="955"/>
      <c r="AP117" s="955"/>
      <c r="AQ117" s="915" t="str">
        <f t="shared" si="2"/>
        <v/>
      </c>
      <c r="AS117" s="915" t="str">
        <f t="shared" si="3"/>
        <v>wci_corp</v>
      </c>
    </row>
    <row r="118" spans="2:45">
      <c r="B118" s="915" t="s">
        <v>2365</v>
      </c>
      <c r="C118" s="952">
        <v>42855</v>
      </c>
      <c r="D118" s="953">
        <v>5200</v>
      </c>
      <c r="E118" s="953">
        <v>0</v>
      </c>
      <c r="F118" s="954" t="s">
        <v>1613</v>
      </c>
      <c r="G118" s="915" t="s">
        <v>2491</v>
      </c>
      <c r="H118" s="955" t="s">
        <v>1615</v>
      </c>
      <c r="I118" s="915" t="s">
        <v>1999</v>
      </c>
      <c r="J118" s="915" t="s">
        <v>2018</v>
      </c>
      <c r="K118" s="915" t="s">
        <v>1618</v>
      </c>
      <c r="L118" s="919"/>
      <c r="M118" s="919"/>
      <c r="N118" s="919" t="s">
        <v>2493</v>
      </c>
      <c r="O118" s="940"/>
      <c r="P118" s="919"/>
      <c r="Q118" s="919"/>
      <c r="U118" s="915" t="s">
        <v>2492</v>
      </c>
      <c r="V118" s="915" t="s">
        <v>2492</v>
      </c>
      <c r="X118" s="952">
        <v>42859</v>
      </c>
      <c r="Y118" s="952">
        <v>42860</v>
      </c>
      <c r="AA118" s="952"/>
      <c r="AB118" s="915" t="s">
        <v>1626</v>
      </c>
      <c r="AC118" s="915">
        <v>0</v>
      </c>
      <c r="AD118" s="915">
        <v>0</v>
      </c>
      <c r="AE118" s="915">
        <v>0</v>
      </c>
      <c r="AF118" s="915">
        <v>0</v>
      </c>
      <c r="AG118" s="915">
        <v>0</v>
      </c>
      <c r="AH118" s="915">
        <v>1</v>
      </c>
      <c r="AI118" s="915">
        <v>60225</v>
      </c>
      <c r="AJ118" s="915">
        <v>2010</v>
      </c>
      <c r="AK118" s="915">
        <v>0</v>
      </c>
      <c r="AL118" s="915">
        <v>0</v>
      </c>
      <c r="AO118" s="955"/>
      <c r="AP118" s="955"/>
      <c r="AQ118" s="915" t="str">
        <f t="shared" si="2"/>
        <v/>
      </c>
      <c r="AS118" s="915" t="str">
        <f t="shared" si="3"/>
        <v>wci_corp</v>
      </c>
    </row>
    <row r="119" spans="2:45">
      <c r="B119" s="915" t="s">
        <v>2365</v>
      </c>
      <c r="C119" s="952">
        <v>42855</v>
      </c>
      <c r="D119" s="953">
        <v>2368.54</v>
      </c>
      <c r="E119" s="953">
        <v>0</v>
      </c>
      <c r="F119" s="954" t="s">
        <v>1613</v>
      </c>
      <c r="G119" s="915" t="s">
        <v>2491</v>
      </c>
      <c r="H119" s="955" t="s">
        <v>1615</v>
      </c>
      <c r="I119" s="915" t="s">
        <v>1999</v>
      </c>
      <c r="J119" s="915" t="s">
        <v>2018</v>
      </c>
      <c r="K119" s="915" t="s">
        <v>1618</v>
      </c>
      <c r="L119" s="919"/>
      <c r="M119" s="919"/>
      <c r="N119" s="919" t="s">
        <v>2452</v>
      </c>
      <c r="O119" s="940"/>
      <c r="P119" s="919"/>
      <c r="Q119" s="919"/>
      <c r="U119" s="915" t="s">
        <v>2492</v>
      </c>
      <c r="V119" s="915" t="s">
        <v>2492</v>
      </c>
      <c r="X119" s="952">
        <v>42859</v>
      </c>
      <c r="Y119" s="952">
        <v>42860</v>
      </c>
      <c r="AA119" s="952"/>
      <c r="AB119" s="915" t="s">
        <v>1626</v>
      </c>
      <c r="AC119" s="915">
        <v>0</v>
      </c>
      <c r="AD119" s="915">
        <v>0</v>
      </c>
      <c r="AE119" s="915">
        <v>0</v>
      </c>
      <c r="AF119" s="915">
        <v>0</v>
      </c>
      <c r="AG119" s="915">
        <v>0</v>
      </c>
      <c r="AH119" s="915">
        <v>1</v>
      </c>
      <c r="AI119" s="915">
        <v>60225</v>
      </c>
      <c r="AJ119" s="915">
        <v>2010</v>
      </c>
      <c r="AK119" s="915">
        <v>0</v>
      </c>
      <c r="AL119" s="915">
        <v>0</v>
      </c>
      <c r="AO119" s="955"/>
      <c r="AP119" s="955"/>
      <c r="AQ119" s="915" t="str">
        <f t="shared" si="2"/>
        <v/>
      </c>
      <c r="AS119" s="915" t="str">
        <f t="shared" si="3"/>
        <v>wci_corp</v>
      </c>
    </row>
    <row r="120" spans="2:45">
      <c r="B120" s="915" t="s">
        <v>2365</v>
      </c>
      <c r="C120" s="952">
        <v>42860</v>
      </c>
      <c r="D120" s="953">
        <v>445</v>
      </c>
      <c r="E120" s="953">
        <v>0</v>
      </c>
      <c r="F120" s="954" t="s">
        <v>1613</v>
      </c>
      <c r="G120" s="915" t="s">
        <v>2494</v>
      </c>
      <c r="H120" s="955" t="s">
        <v>1615</v>
      </c>
      <c r="I120" s="915" t="s">
        <v>1616</v>
      </c>
      <c r="J120" s="915" t="s">
        <v>1617</v>
      </c>
      <c r="K120" s="915" t="s">
        <v>1618</v>
      </c>
      <c r="L120" s="919" t="s">
        <v>2420</v>
      </c>
      <c r="M120" s="919" t="s">
        <v>2421</v>
      </c>
      <c r="N120" s="919" t="s">
        <v>2421</v>
      </c>
      <c r="O120" s="940">
        <v>42856</v>
      </c>
      <c r="P120" s="919" t="s">
        <v>2495</v>
      </c>
      <c r="Q120" s="919">
        <v>441832</v>
      </c>
      <c r="R120" s="915" t="s">
        <v>2496</v>
      </c>
      <c r="U120" s="915" t="s">
        <v>2497</v>
      </c>
      <c r="V120" s="915" t="s">
        <v>2498</v>
      </c>
      <c r="W120" s="915">
        <v>2010</v>
      </c>
      <c r="X120" s="952">
        <v>42860</v>
      </c>
      <c r="Y120" s="952">
        <v>42860</v>
      </c>
      <c r="Z120" s="915">
        <v>445</v>
      </c>
      <c r="AA120" s="952">
        <v>42857</v>
      </c>
      <c r="AB120" s="915" t="s">
        <v>1626</v>
      </c>
      <c r="AC120" s="915">
        <v>0</v>
      </c>
      <c r="AD120" s="915">
        <v>0</v>
      </c>
      <c r="AE120" s="915">
        <v>0</v>
      </c>
      <c r="AF120" s="915">
        <v>0</v>
      </c>
      <c r="AG120" s="915">
        <v>0</v>
      </c>
      <c r="AH120" s="915">
        <v>1</v>
      </c>
      <c r="AI120" s="915">
        <v>60225</v>
      </c>
      <c r="AJ120" s="915">
        <v>2010</v>
      </c>
      <c r="AK120" s="915">
        <v>0</v>
      </c>
      <c r="AL120" s="915">
        <v>0</v>
      </c>
      <c r="AO120" s="955"/>
      <c r="AP120" s="955"/>
      <c r="AQ120" s="915" t="str">
        <f t="shared" si="2"/>
        <v>VO04280307</v>
      </c>
      <c r="AS120" s="915" t="str">
        <f t="shared" si="3"/>
        <v>wci_corp</v>
      </c>
    </row>
    <row r="121" spans="2:45">
      <c r="B121" s="915" t="s">
        <v>2365</v>
      </c>
      <c r="C121" s="952">
        <v>42886</v>
      </c>
      <c r="D121" s="953">
        <v>-1018.75</v>
      </c>
      <c r="E121" s="953">
        <v>0</v>
      </c>
      <c r="F121" s="954" t="s">
        <v>1613</v>
      </c>
      <c r="G121" s="915" t="s">
        <v>2499</v>
      </c>
      <c r="H121" s="955" t="s">
        <v>1615</v>
      </c>
      <c r="I121" s="915" t="s">
        <v>1999</v>
      </c>
      <c r="J121" s="915" t="s">
        <v>2025</v>
      </c>
      <c r="K121" s="915" t="s">
        <v>1618</v>
      </c>
      <c r="L121" s="919"/>
      <c r="M121" s="919"/>
      <c r="N121" s="919" t="s">
        <v>2433</v>
      </c>
      <c r="O121" s="940"/>
      <c r="P121" s="919"/>
      <c r="Q121" s="919"/>
      <c r="U121" s="915" t="s">
        <v>2492</v>
      </c>
      <c r="V121" s="915" t="s">
        <v>2500</v>
      </c>
      <c r="X121" s="952">
        <v>42860</v>
      </c>
      <c r="Y121" s="952">
        <v>42860</v>
      </c>
      <c r="AA121" s="952"/>
      <c r="AB121" s="915" t="s">
        <v>1626</v>
      </c>
      <c r="AC121" s="915">
        <v>0</v>
      </c>
      <c r="AD121" s="915">
        <v>0</v>
      </c>
      <c r="AE121" s="915">
        <v>0</v>
      </c>
      <c r="AF121" s="915">
        <v>0</v>
      </c>
      <c r="AG121" s="915">
        <v>5</v>
      </c>
      <c r="AH121" s="915">
        <v>1</v>
      </c>
      <c r="AI121" s="915">
        <v>60225</v>
      </c>
      <c r="AJ121" s="915">
        <v>2010</v>
      </c>
      <c r="AK121" s="915">
        <v>0</v>
      </c>
      <c r="AL121" s="915">
        <v>0</v>
      </c>
      <c r="AO121" s="955"/>
      <c r="AP121" s="955"/>
      <c r="AQ121" s="915" t="str">
        <f t="shared" si="2"/>
        <v/>
      </c>
      <c r="AS121" s="915" t="str">
        <f t="shared" si="3"/>
        <v>wci_corp</v>
      </c>
    </row>
    <row r="122" spans="2:45">
      <c r="B122" s="915" t="s">
        <v>2365</v>
      </c>
      <c r="C122" s="952">
        <v>42886</v>
      </c>
      <c r="D122" s="953">
        <v>-5200</v>
      </c>
      <c r="E122" s="953">
        <v>0</v>
      </c>
      <c r="F122" s="954" t="s">
        <v>1613</v>
      </c>
      <c r="G122" s="915" t="s">
        <v>2499</v>
      </c>
      <c r="H122" s="955" t="s">
        <v>1615</v>
      </c>
      <c r="I122" s="915" t="s">
        <v>1999</v>
      </c>
      <c r="J122" s="915" t="s">
        <v>2025</v>
      </c>
      <c r="K122" s="915" t="s">
        <v>1618</v>
      </c>
      <c r="L122" s="919"/>
      <c r="M122" s="919"/>
      <c r="N122" s="919" t="s">
        <v>2493</v>
      </c>
      <c r="O122" s="940"/>
      <c r="P122" s="919"/>
      <c r="Q122" s="919"/>
      <c r="U122" s="915" t="s">
        <v>2492</v>
      </c>
      <c r="V122" s="915" t="s">
        <v>2500</v>
      </c>
      <c r="X122" s="952">
        <v>42860</v>
      </c>
      <c r="Y122" s="952">
        <v>42860</v>
      </c>
      <c r="AA122" s="952"/>
      <c r="AB122" s="915" t="s">
        <v>1626</v>
      </c>
      <c r="AC122" s="915">
        <v>0</v>
      </c>
      <c r="AD122" s="915">
        <v>0</v>
      </c>
      <c r="AE122" s="915">
        <v>0</v>
      </c>
      <c r="AF122" s="915">
        <v>0</v>
      </c>
      <c r="AG122" s="915">
        <v>5</v>
      </c>
      <c r="AH122" s="915">
        <v>1</v>
      </c>
      <c r="AI122" s="915">
        <v>60225</v>
      </c>
      <c r="AJ122" s="915">
        <v>2010</v>
      </c>
      <c r="AK122" s="915">
        <v>0</v>
      </c>
      <c r="AL122" s="915">
        <v>0</v>
      </c>
      <c r="AO122" s="955"/>
      <c r="AP122" s="955"/>
      <c r="AQ122" s="915" t="str">
        <f t="shared" si="2"/>
        <v/>
      </c>
      <c r="AS122" s="915" t="str">
        <f t="shared" si="3"/>
        <v>wci_corp</v>
      </c>
    </row>
    <row r="123" spans="2:45">
      <c r="B123" s="915" t="s">
        <v>2365</v>
      </c>
      <c r="C123" s="952">
        <v>42886</v>
      </c>
      <c r="D123" s="953">
        <v>-2368.54</v>
      </c>
      <c r="E123" s="953">
        <v>0</v>
      </c>
      <c r="F123" s="954" t="s">
        <v>1613</v>
      </c>
      <c r="G123" s="915" t="s">
        <v>2499</v>
      </c>
      <c r="H123" s="955" t="s">
        <v>1615</v>
      </c>
      <c r="I123" s="915" t="s">
        <v>1999</v>
      </c>
      <c r="J123" s="915" t="s">
        <v>2025</v>
      </c>
      <c r="K123" s="915" t="s">
        <v>1618</v>
      </c>
      <c r="L123" s="919"/>
      <c r="M123" s="919"/>
      <c r="N123" s="919" t="s">
        <v>2452</v>
      </c>
      <c r="O123" s="940"/>
      <c r="P123" s="919"/>
      <c r="Q123" s="919"/>
      <c r="U123" s="915" t="s">
        <v>2492</v>
      </c>
      <c r="V123" s="915" t="s">
        <v>2500</v>
      </c>
      <c r="X123" s="952">
        <v>42860</v>
      </c>
      <c r="Y123" s="952">
        <v>42860</v>
      </c>
      <c r="AA123" s="952"/>
      <c r="AB123" s="915" t="s">
        <v>1626</v>
      </c>
      <c r="AC123" s="915">
        <v>0</v>
      </c>
      <c r="AD123" s="915">
        <v>0</v>
      </c>
      <c r="AE123" s="915">
        <v>0</v>
      </c>
      <c r="AF123" s="915">
        <v>0</v>
      </c>
      <c r="AG123" s="915">
        <v>5</v>
      </c>
      <c r="AH123" s="915">
        <v>1</v>
      </c>
      <c r="AI123" s="915">
        <v>60225</v>
      </c>
      <c r="AJ123" s="915">
        <v>2010</v>
      </c>
      <c r="AK123" s="915">
        <v>0</v>
      </c>
      <c r="AL123" s="915">
        <v>0</v>
      </c>
      <c r="AO123" s="955"/>
      <c r="AP123" s="955"/>
      <c r="AQ123" s="915" t="str">
        <f t="shared" si="2"/>
        <v/>
      </c>
      <c r="AS123" s="915" t="str">
        <f t="shared" si="3"/>
        <v>wci_corp</v>
      </c>
    </row>
    <row r="124" spans="2:45">
      <c r="B124" s="915" t="s">
        <v>2365</v>
      </c>
      <c r="C124" s="952">
        <v>42886</v>
      </c>
      <c r="D124" s="953">
        <v>1018.75</v>
      </c>
      <c r="E124" s="953">
        <v>0</v>
      </c>
      <c r="F124" s="954" t="s">
        <v>1613</v>
      </c>
      <c r="G124" s="915" t="s">
        <v>2049</v>
      </c>
      <c r="H124" s="955" t="s">
        <v>1615</v>
      </c>
      <c r="I124" s="915" t="s">
        <v>2050</v>
      </c>
      <c r="J124" s="915" t="s">
        <v>2025</v>
      </c>
      <c r="K124" s="915" t="s">
        <v>1618</v>
      </c>
      <c r="L124" s="919"/>
      <c r="M124" s="919"/>
      <c r="N124" s="919" t="s">
        <v>2314</v>
      </c>
      <c r="O124" s="940"/>
      <c r="P124" s="919"/>
      <c r="Q124" s="919"/>
      <c r="U124" s="915" t="s">
        <v>2051</v>
      </c>
      <c r="V124" s="915" t="s">
        <v>2051</v>
      </c>
      <c r="X124" s="952">
        <v>42891</v>
      </c>
      <c r="Y124" s="952">
        <v>42891</v>
      </c>
      <c r="AA124" s="952"/>
      <c r="AB124" s="915" t="s">
        <v>1626</v>
      </c>
      <c r="AC124" s="915">
        <v>0</v>
      </c>
      <c r="AD124" s="915">
        <v>0</v>
      </c>
      <c r="AE124" s="915">
        <v>0</v>
      </c>
      <c r="AF124" s="915">
        <v>0</v>
      </c>
      <c r="AG124" s="915">
        <v>0</v>
      </c>
      <c r="AH124" s="915">
        <v>1</v>
      </c>
      <c r="AI124" s="915">
        <v>60225</v>
      </c>
      <c r="AJ124" s="915">
        <v>2010</v>
      </c>
      <c r="AK124" s="915">
        <v>0</v>
      </c>
      <c r="AL124" s="915">
        <v>0</v>
      </c>
      <c r="AO124" s="955"/>
      <c r="AP124" s="955"/>
      <c r="AQ124" s="915" t="str">
        <f t="shared" si="2"/>
        <v/>
      </c>
      <c r="AS124" s="915" t="str">
        <f t="shared" si="3"/>
        <v>wci_corp</v>
      </c>
    </row>
    <row r="125" spans="2:45">
      <c r="B125" s="915" t="s">
        <v>2365</v>
      </c>
      <c r="C125" s="952">
        <v>42886</v>
      </c>
      <c r="D125" s="953">
        <v>2368.54</v>
      </c>
      <c r="E125" s="953">
        <v>0</v>
      </c>
      <c r="F125" s="954" t="s">
        <v>1613</v>
      </c>
      <c r="G125" s="915" t="s">
        <v>2049</v>
      </c>
      <c r="H125" s="955" t="s">
        <v>1615</v>
      </c>
      <c r="I125" s="915" t="s">
        <v>2050</v>
      </c>
      <c r="J125" s="915" t="s">
        <v>2025</v>
      </c>
      <c r="K125" s="915" t="s">
        <v>1618</v>
      </c>
      <c r="L125" s="919"/>
      <c r="M125" s="919"/>
      <c r="N125" s="919" t="s">
        <v>2446</v>
      </c>
      <c r="O125" s="940"/>
      <c r="P125" s="919"/>
      <c r="Q125" s="919"/>
      <c r="U125" s="915" t="s">
        <v>2051</v>
      </c>
      <c r="V125" s="915" t="s">
        <v>2051</v>
      </c>
      <c r="X125" s="952">
        <v>42891</v>
      </c>
      <c r="Y125" s="952">
        <v>42891</v>
      </c>
      <c r="AA125" s="952"/>
      <c r="AB125" s="915" t="s">
        <v>1626</v>
      </c>
      <c r="AC125" s="915">
        <v>0</v>
      </c>
      <c r="AD125" s="915">
        <v>0</v>
      </c>
      <c r="AE125" s="915">
        <v>0</v>
      </c>
      <c r="AF125" s="915">
        <v>0</v>
      </c>
      <c r="AG125" s="915">
        <v>0</v>
      </c>
      <c r="AH125" s="915">
        <v>1</v>
      </c>
      <c r="AI125" s="915">
        <v>60225</v>
      </c>
      <c r="AJ125" s="915">
        <v>2010</v>
      </c>
      <c r="AK125" s="915">
        <v>0</v>
      </c>
      <c r="AL125" s="915">
        <v>0</v>
      </c>
      <c r="AO125" s="955"/>
      <c r="AP125" s="955"/>
      <c r="AQ125" s="915" t="str">
        <f t="shared" si="2"/>
        <v/>
      </c>
      <c r="AS125" s="915" t="str">
        <f t="shared" si="3"/>
        <v>wci_corp</v>
      </c>
    </row>
    <row r="126" spans="2:45">
      <c r="B126" s="915" t="s">
        <v>2365</v>
      </c>
      <c r="C126" s="952">
        <v>42886</v>
      </c>
      <c r="D126" s="953">
        <v>751.87</v>
      </c>
      <c r="E126" s="953">
        <v>0</v>
      </c>
      <c r="F126" s="954" t="s">
        <v>1613</v>
      </c>
      <c r="G126" s="915" t="s">
        <v>2049</v>
      </c>
      <c r="H126" s="955" t="s">
        <v>1615</v>
      </c>
      <c r="I126" s="915" t="s">
        <v>2050</v>
      </c>
      <c r="J126" s="915" t="s">
        <v>2025</v>
      </c>
      <c r="K126" s="915" t="s">
        <v>1618</v>
      </c>
      <c r="L126" s="919"/>
      <c r="M126" s="919"/>
      <c r="N126" s="919" t="s">
        <v>2501</v>
      </c>
      <c r="O126" s="940"/>
      <c r="P126" s="919"/>
      <c r="Q126" s="919"/>
      <c r="U126" s="915" t="s">
        <v>2051</v>
      </c>
      <c r="V126" s="915" t="s">
        <v>2051</v>
      </c>
      <c r="X126" s="952">
        <v>42891</v>
      </c>
      <c r="Y126" s="952">
        <v>42891</v>
      </c>
      <c r="AA126" s="952"/>
      <c r="AB126" s="915" t="s">
        <v>1626</v>
      </c>
      <c r="AC126" s="915">
        <v>0</v>
      </c>
      <c r="AD126" s="915">
        <v>0</v>
      </c>
      <c r="AE126" s="915">
        <v>0</v>
      </c>
      <c r="AF126" s="915">
        <v>0</v>
      </c>
      <c r="AG126" s="915">
        <v>0</v>
      </c>
      <c r="AH126" s="915">
        <v>1</v>
      </c>
      <c r="AI126" s="915">
        <v>60225</v>
      </c>
      <c r="AJ126" s="915">
        <v>2010</v>
      </c>
      <c r="AK126" s="915">
        <v>0</v>
      </c>
      <c r="AL126" s="915">
        <v>0</v>
      </c>
      <c r="AO126" s="955"/>
      <c r="AP126" s="955"/>
      <c r="AQ126" s="915" t="str">
        <f t="shared" si="2"/>
        <v/>
      </c>
      <c r="AS126" s="915" t="str">
        <f t="shared" si="3"/>
        <v>wci_corp</v>
      </c>
    </row>
    <row r="127" spans="2:45">
      <c r="B127" s="915" t="s">
        <v>2365</v>
      </c>
      <c r="C127" s="952">
        <v>42886</v>
      </c>
      <c r="D127" s="953">
        <v>702.5</v>
      </c>
      <c r="E127" s="953">
        <v>0</v>
      </c>
      <c r="F127" s="954" t="s">
        <v>1613</v>
      </c>
      <c r="G127" s="915" t="s">
        <v>2049</v>
      </c>
      <c r="H127" s="955" t="s">
        <v>1615</v>
      </c>
      <c r="I127" s="915" t="s">
        <v>2050</v>
      </c>
      <c r="J127" s="915" t="s">
        <v>2025</v>
      </c>
      <c r="K127" s="915" t="s">
        <v>1618</v>
      </c>
      <c r="L127" s="919"/>
      <c r="M127" s="919"/>
      <c r="N127" s="919" t="s">
        <v>2502</v>
      </c>
      <c r="O127" s="940"/>
      <c r="P127" s="919"/>
      <c r="Q127" s="919"/>
      <c r="U127" s="915" t="s">
        <v>2051</v>
      </c>
      <c r="V127" s="915" t="s">
        <v>2051</v>
      </c>
      <c r="X127" s="952">
        <v>42891</v>
      </c>
      <c r="Y127" s="952">
        <v>42891</v>
      </c>
      <c r="AA127" s="952"/>
      <c r="AB127" s="915" t="s">
        <v>1626</v>
      </c>
      <c r="AC127" s="915">
        <v>0</v>
      </c>
      <c r="AD127" s="915">
        <v>0</v>
      </c>
      <c r="AE127" s="915">
        <v>0</v>
      </c>
      <c r="AF127" s="915">
        <v>0</v>
      </c>
      <c r="AG127" s="915">
        <v>0</v>
      </c>
      <c r="AH127" s="915">
        <v>1</v>
      </c>
      <c r="AI127" s="915">
        <v>60225</v>
      </c>
      <c r="AJ127" s="915">
        <v>2010</v>
      </c>
      <c r="AK127" s="915">
        <v>0</v>
      </c>
      <c r="AL127" s="915">
        <v>0</v>
      </c>
      <c r="AO127" s="955"/>
      <c r="AP127" s="955"/>
      <c r="AQ127" s="915" t="str">
        <f t="shared" si="2"/>
        <v/>
      </c>
      <c r="AS127" s="915" t="str">
        <f t="shared" si="3"/>
        <v>wci_corp</v>
      </c>
    </row>
    <row r="128" spans="2:45">
      <c r="B128" s="915" t="s">
        <v>2365</v>
      </c>
      <c r="C128" s="952">
        <v>42886</v>
      </c>
      <c r="D128" s="953">
        <v>99</v>
      </c>
      <c r="E128" s="953">
        <v>0</v>
      </c>
      <c r="F128" s="954" t="s">
        <v>1613</v>
      </c>
      <c r="G128" s="915" t="s">
        <v>2049</v>
      </c>
      <c r="H128" s="955" t="s">
        <v>1615</v>
      </c>
      <c r="I128" s="915" t="s">
        <v>2050</v>
      </c>
      <c r="J128" s="915" t="s">
        <v>2025</v>
      </c>
      <c r="K128" s="915" t="s">
        <v>1618</v>
      </c>
      <c r="L128" s="919"/>
      <c r="M128" s="919"/>
      <c r="N128" s="919" t="s">
        <v>2502</v>
      </c>
      <c r="O128" s="940"/>
      <c r="P128" s="919"/>
      <c r="Q128" s="919"/>
      <c r="U128" s="915" t="s">
        <v>2051</v>
      </c>
      <c r="V128" s="915" t="s">
        <v>2051</v>
      </c>
      <c r="X128" s="952">
        <v>42891</v>
      </c>
      <c r="Y128" s="952">
        <v>42891</v>
      </c>
      <c r="AA128" s="952"/>
      <c r="AB128" s="915" t="s">
        <v>1626</v>
      </c>
      <c r="AC128" s="915">
        <v>0</v>
      </c>
      <c r="AD128" s="915">
        <v>0</v>
      </c>
      <c r="AE128" s="915">
        <v>0</v>
      </c>
      <c r="AF128" s="915">
        <v>0</v>
      </c>
      <c r="AG128" s="915">
        <v>0</v>
      </c>
      <c r="AH128" s="915">
        <v>1</v>
      </c>
      <c r="AI128" s="915">
        <v>60225</v>
      </c>
      <c r="AJ128" s="915">
        <v>2010</v>
      </c>
      <c r="AK128" s="915">
        <v>0</v>
      </c>
      <c r="AL128" s="915">
        <v>0</v>
      </c>
      <c r="AO128" s="955"/>
      <c r="AP128" s="955"/>
      <c r="AQ128" s="915" t="str">
        <f t="shared" si="2"/>
        <v/>
      </c>
      <c r="AS128" s="915" t="str">
        <f t="shared" si="3"/>
        <v>wci_corp</v>
      </c>
    </row>
    <row r="129" spans="2:45">
      <c r="B129" s="915" t="s">
        <v>2365</v>
      </c>
      <c r="C129" s="952">
        <v>42886</v>
      </c>
      <c r="D129" s="953">
        <v>600</v>
      </c>
      <c r="E129" s="953">
        <v>0</v>
      </c>
      <c r="F129" s="954" t="s">
        <v>1613</v>
      </c>
      <c r="G129" s="915" t="s">
        <v>2052</v>
      </c>
      <c r="H129" s="955" t="s">
        <v>1615</v>
      </c>
      <c r="I129" s="915" t="s">
        <v>1999</v>
      </c>
      <c r="J129" s="915" t="s">
        <v>2018</v>
      </c>
      <c r="K129" s="915" t="s">
        <v>1618</v>
      </c>
      <c r="L129" s="919"/>
      <c r="M129" s="919"/>
      <c r="N129" s="919" t="s">
        <v>2433</v>
      </c>
      <c r="O129" s="940"/>
      <c r="P129" s="919"/>
      <c r="Q129" s="919"/>
      <c r="U129" s="915" t="s">
        <v>2054</v>
      </c>
      <c r="V129" s="915" t="s">
        <v>2054</v>
      </c>
      <c r="X129" s="952">
        <v>42892</v>
      </c>
      <c r="Y129" s="952">
        <v>42892</v>
      </c>
      <c r="AA129" s="952"/>
      <c r="AB129" s="915" t="s">
        <v>1626</v>
      </c>
      <c r="AC129" s="915">
        <v>0</v>
      </c>
      <c r="AD129" s="915">
        <v>0</v>
      </c>
      <c r="AE129" s="915">
        <v>0</v>
      </c>
      <c r="AF129" s="915">
        <v>0</v>
      </c>
      <c r="AG129" s="915">
        <v>0</v>
      </c>
      <c r="AH129" s="915">
        <v>1</v>
      </c>
      <c r="AI129" s="915">
        <v>60225</v>
      </c>
      <c r="AJ129" s="915">
        <v>2010</v>
      </c>
      <c r="AK129" s="915">
        <v>0</v>
      </c>
      <c r="AL129" s="915">
        <v>0</v>
      </c>
      <c r="AO129" s="955"/>
      <c r="AP129" s="955"/>
      <c r="AQ129" s="915" t="str">
        <f t="shared" si="2"/>
        <v/>
      </c>
      <c r="AS129" s="915" t="str">
        <f t="shared" si="3"/>
        <v>wci_corp</v>
      </c>
    </row>
    <row r="130" spans="2:45">
      <c r="B130" s="915" t="s">
        <v>2365</v>
      </c>
      <c r="C130" s="952">
        <v>42886</v>
      </c>
      <c r="D130" s="953">
        <v>5200</v>
      </c>
      <c r="E130" s="953">
        <v>0</v>
      </c>
      <c r="F130" s="954" t="s">
        <v>1613</v>
      </c>
      <c r="G130" s="915" t="s">
        <v>2052</v>
      </c>
      <c r="H130" s="955" t="s">
        <v>1615</v>
      </c>
      <c r="I130" s="915" t="s">
        <v>1999</v>
      </c>
      <c r="J130" s="915" t="s">
        <v>2018</v>
      </c>
      <c r="K130" s="915" t="s">
        <v>1618</v>
      </c>
      <c r="L130" s="919"/>
      <c r="M130" s="919"/>
      <c r="N130" s="919" t="s">
        <v>2493</v>
      </c>
      <c r="O130" s="940"/>
      <c r="P130" s="919"/>
      <c r="Q130" s="919"/>
      <c r="U130" s="915" t="s">
        <v>2054</v>
      </c>
      <c r="V130" s="915" t="s">
        <v>2054</v>
      </c>
      <c r="X130" s="952">
        <v>42892</v>
      </c>
      <c r="Y130" s="952">
        <v>42892</v>
      </c>
      <c r="AA130" s="952"/>
      <c r="AB130" s="915" t="s">
        <v>1626</v>
      </c>
      <c r="AC130" s="915">
        <v>0</v>
      </c>
      <c r="AD130" s="915">
        <v>0</v>
      </c>
      <c r="AE130" s="915">
        <v>0</v>
      </c>
      <c r="AF130" s="915">
        <v>0</v>
      </c>
      <c r="AG130" s="915">
        <v>0</v>
      </c>
      <c r="AH130" s="915">
        <v>1</v>
      </c>
      <c r="AI130" s="915">
        <v>60225</v>
      </c>
      <c r="AJ130" s="915">
        <v>2010</v>
      </c>
      <c r="AK130" s="915">
        <v>0</v>
      </c>
      <c r="AL130" s="915">
        <v>0</v>
      </c>
      <c r="AO130" s="955"/>
      <c r="AP130" s="955"/>
      <c r="AQ130" s="915" t="str">
        <f t="shared" si="2"/>
        <v/>
      </c>
      <c r="AS130" s="915" t="str">
        <f t="shared" si="3"/>
        <v>wci_corp</v>
      </c>
    </row>
    <row r="131" spans="2:45">
      <c r="B131" s="915" t="s">
        <v>2365</v>
      </c>
      <c r="C131" s="952">
        <v>42886</v>
      </c>
      <c r="D131" s="953">
        <v>420.96</v>
      </c>
      <c r="E131" s="953">
        <v>0</v>
      </c>
      <c r="F131" s="954" t="s">
        <v>1613</v>
      </c>
      <c r="G131" s="915" t="s">
        <v>2052</v>
      </c>
      <c r="H131" s="955" t="s">
        <v>1615</v>
      </c>
      <c r="I131" s="915" t="s">
        <v>1999</v>
      </c>
      <c r="J131" s="915" t="s">
        <v>2018</v>
      </c>
      <c r="K131" s="915" t="s">
        <v>1618</v>
      </c>
      <c r="L131" s="919"/>
      <c r="M131" s="919"/>
      <c r="N131" s="919" t="s">
        <v>2503</v>
      </c>
      <c r="O131" s="940"/>
      <c r="P131" s="919"/>
      <c r="Q131" s="919"/>
      <c r="U131" s="915" t="s">
        <v>2054</v>
      </c>
      <c r="V131" s="915" t="s">
        <v>2054</v>
      </c>
      <c r="X131" s="952">
        <v>42892</v>
      </c>
      <c r="Y131" s="952">
        <v>42892</v>
      </c>
      <c r="AA131" s="952"/>
      <c r="AB131" s="915" t="s">
        <v>1626</v>
      </c>
      <c r="AC131" s="915">
        <v>0</v>
      </c>
      <c r="AD131" s="915">
        <v>0</v>
      </c>
      <c r="AE131" s="915">
        <v>0</v>
      </c>
      <c r="AF131" s="915">
        <v>0</v>
      </c>
      <c r="AG131" s="915">
        <v>0</v>
      </c>
      <c r="AH131" s="915">
        <v>1</v>
      </c>
      <c r="AI131" s="915">
        <v>60225</v>
      </c>
      <c r="AJ131" s="915">
        <v>2010</v>
      </c>
      <c r="AK131" s="915">
        <v>0</v>
      </c>
      <c r="AL131" s="915">
        <v>0</v>
      </c>
      <c r="AO131" s="955"/>
      <c r="AP131" s="955"/>
      <c r="AQ131" s="915" t="str">
        <f t="shared" si="2"/>
        <v/>
      </c>
      <c r="AS131" s="915" t="str">
        <f t="shared" si="3"/>
        <v>wci_corp</v>
      </c>
    </row>
    <row r="132" spans="2:45">
      <c r="B132" s="915" t="s">
        <v>2365</v>
      </c>
      <c r="C132" s="952">
        <v>42886</v>
      </c>
      <c r="D132" s="953">
        <v>1425</v>
      </c>
      <c r="E132" s="953">
        <v>0</v>
      </c>
      <c r="F132" s="954" t="s">
        <v>1613</v>
      </c>
      <c r="G132" s="915" t="s">
        <v>2052</v>
      </c>
      <c r="H132" s="955" t="s">
        <v>1615</v>
      </c>
      <c r="I132" s="915" t="s">
        <v>1999</v>
      </c>
      <c r="J132" s="915" t="s">
        <v>2018</v>
      </c>
      <c r="K132" s="915" t="s">
        <v>1618</v>
      </c>
      <c r="L132" s="919"/>
      <c r="M132" s="919"/>
      <c r="N132" s="919" t="s">
        <v>2504</v>
      </c>
      <c r="O132" s="940"/>
      <c r="P132" s="919"/>
      <c r="Q132" s="919"/>
      <c r="U132" s="915" t="s">
        <v>2054</v>
      </c>
      <c r="V132" s="915" t="s">
        <v>2054</v>
      </c>
      <c r="X132" s="952">
        <v>42892</v>
      </c>
      <c r="Y132" s="952">
        <v>42892</v>
      </c>
      <c r="AA132" s="952"/>
      <c r="AB132" s="915" t="s">
        <v>1626</v>
      </c>
      <c r="AC132" s="915">
        <v>0</v>
      </c>
      <c r="AD132" s="915">
        <v>0</v>
      </c>
      <c r="AE132" s="915">
        <v>0</v>
      </c>
      <c r="AF132" s="915">
        <v>0</v>
      </c>
      <c r="AG132" s="915">
        <v>0</v>
      </c>
      <c r="AH132" s="915">
        <v>1</v>
      </c>
      <c r="AI132" s="915">
        <v>60225</v>
      </c>
      <c r="AJ132" s="915">
        <v>2010</v>
      </c>
      <c r="AK132" s="915">
        <v>0</v>
      </c>
      <c r="AL132" s="915">
        <v>0</v>
      </c>
      <c r="AO132" s="955"/>
      <c r="AP132" s="955"/>
      <c r="AQ132" s="915" t="str">
        <f t="shared" si="2"/>
        <v/>
      </c>
      <c r="AS132" s="915" t="str">
        <f t="shared" si="3"/>
        <v>wci_corp</v>
      </c>
    </row>
    <row r="133" spans="2:45">
      <c r="B133" s="915" t="s">
        <v>2365</v>
      </c>
      <c r="C133" s="952">
        <v>42886</v>
      </c>
      <c r="D133" s="953">
        <v>1807.21</v>
      </c>
      <c r="E133" s="953">
        <v>0</v>
      </c>
      <c r="F133" s="954" t="s">
        <v>1613</v>
      </c>
      <c r="G133" s="915" t="s">
        <v>2052</v>
      </c>
      <c r="H133" s="955" t="s">
        <v>1615</v>
      </c>
      <c r="I133" s="915" t="s">
        <v>1999</v>
      </c>
      <c r="J133" s="915" t="s">
        <v>2018</v>
      </c>
      <c r="K133" s="915" t="s">
        <v>1618</v>
      </c>
      <c r="L133" s="919"/>
      <c r="M133" s="919"/>
      <c r="N133" s="919" t="s">
        <v>2505</v>
      </c>
      <c r="O133" s="940"/>
      <c r="P133" s="919"/>
      <c r="Q133" s="919"/>
      <c r="U133" s="915" t="s">
        <v>2054</v>
      </c>
      <c r="V133" s="915" t="s">
        <v>2054</v>
      </c>
      <c r="X133" s="952">
        <v>42892</v>
      </c>
      <c r="Y133" s="952">
        <v>42892</v>
      </c>
      <c r="AA133" s="952"/>
      <c r="AB133" s="915" t="s">
        <v>1626</v>
      </c>
      <c r="AC133" s="915">
        <v>0</v>
      </c>
      <c r="AD133" s="915">
        <v>0</v>
      </c>
      <c r="AE133" s="915">
        <v>0</v>
      </c>
      <c r="AF133" s="915">
        <v>0</v>
      </c>
      <c r="AG133" s="915">
        <v>0</v>
      </c>
      <c r="AH133" s="915">
        <v>1</v>
      </c>
      <c r="AI133" s="915">
        <v>60225</v>
      </c>
      <c r="AJ133" s="915">
        <v>2010</v>
      </c>
      <c r="AK133" s="915">
        <v>0</v>
      </c>
      <c r="AL133" s="915">
        <v>0</v>
      </c>
      <c r="AO133" s="955"/>
      <c r="AP133" s="955"/>
      <c r="AQ133" s="915" t="str">
        <f t="shared" si="2"/>
        <v/>
      </c>
      <c r="AS133" s="915" t="str">
        <f t="shared" si="3"/>
        <v>wci_corp</v>
      </c>
    </row>
    <row r="134" spans="2:45">
      <c r="B134" s="915" t="s">
        <v>2365</v>
      </c>
      <c r="C134" s="952">
        <v>42886</v>
      </c>
      <c r="D134" s="953">
        <v>115</v>
      </c>
      <c r="E134" s="953">
        <v>0</v>
      </c>
      <c r="F134" s="954" t="s">
        <v>1613</v>
      </c>
      <c r="G134" s="915" t="s">
        <v>2052</v>
      </c>
      <c r="H134" s="955" t="s">
        <v>1615</v>
      </c>
      <c r="I134" s="915" t="s">
        <v>1999</v>
      </c>
      <c r="J134" s="915" t="s">
        <v>2018</v>
      </c>
      <c r="K134" s="915" t="s">
        <v>1618</v>
      </c>
      <c r="L134" s="919"/>
      <c r="M134" s="919"/>
      <c r="N134" s="919" t="s">
        <v>2506</v>
      </c>
      <c r="O134" s="940"/>
      <c r="P134" s="919"/>
      <c r="Q134" s="919"/>
      <c r="U134" s="915" t="s">
        <v>2054</v>
      </c>
      <c r="V134" s="915" t="s">
        <v>2054</v>
      </c>
      <c r="X134" s="952">
        <v>42892</v>
      </c>
      <c r="Y134" s="952">
        <v>42892</v>
      </c>
      <c r="AA134" s="952"/>
      <c r="AB134" s="915" t="s">
        <v>1626</v>
      </c>
      <c r="AC134" s="915">
        <v>0</v>
      </c>
      <c r="AD134" s="915">
        <v>0</v>
      </c>
      <c r="AE134" s="915">
        <v>0</v>
      </c>
      <c r="AF134" s="915">
        <v>0</v>
      </c>
      <c r="AG134" s="915">
        <v>0</v>
      </c>
      <c r="AH134" s="915">
        <v>1</v>
      </c>
      <c r="AI134" s="915">
        <v>60225</v>
      </c>
      <c r="AJ134" s="915">
        <v>2010</v>
      </c>
      <c r="AK134" s="915">
        <v>0</v>
      </c>
      <c r="AL134" s="915">
        <v>0</v>
      </c>
      <c r="AO134" s="955"/>
      <c r="AP134" s="955"/>
      <c r="AQ134" s="915" t="str">
        <f t="shared" si="2"/>
        <v/>
      </c>
      <c r="AS134" s="915" t="str">
        <f t="shared" si="3"/>
        <v>wci_corp</v>
      </c>
    </row>
    <row r="135" spans="2:45">
      <c r="B135" s="915" t="s">
        <v>2365</v>
      </c>
      <c r="C135" s="952">
        <v>42886</v>
      </c>
      <c r="D135" s="953">
        <v>847</v>
      </c>
      <c r="E135" s="953">
        <v>0</v>
      </c>
      <c r="F135" s="954" t="s">
        <v>1613</v>
      </c>
      <c r="G135" s="915" t="s">
        <v>2052</v>
      </c>
      <c r="H135" s="955" t="s">
        <v>1615</v>
      </c>
      <c r="I135" s="915" t="s">
        <v>1999</v>
      </c>
      <c r="J135" s="915" t="s">
        <v>2018</v>
      </c>
      <c r="K135" s="915" t="s">
        <v>1618</v>
      </c>
      <c r="L135" s="919"/>
      <c r="M135" s="919"/>
      <c r="N135" s="919" t="s">
        <v>2507</v>
      </c>
      <c r="O135" s="940"/>
      <c r="P135" s="919"/>
      <c r="Q135" s="919"/>
      <c r="U135" s="915" t="s">
        <v>2054</v>
      </c>
      <c r="V135" s="915" t="s">
        <v>2054</v>
      </c>
      <c r="X135" s="952">
        <v>42892</v>
      </c>
      <c r="Y135" s="952">
        <v>42892</v>
      </c>
      <c r="AA135" s="952"/>
      <c r="AB135" s="915" t="s">
        <v>1626</v>
      </c>
      <c r="AC135" s="915">
        <v>0</v>
      </c>
      <c r="AD135" s="915">
        <v>0</v>
      </c>
      <c r="AE135" s="915">
        <v>0</v>
      </c>
      <c r="AF135" s="915">
        <v>0</v>
      </c>
      <c r="AG135" s="915">
        <v>0</v>
      </c>
      <c r="AH135" s="915">
        <v>1</v>
      </c>
      <c r="AI135" s="915">
        <v>60225</v>
      </c>
      <c r="AJ135" s="915">
        <v>2010</v>
      </c>
      <c r="AK135" s="915">
        <v>0</v>
      </c>
      <c r="AL135" s="915">
        <v>0</v>
      </c>
      <c r="AO135" s="955"/>
      <c r="AP135" s="955"/>
      <c r="AQ135" s="915" t="str">
        <f t="shared" si="2"/>
        <v/>
      </c>
      <c r="AS135" s="915" t="str">
        <f t="shared" si="3"/>
        <v>wci_corp</v>
      </c>
    </row>
    <row r="136" spans="2:45">
      <c r="B136" s="915" t="s">
        <v>2365</v>
      </c>
      <c r="C136" s="952">
        <v>42907</v>
      </c>
      <c r="D136" s="953">
        <v>5175.5600000000004</v>
      </c>
      <c r="E136" s="953">
        <v>0</v>
      </c>
      <c r="F136" s="954" t="s">
        <v>1613</v>
      </c>
      <c r="G136" s="915" t="s">
        <v>2508</v>
      </c>
      <c r="H136" s="955" t="s">
        <v>1615</v>
      </c>
      <c r="I136" s="915" t="s">
        <v>1616</v>
      </c>
      <c r="J136" s="915" t="s">
        <v>1617</v>
      </c>
      <c r="K136" s="915" t="s">
        <v>1618</v>
      </c>
      <c r="L136" s="919" t="s">
        <v>2420</v>
      </c>
      <c r="M136" s="919" t="s">
        <v>2421</v>
      </c>
      <c r="N136" s="919" t="s">
        <v>2421</v>
      </c>
      <c r="O136" s="940">
        <v>42893</v>
      </c>
      <c r="P136" s="919" t="s">
        <v>2509</v>
      </c>
      <c r="Q136" s="919">
        <v>442531</v>
      </c>
      <c r="R136" s="915" t="s">
        <v>2510</v>
      </c>
      <c r="U136" s="915" t="s">
        <v>2511</v>
      </c>
      <c r="V136" s="915" t="s">
        <v>2512</v>
      </c>
      <c r="W136" s="915">
        <v>2010</v>
      </c>
      <c r="X136" s="952">
        <v>42907</v>
      </c>
      <c r="Y136" s="952">
        <v>42907</v>
      </c>
      <c r="Z136" s="915">
        <v>10351.1</v>
      </c>
      <c r="AA136" s="952">
        <v>42894</v>
      </c>
      <c r="AB136" s="915" t="s">
        <v>1626</v>
      </c>
      <c r="AC136" s="915">
        <v>0</v>
      </c>
      <c r="AD136" s="915">
        <v>0</v>
      </c>
      <c r="AE136" s="915">
        <v>0</v>
      </c>
      <c r="AF136" s="915">
        <v>0</v>
      </c>
      <c r="AG136" s="915">
        <v>0</v>
      </c>
      <c r="AH136" s="915">
        <v>1</v>
      </c>
      <c r="AI136" s="915">
        <v>60225</v>
      </c>
      <c r="AJ136" s="915">
        <v>2010</v>
      </c>
      <c r="AK136" s="915">
        <v>0</v>
      </c>
      <c r="AL136" s="915">
        <v>0</v>
      </c>
      <c r="AO136" s="955"/>
      <c r="AP136" s="955"/>
      <c r="AQ136" s="915" t="str">
        <f t="shared" si="2"/>
        <v>VO04325288</v>
      </c>
      <c r="AS136" s="915" t="str">
        <f t="shared" si="3"/>
        <v>wci_corp</v>
      </c>
    </row>
    <row r="137" spans="2:45">
      <c r="B137" s="915" t="s">
        <v>2365</v>
      </c>
      <c r="C137" s="952">
        <v>42916</v>
      </c>
      <c r="D137" s="953">
        <v>-600</v>
      </c>
      <c r="E137" s="953">
        <v>0</v>
      </c>
      <c r="F137" s="954" t="s">
        <v>1613</v>
      </c>
      <c r="G137" s="915" t="s">
        <v>2075</v>
      </c>
      <c r="H137" s="955" t="s">
        <v>1615</v>
      </c>
      <c r="I137" s="915" t="s">
        <v>1999</v>
      </c>
      <c r="J137" s="915" t="s">
        <v>2018</v>
      </c>
      <c r="K137" s="915" t="s">
        <v>1618</v>
      </c>
      <c r="L137" s="919"/>
      <c r="M137" s="919"/>
      <c r="N137" s="919" t="s">
        <v>2433</v>
      </c>
      <c r="O137" s="940"/>
      <c r="P137" s="919"/>
      <c r="Q137" s="919"/>
      <c r="U137" s="915" t="s">
        <v>2054</v>
      </c>
      <c r="V137" s="915" t="s">
        <v>2076</v>
      </c>
      <c r="X137" s="952">
        <v>42892</v>
      </c>
      <c r="Y137" s="952">
        <v>42893</v>
      </c>
      <c r="AA137" s="952"/>
      <c r="AB137" s="915" t="s">
        <v>1626</v>
      </c>
      <c r="AC137" s="915">
        <v>0</v>
      </c>
      <c r="AD137" s="915">
        <v>0</v>
      </c>
      <c r="AE137" s="915">
        <v>0</v>
      </c>
      <c r="AF137" s="915">
        <v>0</v>
      </c>
      <c r="AG137" s="915">
        <v>5</v>
      </c>
      <c r="AH137" s="915">
        <v>1</v>
      </c>
      <c r="AI137" s="915">
        <v>60225</v>
      </c>
      <c r="AJ137" s="915">
        <v>2010</v>
      </c>
      <c r="AK137" s="915">
        <v>0</v>
      </c>
      <c r="AL137" s="915">
        <v>0</v>
      </c>
      <c r="AO137" s="955"/>
      <c r="AP137" s="955"/>
      <c r="AQ137" s="915" t="str">
        <f t="shared" si="2"/>
        <v/>
      </c>
      <c r="AS137" s="915" t="str">
        <f t="shared" si="3"/>
        <v>wci_corp</v>
      </c>
    </row>
    <row r="138" spans="2:45">
      <c r="B138" s="915" t="s">
        <v>2365</v>
      </c>
      <c r="C138" s="952">
        <v>42916</v>
      </c>
      <c r="D138" s="953">
        <v>-5200</v>
      </c>
      <c r="E138" s="953">
        <v>0</v>
      </c>
      <c r="F138" s="954" t="s">
        <v>1613</v>
      </c>
      <c r="G138" s="915" t="s">
        <v>2075</v>
      </c>
      <c r="H138" s="955" t="s">
        <v>1615</v>
      </c>
      <c r="I138" s="915" t="s">
        <v>1999</v>
      </c>
      <c r="J138" s="915" t="s">
        <v>2018</v>
      </c>
      <c r="K138" s="915" t="s">
        <v>1618</v>
      </c>
      <c r="L138" s="919"/>
      <c r="M138" s="919"/>
      <c r="N138" s="919" t="s">
        <v>2493</v>
      </c>
      <c r="O138" s="940"/>
      <c r="P138" s="919"/>
      <c r="Q138" s="919"/>
      <c r="U138" s="915" t="s">
        <v>2054</v>
      </c>
      <c r="V138" s="915" t="s">
        <v>2076</v>
      </c>
      <c r="X138" s="952">
        <v>42892</v>
      </c>
      <c r="Y138" s="952">
        <v>42893</v>
      </c>
      <c r="AA138" s="952"/>
      <c r="AB138" s="915" t="s">
        <v>1626</v>
      </c>
      <c r="AC138" s="915">
        <v>0</v>
      </c>
      <c r="AD138" s="915">
        <v>0</v>
      </c>
      <c r="AE138" s="915">
        <v>0</v>
      </c>
      <c r="AF138" s="915">
        <v>0</v>
      </c>
      <c r="AG138" s="915">
        <v>5</v>
      </c>
      <c r="AH138" s="915">
        <v>1</v>
      </c>
      <c r="AI138" s="915">
        <v>60225</v>
      </c>
      <c r="AJ138" s="915">
        <v>2010</v>
      </c>
      <c r="AK138" s="915">
        <v>0</v>
      </c>
      <c r="AL138" s="915">
        <v>0</v>
      </c>
      <c r="AO138" s="955"/>
      <c r="AP138" s="955"/>
      <c r="AQ138" s="915" t="str">
        <f t="shared" si="2"/>
        <v/>
      </c>
      <c r="AS138" s="915" t="str">
        <f t="shared" si="3"/>
        <v>wci_corp</v>
      </c>
    </row>
    <row r="139" spans="2:45">
      <c r="B139" s="915" t="s">
        <v>2365</v>
      </c>
      <c r="C139" s="952">
        <v>42916</v>
      </c>
      <c r="D139" s="953">
        <v>-420.96</v>
      </c>
      <c r="E139" s="953">
        <v>0</v>
      </c>
      <c r="F139" s="954" t="s">
        <v>1613</v>
      </c>
      <c r="G139" s="915" t="s">
        <v>2075</v>
      </c>
      <c r="H139" s="955" t="s">
        <v>1615</v>
      </c>
      <c r="I139" s="915" t="s">
        <v>1999</v>
      </c>
      <c r="J139" s="915" t="s">
        <v>2018</v>
      </c>
      <c r="K139" s="915" t="s">
        <v>1618</v>
      </c>
      <c r="L139" s="919"/>
      <c r="M139" s="919"/>
      <c r="N139" s="919" t="s">
        <v>2503</v>
      </c>
      <c r="O139" s="940"/>
      <c r="P139" s="919"/>
      <c r="Q139" s="919"/>
      <c r="U139" s="915" t="s">
        <v>2054</v>
      </c>
      <c r="V139" s="915" t="s">
        <v>2076</v>
      </c>
      <c r="X139" s="952">
        <v>42892</v>
      </c>
      <c r="Y139" s="952">
        <v>42893</v>
      </c>
      <c r="AA139" s="952"/>
      <c r="AB139" s="915" t="s">
        <v>1626</v>
      </c>
      <c r="AC139" s="915">
        <v>0</v>
      </c>
      <c r="AD139" s="915">
        <v>0</v>
      </c>
      <c r="AE139" s="915">
        <v>0</v>
      </c>
      <c r="AF139" s="915">
        <v>0</v>
      </c>
      <c r="AG139" s="915">
        <v>5</v>
      </c>
      <c r="AH139" s="915">
        <v>1</v>
      </c>
      <c r="AI139" s="915">
        <v>60225</v>
      </c>
      <c r="AJ139" s="915">
        <v>2010</v>
      </c>
      <c r="AK139" s="915">
        <v>0</v>
      </c>
      <c r="AL139" s="915">
        <v>0</v>
      </c>
      <c r="AO139" s="955"/>
      <c r="AP139" s="955"/>
      <c r="AQ139" s="915" t="str">
        <f t="shared" si="2"/>
        <v/>
      </c>
      <c r="AS139" s="915" t="str">
        <f t="shared" si="3"/>
        <v>wci_corp</v>
      </c>
    </row>
    <row r="140" spans="2:45">
      <c r="B140" s="915" t="s">
        <v>2365</v>
      </c>
      <c r="C140" s="952">
        <v>42916</v>
      </c>
      <c r="D140" s="953">
        <v>-1425</v>
      </c>
      <c r="E140" s="953">
        <v>0</v>
      </c>
      <c r="F140" s="954" t="s">
        <v>1613</v>
      </c>
      <c r="G140" s="915" t="s">
        <v>2075</v>
      </c>
      <c r="H140" s="955" t="s">
        <v>1615</v>
      </c>
      <c r="I140" s="915" t="s">
        <v>1999</v>
      </c>
      <c r="J140" s="915" t="s">
        <v>2018</v>
      </c>
      <c r="K140" s="915" t="s">
        <v>1618</v>
      </c>
      <c r="L140" s="919"/>
      <c r="M140" s="919"/>
      <c r="N140" s="919" t="s">
        <v>2504</v>
      </c>
      <c r="O140" s="940"/>
      <c r="P140" s="919"/>
      <c r="Q140" s="919"/>
      <c r="U140" s="915" t="s">
        <v>2054</v>
      </c>
      <c r="V140" s="915" t="s">
        <v>2076</v>
      </c>
      <c r="X140" s="952">
        <v>42892</v>
      </c>
      <c r="Y140" s="952">
        <v>42893</v>
      </c>
      <c r="AA140" s="952"/>
      <c r="AB140" s="915" t="s">
        <v>1626</v>
      </c>
      <c r="AC140" s="915">
        <v>0</v>
      </c>
      <c r="AD140" s="915">
        <v>0</v>
      </c>
      <c r="AE140" s="915">
        <v>0</v>
      </c>
      <c r="AF140" s="915">
        <v>0</v>
      </c>
      <c r="AG140" s="915">
        <v>5</v>
      </c>
      <c r="AH140" s="915">
        <v>1</v>
      </c>
      <c r="AI140" s="915">
        <v>60225</v>
      </c>
      <c r="AJ140" s="915">
        <v>2010</v>
      </c>
      <c r="AK140" s="915">
        <v>0</v>
      </c>
      <c r="AL140" s="915">
        <v>0</v>
      </c>
      <c r="AO140" s="955"/>
      <c r="AP140" s="955"/>
      <c r="AQ140" s="915" t="str">
        <f t="shared" si="2"/>
        <v/>
      </c>
      <c r="AS140" s="915" t="str">
        <f t="shared" si="3"/>
        <v>wci_corp</v>
      </c>
    </row>
    <row r="141" spans="2:45">
      <c r="B141" s="915" t="s">
        <v>2365</v>
      </c>
      <c r="C141" s="952">
        <v>42916</v>
      </c>
      <c r="D141" s="953">
        <v>-1807.21</v>
      </c>
      <c r="E141" s="953">
        <v>0</v>
      </c>
      <c r="F141" s="954" t="s">
        <v>1613</v>
      </c>
      <c r="G141" s="915" t="s">
        <v>2075</v>
      </c>
      <c r="H141" s="955" t="s">
        <v>1615</v>
      </c>
      <c r="I141" s="915" t="s">
        <v>1999</v>
      </c>
      <c r="J141" s="915" t="s">
        <v>2018</v>
      </c>
      <c r="K141" s="915" t="s">
        <v>1618</v>
      </c>
      <c r="L141" s="919"/>
      <c r="M141" s="919"/>
      <c r="N141" s="919" t="s">
        <v>2505</v>
      </c>
      <c r="O141" s="940"/>
      <c r="P141" s="919"/>
      <c r="Q141" s="919"/>
      <c r="U141" s="915" t="s">
        <v>2054</v>
      </c>
      <c r="V141" s="915" t="s">
        <v>2076</v>
      </c>
      <c r="X141" s="952">
        <v>42892</v>
      </c>
      <c r="Y141" s="952">
        <v>42893</v>
      </c>
      <c r="AA141" s="952"/>
      <c r="AB141" s="915" t="s">
        <v>1626</v>
      </c>
      <c r="AC141" s="915">
        <v>0</v>
      </c>
      <c r="AD141" s="915">
        <v>0</v>
      </c>
      <c r="AE141" s="915">
        <v>0</v>
      </c>
      <c r="AF141" s="915">
        <v>0</v>
      </c>
      <c r="AG141" s="915">
        <v>5</v>
      </c>
      <c r="AH141" s="915">
        <v>1</v>
      </c>
      <c r="AI141" s="915">
        <v>60225</v>
      </c>
      <c r="AJ141" s="915">
        <v>2010</v>
      </c>
      <c r="AK141" s="915">
        <v>0</v>
      </c>
      <c r="AL141" s="915">
        <v>0</v>
      </c>
      <c r="AO141" s="955"/>
      <c r="AP141" s="955"/>
      <c r="AQ141" s="915" t="str">
        <f t="shared" si="2"/>
        <v/>
      </c>
      <c r="AS141" s="915" t="str">
        <f t="shared" si="3"/>
        <v>wci_corp</v>
      </c>
    </row>
    <row r="142" spans="2:45">
      <c r="B142" s="915" t="s">
        <v>2365</v>
      </c>
      <c r="C142" s="952">
        <v>42916</v>
      </c>
      <c r="D142" s="953">
        <v>-115</v>
      </c>
      <c r="E142" s="953">
        <v>0</v>
      </c>
      <c r="F142" s="954" t="s">
        <v>1613</v>
      </c>
      <c r="G142" s="915" t="s">
        <v>2075</v>
      </c>
      <c r="H142" s="955" t="s">
        <v>1615</v>
      </c>
      <c r="I142" s="915" t="s">
        <v>1999</v>
      </c>
      <c r="J142" s="915" t="s">
        <v>2018</v>
      </c>
      <c r="K142" s="915" t="s">
        <v>1618</v>
      </c>
      <c r="L142" s="919"/>
      <c r="M142" s="919"/>
      <c r="N142" s="919" t="s">
        <v>2506</v>
      </c>
      <c r="O142" s="940"/>
      <c r="P142" s="919"/>
      <c r="Q142" s="919"/>
      <c r="U142" s="915" t="s">
        <v>2054</v>
      </c>
      <c r="V142" s="915" t="s">
        <v>2076</v>
      </c>
      <c r="X142" s="952">
        <v>42892</v>
      </c>
      <c r="Y142" s="952">
        <v>42893</v>
      </c>
      <c r="AA142" s="952"/>
      <c r="AB142" s="915" t="s">
        <v>1626</v>
      </c>
      <c r="AC142" s="915">
        <v>0</v>
      </c>
      <c r="AD142" s="915">
        <v>0</v>
      </c>
      <c r="AE142" s="915">
        <v>0</v>
      </c>
      <c r="AF142" s="915">
        <v>0</v>
      </c>
      <c r="AG142" s="915">
        <v>5</v>
      </c>
      <c r="AH142" s="915">
        <v>1</v>
      </c>
      <c r="AI142" s="915">
        <v>60225</v>
      </c>
      <c r="AJ142" s="915">
        <v>2010</v>
      </c>
      <c r="AK142" s="915">
        <v>0</v>
      </c>
      <c r="AL142" s="915">
        <v>0</v>
      </c>
      <c r="AO142" s="955"/>
      <c r="AP142" s="955"/>
      <c r="AQ142" s="915" t="str">
        <f t="shared" si="2"/>
        <v/>
      </c>
      <c r="AS142" s="915" t="str">
        <f t="shared" si="3"/>
        <v>wci_corp</v>
      </c>
    </row>
    <row r="143" spans="2:45">
      <c r="B143" s="915" t="s">
        <v>2365</v>
      </c>
      <c r="C143" s="952">
        <v>42916</v>
      </c>
      <c r="D143" s="953">
        <v>-847</v>
      </c>
      <c r="E143" s="953">
        <v>0</v>
      </c>
      <c r="F143" s="954" t="s">
        <v>1613</v>
      </c>
      <c r="G143" s="915" t="s">
        <v>2075</v>
      </c>
      <c r="H143" s="955" t="s">
        <v>1615</v>
      </c>
      <c r="I143" s="915" t="s">
        <v>1999</v>
      </c>
      <c r="J143" s="915" t="s">
        <v>2018</v>
      </c>
      <c r="K143" s="915" t="s">
        <v>1618</v>
      </c>
      <c r="L143" s="919"/>
      <c r="M143" s="919"/>
      <c r="N143" s="919" t="s">
        <v>2507</v>
      </c>
      <c r="O143" s="940"/>
      <c r="P143" s="919"/>
      <c r="Q143" s="919"/>
      <c r="U143" s="915" t="s">
        <v>2054</v>
      </c>
      <c r="V143" s="915" t="s">
        <v>2076</v>
      </c>
      <c r="X143" s="952">
        <v>42892</v>
      </c>
      <c r="Y143" s="952">
        <v>42893</v>
      </c>
      <c r="AA143" s="952"/>
      <c r="AB143" s="915" t="s">
        <v>1626</v>
      </c>
      <c r="AC143" s="915">
        <v>0</v>
      </c>
      <c r="AD143" s="915">
        <v>0</v>
      </c>
      <c r="AE143" s="915">
        <v>0</v>
      </c>
      <c r="AF143" s="915">
        <v>0</v>
      </c>
      <c r="AG143" s="915">
        <v>5</v>
      </c>
      <c r="AH143" s="915">
        <v>1</v>
      </c>
      <c r="AI143" s="915">
        <v>60225</v>
      </c>
      <c r="AJ143" s="915">
        <v>2010</v>
      </c>
      <c r="AK143" s="915">
        <v>0</v>
      </c>
      <c r="AL143" s="915">
        <v>0</v>
      </c>
      <c r="AO143" s="955"/>
      <c r="AP143" s="955"/>
      <c r="AQ143" s="915" t="str">
        <f t="shared" si="2"/>
        <v/>
      </c>
      <c r="AS143" s="915" t="str">
        <f t="shared" si="3"/>
        <v>wci_corp</v>
      </c>
    </row>
    <row r="144" spans="2:45">
      <c r="B144" s="915" t="s">
        <v>2365</v>
      </c>
      <c r="C144" s="952">
        <v>42916</v>
      </c>
      <c r="D144" s="953">
        <v>600</v>
      </c>
      <c r="E144" s="953">
        <v>0</v>
      </c>
      <c r="F144" s="954" t="s">
        <v>1613</v>
      </c>
      <c r="G144" s="915" t="s">
        <v>2082</v>
      </c>
      <c r="H144" s="955" t="s">
        <v>1615</v>
      </c>
      <c r="I144" s="915" t="s">
        <v>2083</v>
      </c>
      <c r="J144" s="915" t="s">
        <v>2018</v>
      </c>
      <c r="K144" s="915" t="s">
        <v>1618</v>
      </c>
      <c r="L144" s="919"/>
      <c r="M144" s="919"/>
      <c r="N144" s="919" t="s">
        <v>2314</v>
      </c>
      <c r="O144" s="940"/>
      <c r="P144" s="919"/>
      <c r="Q144" s="919"/>
      <c r="U144" s="915" t="s">
        <v>2084</v>
      </c>
      <c r="V144" s="915" t="s">
        <v>2084</v>
      </c>
      <c r="X144" s="952">
        <v>42921</v>
      </c>
      <c r="Y144" s="952">
        <v>42922</v>
      </c>
      <c r="AA144" s="952"/>
      <c r="AB144" s="915" t="s">
        <v>1626</v>
      </c>
      <c r="AC144" s="915">
        <v>0</v>
      </c>
      <c r="AD144" s="915">
        <v>0</v>
      </c>
      <c r="AE144" s="915">
        <v>0</v>
      </c>
      <c r="AF144" s="915">
        <v>0</v>
      </c>
      <c r="AG144" s="915">
        <v>0</v>
      </c>
      <c r="AH144" s="915">
        <v>1</v>
      </c>
      <c r="AI144" s="915">
        <v>60225</v>
      </c>
      <c r="AJ144" s="915">
        <v>2010</v>
      </c>
      <c r="AK144" s="915">
        <v>0</v>
      </c>
      <c r="AL144" s="915">
        <v>0</v>
      </c>
      <c r="AO144" s="955"/>
      <c r="AP144" s="955"/>
      <c r="AQ144" s="915" t="str">
        <f t="shared" si="2"/>
        <v/>
      </c>
      <c r="AS144" s="915" t="str">
        <f t="shared" si="3"/>
        <v>wci_corp</v>
      </c>
    </row>
    <row r="145" spans="2:45">
      <c r="B145" s="915" t="s">
        <v>2365</v>
      </c>
      <c r="C145" s="952">
        <v>42916</v>
      </c>
      <c r="D145" s="953">
        <v>570.1</v>
      </c>
      <c r="E145" s="953">
        <v>0</v>
      </c>
      <c r="F145" s="954" t="s">
        <v>1613</v>
      </c>
      <c r="G145" s="915" t="s">
        <v>2082</v>
      </c>
      <c r="H145" s="955" t="s">
        <v>1615</v>
      </c>
      <c r="I145" s="915" t="s">
        <v>2083</v>
      </c>
      <c r="J145" s="915" t="s">
        <v>2018</v>
      </c>
      <c r="K145" s="915" t="s">
        <v>1618</v>
      </c>
      <c r="L145" s="919"/>
      <c r="M145" s="919"/>
      <c r="N145" s="919" t="s">
        <v>2446</v>
      </c>
      <c r="O145" s="940"/>
      <c r="P145" s="919"/>
      <c r="Q145" s="919"/>
      <c r="U145" s="915" t="s">
        <v>2084</v>
      </c>
      <c r="V145" s="915" t="s">
        <v>2084</v>
      </c>
      <c r="X145" s="952">
        <v>42921</v>
      </c>
      <c r="Y145" s="952">
        <v>42922</v>
      </c>
      <c r="AA145" s="952"/>
      <c r="AB145" s="915" t="s">
        <v>1626</v>
      </c>
      <c r="AC145" s="915">
        <v>0</v>
      </c>
      <c r="AD145" s="915">
        <v>0</v>
      </c>
      <c r="AE145" s="915">
        <v>0</v>
      </c>
      <c r="AF145" s="915">
        <v>0</v>
      </c>
      <c r="AG145" s="915">
        <v>0</v>
      </c>
      <c r="AH145" s="915">
        <v>1</v>
      </c>
      <c r="AI145" s="915">
        <v>60225</v>
      </c>
      <c r="AJ145" s="915">
        <v>2010</v>
      </c>
      <c r="AK145" s="915">
        <v>0</v>
      </c>
      <c r="AL145" s="915">
        <v>0</v>
      </c>
      <c r="AO145" s="955"/>
      <c r="AP145" s="955"/>
      <c r="AQ145" s="915" t="str">
        <f t="shared" si="2"/>
        <v/>
      </c>
      <c r="AS145" s="915" t="str">
        <f t="shared" si="3"/>
        <v>wci_corp</v>
      </c>
    </row>
    <row r="146" spans="2:45">
      <c r="B146" s="915" t="s">
        <v>2365</v>
      </c>
      <c r="C146" s="952">
        <v>42916</v>
      </c>
      <c r="D146" s="953">
        <v>115.32</v>
      </c>
      <c r="E146" s="953">
        <v>0</v>
      </c>
      <c r="F146" s="954" t="s">
        <v>1613</v>
      </c>
      <c r="G146" s="915" t="s">
        <v>2082</v>
      </c>
      <c r="H146" s="955" t="s">
        <v>1615</v>
      </c>
      <c r="I146" s="915" t="s">
        <v>2083</v>
      </c>
      <c r="J146" s="915" t="s">
        <v>2018</v>
      </c>
      <c r="K146" s="915" t="s">
        <v>1618</v>
      </c>
      <c r="L146" s="919"/>
      <c r="M146" s="919"/>
      <c r="N146" s="919" t="s">
        <v>2513</v>
      </c>
      <c r="O146" s="940"/>
      <c r="P146" s="919"/>
      <c r="Q146" s="919"/>
      <c r="U146" s="915" t="s">
        <v>2084</v>
      </c>
      <c r="V146" s="915" t="s">
        <v>2084</v>
      </c>
      <c r="X146" s="952">
        <v>42921</v>
      </c>
      <c r="Y146" s="952">
        <v>42922</v>
      </c>
      <c r="AA146" s="952"/>
      <c r="AB146" s="915" t="s">
        <v>1626</v>
      </c>
      <c r="AC146" s="915">
        <v>0</v>
      </c>
      <c r="AD146" s="915">
        <v>0</v>
      </c>
      <c r="AE146" s="915">
        <v>0</v>
      </c>
      <c r="AF146" s="915">
        <v>0</v>
      </c>
      <c r="AG146" s="915">
        <v>0</v>
      </c>
      <c r="AH146" s="915">
        <v>1</v>
      </c>
      <c r="AI146" s="915">
        <v>60225</v>
      </c>
      <c r="AJ146" s="915">
        <v>2010</v>
      </c>
      <c r="AK146" s="915">
        <v>0</v>
      </c>
      <c r="AL146" s="915">
        <v>0</v>
      </c>
      <c r="AO146" s="955"/>
      <c r="AP146" s="955"/>
      <c r="AQ146" s="915" t="str">
        <f t="shared" si="2"/>
        <v/>
      </c>
      <c r="AS146" s="915" t="str">
        <f t="shared" si="3"/>
        <v>wci_corp</v>
      </c>
    </row>
    <row r="147" spans="2:45">
      <c r="B147" s="915" t="s">
        <v>2365</v>
      </c>
      <c r="C147" s="952">
        <v>42916</v>
      </c>
      <c r="D147" s="953">
        <v>1506.63</v>
      </c>
      <c r="E147" s="953">
        <v>0</v>
      </c>
      <c r="F147" s="954" t="s">
        <v>1613</v>
      </c>
      <c r="G147" s="915" t="s">
        <v>2086</v>
      </c>
      <c r="H147" s="955" t="s">
        <v>1615</v>
      </c>
      <c r="I147" s="915" t="s">
        <v>2087</v>
      </c>
      <c r="J147" s="915" t="s">
        <v>1672</v>
      </c>
      <c r="K147" s="915" t="s">
        <v>1630</v>
      </c>
      <c r="L147" s="919"/>
      <c r="M147" s="919"/>
      <c r="N147" s="919" t="s">
        <v>2088</v>
      </c>
      <c r="O147" s="940"/>
      <c r="P147" s="919"/>
      <c r="Q147" s="919"/>
      <c r="U147" s="915" t="s">
        <v>2086</v>
      </c>
      <c r="X147" s="952">
        <v>42926</v>
      </c>
      <c r="Y147" s="952">
        <v>42926</v>
      </c>
      <c r="AA147" s="952"/>
      <c r="AB147" s="915" t="s">
        <v>1626</v>
      </c>
      <c r="AC147" s="915">
        <v>0</v>
      </c>
      <c r="AD147" s="915">
        <v>0</v>
      </c>
      <c r="AE147" s="915">
        <v>0</v>
      </c>
      <c r="AF147" s="915">
        <v>0</v>
      </c>
      <c r="AG147" s="915">
        <v>0</v>
      </c>
      <c r="AH147" s="915">
        <v>1</v>
      </c>
      <c r="AI147" s="915">
        <v>60225</v>
      </c>
      <c r="AJ147" s="915">
        <v>2010</v>
      </c>
      <c r="AK147" s="915">
        <v>0</v>
      </c>
      <c r="AL147" s="915">
        <v>0</v>
      </c>
      <c r="AO147" s="955"/>
      <c r="AP147" s="955"/>
      <c r="AQ147" s="915" t="str">
        <f t="shared" si="2"/>
        <v/>
      </c>
      <c r="AS147" s="915" t="str">
        <f t="shared" si="3"/>
        <v>wci_wa</v>
      </c>
    </row>
    <row r="148" spans="2:45">
      <c r="B148" s="915" t="s">
        <v>2365</v>
      </c>
      <c r="C148" s="952">
        <v>42916</v>
      </c>
      <c r="D148" s="953">
        <v>1425</v>
      </c>
      <c r="E148" s="953">
        <v>0</v>
      </c>
      <c r="F148" s="954" t="s">
        <v>1613</v>
      </c>
      <c r="G148" s="915" t="s">
        <v>2514</v>
      </c>
      <c r="H148" s="955" t="s">
        <v>1615</v>
      </c>
      <c r="I148" s="915" t="s">
        <v>2056</v>
      </c>
      <c r="J148" s="915" t="s">
        <v>2018</v>
      </c>
      <c r="K148" s="915" t="s">
        <v>1618</v>
      </c>
      <c r="L148" s="919"/>
      <c r="M148" s="919"/>
      <c r="N148" s="919" t="s">
        <v>2515</v>
      </c>
      <c r="O148" s="940"/>
      <c r="P148" s="919"/>
      <c r="Q148" s="919"/>
      <c r="U148" s="915" t="s">
        <v>2516</v>
      </c>
      <c r="V148" s="915" t="s">
        <v>2516</v>
      </c>
      <c r="X148" s="952">
        <v>42926</v>
      </c>
      <c r="Y148" s="952">
        <v>42926</v>
      </c>
      <c r="AA148" s="952"/>
      <c r="AB148" s="915" t="s">
        <v>1626</v>
      </c>
      <c r="AC148" s="915">
        <v>0</v>
      </c>
      <c r="AD148" s="915">
        <v>0</v>
      </c>
      <c r="AE148" s="915">
        <v>0</v>
      </c>
      <c r="AF148" s="915">
        <v>0</v>
      </c>
      <c r="AG148" s="915">
        <v>0</v>
      </c>
      <c r="AH148" s="915">
        <v>1</v>
      </c>
      <c r="AI148" s="915">
        <v>60225</v>
      </c>
      <c r="AJ148" s="915">
        <v>2010</v>
      </c>
      <c r="AK148" s="915">
        <v>0</v>
      </c>
      <c r="AL148" s="915">
        <v>0</v>
      </c>
      <c r="AO148" s="955"/>
      <c r="AP148" s="955"/>
      <c r="AQ148" s="915" t="str">
        <f t="shared" si="2"/>
        <v/>
      </c>
      <c r="AS148" s="915" t="str">
        <f t="shared" si="3"/>
        <v>wci_corp</v>
      </c>
    </row>
    <row r="149" spans="2:45">
      <c r="B149" s="915" t="s">
        <v>2365</v>
      </c>
      <c r="C149" s="952">
        <v>42916</v>
      </c>
      <c r="D149" s="953">
        <v>300</v>
      </c>
      <c r="E149" s="953">
        <v>0</v>
      </c>
      <c r="F149" s="954" t="s">
        <v>1613</v>
      </c>
      <c r="G149" s="915" t="s">
        <v>2089</v>
      </c>
      <c r="H149" s="955" t="s">
        <v>1615</v>
      </c>
      <c r="I149" s="915" t="s">
        <v>1999</v>
      </c>
      <c r="J149" s="915" t="s">
        <v>2018</v>
      </c>
      <c r="K149" s="915" t="s">
        <v>1618</v>
      </c>
      <c r="L149" s="919"/>
      <c r="M149" s="919"/>
      <c r="N149" s="919" t="s">
        <v>2433</v>
      </c>
      <c r="O149" s="940"/>
      <c r="P149" s="919"/>
      <c r="Q149" s="919"/>
      <c r="U149" s="915" t="s">
        <v>2090</v>
      </c>
      <c r="V149" s="915" t="s">
        <v>2090</v>
      </c>
      <c r="X149" s="952">
        <v>42926</v>
      </c>
      <c r="Y149" s="952">
        <v>42926</v>
      </c>
      <c r="AA149" s="952"/>
      <c r="AB149" s="915" t="s">
        <v>1626</v>
      </c>
      <c r="AC149" s="915">
        <v>0</v>
      </c>
      <c r="AD149" s="915">
        <v>0</v>
      </c>
      <c r="AE149" s="915">
        <v>0</v>
      </c>
      <c r="AF149" s="915">
        <v>0</v>
      </c>
      <c r="AG149" s="915">
        <v>0</v>
      </c>
      <c r="AH149" s="915">
        <v>1</v>
      </c>
      <c r="AI149" s="915">
        <v>60225</v>
      </c>
      <c r="AJ149" s="915">
        <v>2010</v>
      </c>
      <c r="AK149" s="915">
        <v>0</v>
      </c>
      <c r="AL149" s="915">
        <v>0</v>
      </c>
      <c r="AO149" s="955"/>
      <c r="AP149" s="955"/>
      <c r="AQ149" s="915" t="str">
        <f t="shared" ref="AQ149:AQ212" si="4">IF(LEFT(U149,2)="VO",U149,"")</f>
        <v/>
      </c>
      <c r="AS149" s="915" t="str">
        <f t="shared" ref="AS149:AS212" si="5">IF(RIGHT(K149,2)="IC",IF(OR(AB149="wci_canada",AB149="wci_can_corp"),"wci_can_Corp","wci_corp"),AB149)</f>
        <v>wci_corp</v>
      </c>
    </row>
    <row r="150" spans="2:45">
      <c r="B150" s="915" t="s">
        <v>2365</v>
      </c>
      <c r="C150" s="952">
        <v>42916</v>
      </c>
      <c r="D150" s="953">
        <v>420.96</v>
      </c>
      <c r="E150" s="953">
        <v>0</v>
      </c>
      <c r="F150" s="954" t="s">
        <v>1613</v>
      </c>
      <c r="G150" s="915" t="s">
        <v>2089</v>
      </c>
      <c r="H150" s="955" t="s">
        <v>1615</v>
      </c>
      <c r="I150" s="915" t="s">
        <v>1999</v>
      </c>
      <c r="J150" s="915" t="s">
        <v>2018</v>
      </c>
      <c r="K150" s="915" t="s">
        <v>1618</v>
      </c>
      <c r="L150" s="919"/>
      <c r="M150" s="919"/>
      <c r="N150" s="919" t="s">
        <v>2503</v>
      </c>
      <c r="O150" s="940"/>
      <c r="P150" s="919"/>
      <c r="Q150" s="919"/>
      <c r="U150" s="915" t="s">
        <v>2090</v>
      </c>
      <c r="V150" s="915" t="s">
        <v>2090</v>
      </c>
      <c r="X150" s="952">
        <v>42926</v>
      </c>
      <c r="Y150" s="952">
        <v>42926</v>
      </c>
      <c r="AA150" s="952"/>
      <c r="AB150" s="915" t="s">
        <v>1626</v>
      </c>
      <c r="AC150" s="915">
        <v>0</v>
      </c>
      <c r="AD150" s="915">
        <v>0</v>
      </c>
      <c r="AE150" s="915">
        <v>0</v>
      </c>
      <c r="AF150" s="915">
        <v>0</v>
      </c>
      <c r="AG150" s="915">
        <v>0</v>
      </c>
      <c r="AH150" s="915">
        <v>1</v>
      </c>
      <c r="AI150" s="915">
        <v>60225</v>
      </c>
      <c r="AJ150" s="915">
        <v>2010</v>
      </c>
      <c r="AK150" s="915">
        <v>0</v>
      </c>
      <c r="AL150" s="915">
        <v>0</v>
      </c>
      <c r="AO150" s="955"/>
      <c r="AP150" s="955"/>
      <c r="AQ150" s="915" t="str">
        <f t="shared" si="4"/>
        <v/>
      </c>
      <c r="AS150" s="915" t="str">
        <f t="shared" si="5"/>
        <v>wci_corp</v>
      </c>
    </row>
    <row r="151" spans="2:45">
      <c r="B151" s="915" t="s">
        <v>2365</v>
      </c>
      <c r="C151" s="952">
        <v>42916</v>
      </c>
      <c r="D151" s="953">
        <v>1807.21</v>
      </c>
      <c r="E151" s="953">
        <v>0</v>
      </c>
      <c r="F151" s="954" t="s">
        <v>1613</v>
      </c>
      <c r="G151" s="915" t="s">
        <v>2089</v>
      </c>
      <c r="H151" s="955" t="s">
        <v>1615</v>
      </c>
      <c r="I151" s="915" t="s">
        <v>1999</v>
      </c>
      <c r="J151" s="915" t="s">
        <v>2018</v>
      </c>
      <c r="K151" s="915" t="s">
        <v>1618</v>
      </c>
      <c r="L151" s="919"/>
      <c r="M151" s="919"/>
      <c r="N151" s="919" t="s">
        <v>2505</v>
      </c>
      <c r="O151" s="940"/>
      <c r="P151" s="919"/>
      <c r="Q151" s="919"/>
      <c r="U151" s="915" t="s">
        <v>2090</v>
      </c>
      <c r="V151" s="915" t="s">
        <v>2090</v>
      </c>
      <c r="X151" s="952">
        <v>42926</v>
      </c>
      <c r="Y151" s="952">
        <v>42926</v>
      </c>
      <c r="AA151" s="952"/>
      <c r="AB151" s="915" t="s">
        <v>1626</v>
      </c>
      <c r="AC151" s="915">
        <v>0</v>
      </c>
      <c r="AD151" s="915">
        <v>0</v>
      </c>
      <c r="AE151" s="915">
        <v>0</v>
      </c>
      <c r="AF151" s="915">
        <v>0</v>
      </c>
      <c r="AG151" s="915">
        <v>0</v>
      </c>
      <c r="AH151" s="915">
        <v>1</v>
      </c>
      <c r="AI151" s="915">
        <v>60225</v>
      </c>
      <c r="AJ151" s="915">
        <v>2010</v>
      </c>
      <c r="AK151" s="915">
        <v>0</v>
      </c>
      <c r="AL151" s="915">
        <v>0</v>
      </c>
      <c r="AO151" s="955"/>
      <c r="AP151" s="955"/>
      <c r="AQ151" s="915" t="str">
        <f t="shared" si="4"/>
        <v/>
      </c>
      <c r="AS151" s="915" t="str">
        <f t="shared" si="5"/>
        <v>wci_corp</v>
      </c>
    </row>
    <row r="152" spans="2:45">
      <c r="B152" s="915" t="s">
        <v>2365</v>
      </c>
      <c r="C152" s="952">
        <v>42916</v>
      </c>
      <c r="D152" s="953">
        <v>114.63</v>
      </c>
      <c r="E152" s="953">
        <v>0</v>
      </c>
      <c r="F152" s="954" t="s">
        <v>1613</v>
      </c>
      <c r="G152" s="915" t="s">
        <v>2089</v>
      </c>
      <c r="H152" s="955" t="s">
        <v>1615</v>
      </c>
      <c r="I152" s="915" t="s">
        <v>1999</v>
      </c>
      <c r="J152" s="915" t="s">
        <v>2018</v>
      </c>
      <c r="K152" s="915" t="s">
        <v>1618</v>
      </c>
      <c r="L152" s="919"/>
      <c r="M152" s="919"/>
      <c r="N152" s="919" t="s">
        <v>2506</v>
      </c>
      <c r="O152" s="940"/>
      <c r="P152" s="919"/>
      <c r="Q152" s="919"/>
      <c r="U152" s="915" t="s">
        <v>2090</v>
      </c>
      <c r="V152" s="915" t="s">
        <v>2090</v>
      </c>
      <c r="X152" s="952">
        <v>42926</v>
      </c>
      <c r="Y152" s="952">
        <v>42926</v>
      </c>
      <c r="AA152" s="952"/>
      <c r="AB152" s="915" t="s">
        <v>1626</v>
      </c>
      <c r="AC152" s="915">
        <v>0</v>
      </c>
      <c r="AD152" s="915">
        <v>0</v>
      </c>
      <c r="AE152" s="915">
        <v>0</v>
      </c>
      <c r="AF152" s="915">
        <v>0</v>
      </c>
      <c r="AG152" s="915">
        <v>0</v>
      </c>
      <c r="AH152" s="915">
        <v>1</v>
      </c>
      <c r="AI152" s="915">
        <v>60225</v>
      </c>
      <c r="AJ152" s="915">
        <v>2010</v>
      </c>
      <c r="AK152" s="915">
        <v>0</v>
      </c>
      <c r="AL152" s="915">
        <v>0</v>
      </c>
      <c r="AO152" s="955"/>
      <c r="AP152" s="955"/>
      <c r="AQ152" s="915" t="str">
        <f t="shared" si="4"/>
        <v/>
      </c>
      <c r="AS152" s="915" t="str">
        <f t="shared" si="5"/>
        <v>wci_corp</v>
      </c>
    </row>
    <row r="153" spans="2:45">
      <c r="B153" s="915" t="s">
        <v>2365</v>
      </c>
      <c r="C153" s="952">
        <v>42916</v>
      </c>
      <c r="D153" s="953">
        <v>917.88</v>
      </c>
      <c r="E153" s="953">
        <v>0</v>
      </c>
      <c r="F153" s="954" t="s">
        <v>1613</v>
      </c>
      <c r="G153" s="915" t="s">
        <v>2089</v>
      </c>
      <c r="H153" s="955" t="s">
        <v>1615</v>
      </c>
      <c r="I153" s="915" t="s">
        <v>1999</v>
      </c>
      <c r="J153" s="915" t="s">
        <v>2018</v>
      </c>
      <c r="K153" s="915" t="s">
        <v>1618</v>
      </c>
      <c r="L153" s="919"/>
      <c r="M153" s="919"/>
      <c r="N153" s="919" t="s">
        <v>2507</v>
      </c>
      <c r="O153" s="940"/>
      <c r="P153" s="919"/>
      <c r="Q153" s="919"/>
      <c r="U153" s="915" t="s">
        <v>2090</v>
      </c>
      <c r="V153" s="915" t="s">
        <v>2090</v>
      </c>
      <c r="X153" s="952">
        <v>42926</v>
      </c>
      <c r="Y153" s="952">
        <v>42926</v>
      </c>
      <c r="AA153" s="952"/>
      <c r="AB153" s="915" t="s">
        <v>1626</v>
      </c>
      <c r="AC153" s="915">
        <v>0</v>
      </c>
      <c r="AD153" s="915">
        <v>0</v>
      </c>
      <c r="AE153" s="915">
        <v>0</v>
      </c>
      <c r="AF153" s="915">
        <v>0</v>
      </c>
      <c r="AG153" s="915">
        <v>0</v>
      </c>
      <c r="AH153" s="915">
        <v>1</v>
      </c>
      <c r="AI153" s="915">
        <v>60225</v>
      </c>
      <c r="AJ153" s="915">
        <v>2010</v>
      </c>
      <c r="AK153" s="915">
        <v>0</v>
      </c>
      <c r="AL153" s="915">
        <v>0</v>
      </c>
      <c r="AO153" s="955"/>
      <c r="AP153" s="955"/>
      <c r="AQ153" s="915" t="str">
        <f t="shared" si="4"/>
        <v/>
      </c>
      <c r="AS153" s="915" t="str">
        <f t="shared" si="5"/>
        <v>wci_corp</v>
      </c>
    </row>
    <row r="154" spans="2:45">
      <c r="B154" s="915" t="s">
        <v>2365</v>
      </c>
      <c r="C154" s="952">
        <v>42916</v>
      </c>
      <c r="D154" s="953">
        <v>362.58</v>
      </c>
      <c r="E154" s="953">
        <v>0</v>
      </c>
      <c r="F154" s="954" t="s">
        <v>1613</v>
      </c>
      <c r="G154" s="915" t="s">
        <v>2089</v>
      </c>
      <c r="H154" s="955" t="s">
        <v>1615</v>
      </c>
      <c r="I154" s="915" t="s">
        <v>1999</v>
      </c>
      <c r="J154" s="915" t="s">
        <v>2018</v>
      </c>
      <c r="K154" s="915" t="s">
        <v>1618</v>
      </c>
      <c r="L154" s="919"/>
      <c r="M154" s="919"/>
      <c r="N154" s="919" t="s">
        <v>2517</v>
      </c>
      <c r="O154" s="940"/>
      <c r="P154" s="919"/>
      <c r="Q154" s="919"/>
      <c r="U154" s="915" t="s">
        <v>2090</v>
      </c>
      <c r="V154" s="915" t="s">
        <v>2090</v>
      </c>
      <c r="X154" s="952">
        <v>42926</v>
      </c>
      <c r="Y154" s="952">
        <v>42926</v>
      </c>
      <c r="AA154" s="952"/>
      <c r="AB154" s="915" t="s">
        <v>1626</v>
      </c>
      <c r="AC154" s="915">
        <v>0</v>
      </c>
      <c r="AD154" s="915">
        <v>0</v>
      </c>
      <c r="AE154" s="915">
        <v>0</v>
      </c>
      <c r="AF154" s="915">
        <v>0</v>
      </c>
      <c r="AG154" s="915">
        <v>0</v>
      </c>
      <c r="AH154" s="915">
        <v>1</v>
      </c>
      <c r="AI154" s="915">
        <v>60225</v>
      </c>
      <c r="AJ154" s="915">
        <v>2010</v>
      </c>
      <c r="AK154" s="915">
        <v>0</v>
      </c>
      <c r="AL154" s="915">
        <v>0</v>
      </c>
      <c r="AO154" s="955"/>
      <c r="AP154" s="955"/>
      <c r="AQ154" s="915" t="str">
        <f t="shared" si="4"/>
        <v/>
      </c>
      <c r="AS154" s="915" t="str">
        <f t="shared" si="5"/>
        <v>wci_corp</v>
      </c>
    </row>
    <row r="155" spans="2:45">
      <c r="B155" s="915" t="s">
        <v>2365</v>
      </c>
      <c r="C155" s="952">
        <v>42916</v>
      </c>
      <c r="D155" s="953">
        <v>380</v>
      </c>
      <c r="E155" s="953">
        <v>0</v>
      </c>
      <c r="F155" s="954" t="s">
        <v>1613</v>
      </c>
      <c r="G155" s="915" t="s">
        <v>2089</v>
      </c>
      <c r="H155" s="955" t="s">
        <v>1615</v>
      </c>
      <c r="I155" s="915" t="s">
        <v>1999</v>
      </c>
      <c r="J155" s="915" t="s">
        <v>2018</v>
      </c>
      <c r="K155" s="915" t="s">
        <v>1618</v>
      </c>
      <c r="L155" s="919"/>
      <c r="M155" s="919"/>
      <c r="N155" s="919" t="s">
        <v>2518</v>
      </c>
      <c r="O155" s="940"/>
      <c r="P155" s="919"/>
      <c r="Q155" s="919"/>
      <c r="U155" s="915" t="s">
        <v>2090</v>
      </c>
      <c r="V155" s="915" t="s">
        <v>2090</v>
      </c>
      <c r="X155" s="952">
        <v>42926</v>
      </c>
      <c r="Y155" s="952">
        <v>42926</v>
      </c>
      <c r="AA155" s="952"/>
      <c r="AB155" s="915" t="s">
        <v>1626</v>
      </c>
      <c r="AC155" s="915">
        <v>0</v>
      </c>
      <c r="AD155" s="915">
        <v>0</v>
      </c>
      <c r="AE155" s="915">
        <v>0</v>
      </c>
      <c r="AF155" s="915">
        <v>0</v>
      </c>
      <c r="AG155" s="915">
        <v>0</v>
      </c>
      <c r="AH155" s="915">
        <v>1</v>
      </c>
      <c r="AI155" s="915">
        <v>60225</v>
      </c>
      <c r="AJ155" s="915">
        <v>2010</v>
      </c>
      <c r="AK155" s="915">
        <v>0</v>
      </c>
      <c r="AL155" s="915">
        <v>0</v>
      </c>
      <c r="AO155" s="955"/>
      <c r="AP155" s="955"/>
      <c r="AQ155" s="915" t="str">
        <f t="shared" si="4"/>
        <v/>
      </c>
      <c r="AS155" s="915" t="str">
        <f t="shared" si="5"/>
        <v>wci_corp</v>
      </c>
    </row>
    <row r="156" spans="2:45">
      <c r="B156" s="915" t="s">
        <v>2365</v>
      </c>
      <c r="C156" s="952">
        <v>42916</v>
      </c>
      <c r="D156" s="953">
        <v>75</v>
      </c>
      <c r="E156" s="953">
        <v>0</v>
      </c>
      <c r="F156" s="954" t="s">
        <v>1613</v>
      </c>
      <c r="G156" s="915" t="s">
        <v>2089</v>
      </c>
      <c r="H156" s="955" t="s">
        <v>1615</v>
      </c>
      <c r="I156" s="915" t="s">
        <v>1999</v>
      </c>
      <c r="J156" s="915" t="s">
        <v>2018</v>
      </c>
      <c r="K156" s="915" t="s">
        <v>1618</v>
      </c>
      <c r="L156" s="919"/>
      <c r="M156" s="919"/>
      <c r="N156" s="919" t="s">
        <v>2519</v>
      </c>
      <c r="O156" s="940"/>
      <c r="P156" s="919"/>
      <c r="Q156" s="919"/>
      <c r="U156" s="915" t="s">
        <v>2090</v>
      </c>
      <c r="V156" s="915" t="s">
        <v>2090</v>
      </c>
      <c r="X156" s="952">
        <v>42926</v>
      </c>
      <c r="Y156" s="952">
        <v>42926</v>
      </c>
      <c r="AA156" s="952"/>
      <c r="AB156" s="915" t="s">
        <v>1626</v>
      </c>
      <c r="AC156" s="915">
        <v>0</v>
      </c>
      <c r="AD156" s="915">
        <v>0</v>
      </c>
      <c r="AE156" s="915">
        <v>0</v>
      </c>
      <c r="AF156" s="915">
        <v>0</v>
      </c>
      <c r="AG156" s="915">
        <v>0</v>
      </c>
      <c r="AH156" s="915">
        <v>1</v>
      </c>
      <c r="AI156" s="915">
        <v>60225</v>
      </c>
      <c r="AJ156" s="915">
        <v>2010</v>
      </c>
      <c r="AK156" s="915">
        <v>0</v>
      </c>
      <c r="AL156" s="915">
        <v>0</v>
      </c>
      <c r="AO156" s="955"/>
      <c r="AP156" s="955"/>
      <c r="AQ156" s="915" t="str">
        <f t="shared" si="4"/>
        <v/>
      </c>
      <c r="AS156" s="915" t="str">
        <f t="shared" si="5"/>
        <v>wci_corp</v>
      </c>
    </row>
    <row r="157" spans="2:45">
      <c r="B157" s="915" t="s">
        <v>2365</v>
      </c>
      <c r="C157" s="952">
        <v>42947</v>
      </c>
      <c r="D157" s="953">
        <v>-1425</v>
      </c>
      <c r="E157" s="953">
        <v>0</v>
      </c>
      <c r="F157" s="954" t="s">
        <v>1613</v>
      </c>
      <c r="G157" s="915" t="s">
        <v>2520</v>
      </c>
      <c r="H157" s="955" t="s">
        <v>1615</v>
      </c>
      <c r="I157" s="915" t="s">
        <v>2056</v>
      </c>
      <c r="J157" s="915" t="s">
        <v>2025</v>
      </c>
      <c r="K157" s="915" t="s">
        <v>1618</v>
      </c>
      <c r="L157" s="919"/>
      <c r="M157" s="919"/>
      <c r="N157" s="919" t="s">
        <v>2515</v>
      </c>
      <c r="O157" s="940"/>
      <c r="P157" s="919"/>
      <c r="Q157" s="919"/>
      <c r="U157" s="915" t="s">
        <v>2516</v>
      </c>
      <c r="V157" s="915" t="s">
        <v>2521</v>
      </c>
      <c r="X157" s="952">
        <v>42926</v>
      </c>
      <c r="Y157" s="952">
        <v>42927</v>
      </c>
      <c r="AA157" s="952"/>
      <c r="AB157" s="915" t="s">
        <v>1626</v>
      </c>
      <c r="AC157" s="915">
        <v>0</v>
      </c>
      <c r="AD157" s="915">
        <v>0</v>
      </c>
      <c r="AE157" s="915">
        <v>0</v>
      </c>
      <c r="AF157" s="915">
        <v>0</v>
      </c>
      <c r="AG157" s="915">
        <v>5</v>
      </c>
      <c r="AH157" s="915">
        <v>1</v>
      </c>
      <c r="AI157" s="915">
        <v>60225</v>
      </c>
      <c r="AJ157" s="915">
        <v>2010</v>
      </c>
      <c r="AK157" s="915">
        <v>0</v>
      </c>
      <c r="AL157" s="915">
        <v>0</v>
      </c>
      <c r="AO157" s="955"/>
      <c r="AP157" s="955"/>
      <c r="AQ157" s="915" t="str">
        <f t="shared" si="4"/>
        <v/>
      </c>
      <c r="AS157" s="915" t="str">
        <f t="shared" si="5"/>
        <v>wci_corp</v>
      </c>
    </row>
    <row r="158" spans="2:45">
      <c r="B158" s="915" t="s">
        <v>2365</v>
      </c>
      <c r="C158" s="952">
        <v>42947</v>
      </c>
      <c r="D158" s="953">
        <v>-300</v>
      </c>
      <c r="E158" s="953">
        <v>0</v>
      </c>
      <c r="F158" s="954" t="s">
        <v>1613</v>
      </c>
      <c r="G158" s="915" t="s">
        <v>2094</v>
      </c>
      <c r="H158" s="955" t="s">
        <v>1615</v>
      </c>
      <c r="I158" s="915" t="s">
        <v>1999</v>
      </c>
      <c r="J158" s="915" t="s">
        <v>2025</v>
      </c>
      <c r="K158" s="915" t="s">
        <v>1618</v>
      </c>
      <c r="L158" s="919"/>
      <c r="M158" s="919"/>
      <c r="N158" s="919" t="s">
        <v>2433</v>
      </c>
      <c r="O158" s="940"/>
      <c r="P158" s="919"/>
      <c r="Q158" s="919"/>
      <c r="U158" s="915" t="s">
        <v>2090</v>
      </c>
      <c r="V158" s="915" t="s">
        <v>2095</v>
      </c>
      <c r="X158" s="952">
        <v>42926</v>
      </c>
      <c r="Y158" s="952">
        <v>42927</v>
      </c>
      <c r="AA158" s="952"/>
      <c r="AB158" s="915" t="s">
        <v>1626</v>
      </c>
      <c r="AC158" s="915">
        <v>0</v>
      </c>
      <c r="AD158" s="915">
        <v>0</v>
      </c>
      <c r="AE158" s="915">
        <v>0</v>
      </c>
      <c r="AF158" s="915">
        <v>0</v>
      </c>
      <c r="AG158" s="915">
        <v>5</v>
      </c>
      <c r="AH158" s="915">
        <v>1</v>
      </c>
      <c r="AI158" s="915">
        <v>60225</v>
      </c>
      <c r="AJ158" s="915">
        <v>2010</v>
      </c>
      <c r="AK158" s="915">
        <v>0</v>
      </c>
      <c r="AL158" s="915">
        <v>0</v>
      </c>
      <c r="AO158" s="955"/>
      <c r="AP158" s="955"/>
      <c r="AQ158" s="915" t="str">
        <f t="shared" si="4"/>
        <v/>
      </c>
      <c r="AS158" s="915" t="str">
        <f t="shared" si="5"/>
        <v>wci_corp</v>
      </c>
    </row>
    <row r="159" spans="2:45">
      <c r="B159" s="915" t="s">
        <v>2365</v>
      </c>
      <c r="C159" s="952">
        <v>42947</v>
      </c>
      <c r="D159" s="953">
        <v>-420.96</v>
      </c>
      <c r="E159" s="953">
        <v>0</v>
      </c>
      <c r="F159" s="954" t="s">
        <v>1613</v>
      </c>
      <c r="G159" s="915" t="s">
        <v>2094</v>
      </c>
      <c r="H159" s="955" t="s">
        <v>1615</v>
      </c>
      <c r="I159" s="915" t="s">
        <v>1999</v>
      </c>
      <c r="J159" s="915" t="s">
        <v>2025</v>
      </c>
      <c r="K159" s="915" t="s">
        <v>1618</v>
      </c>
      <c r="L159" s="919"/>
      <c r="M159" s="919"/>
      <c r="N159" s="919" t="s">
        <v>2503</v>
      </c>
      <c r="O159" s="940"/>
      <c r="P159" s="919"/>
      <c r="Q159" s="919"/>
      <c r="U159" s="915" t="s">
        <v>2090</v>
      </c>
      <c r="V159" s="915" t="s">
        <v>2095</v>
      </c>
      <c r="X159" s="952">
        <v>42926</v>
      </c>
      <c r="Y159" s="952">
        <v>42927</v>
      </c>
      <c r="AA159" s="952"/>
      <c r="AB159" s="915" t="s">
        <v>1626</v>
      </c>
      <c r="AC159" s="915">
        <v>0</v>
      </c>
      <c r="AD159" s="915">
        <v>0</v>
      </c>
      <c r="AE159" s="915">
        <v>0</v>
      </c>
      <c r="AF159" s="915">
        <v>0</v>
      </c>
      <c r="AG159" s="915">
        <v>5</v>
      </c>
      <c r="AH159" s="915">
        <v>1</v>
      </c>
      <c r="AI159" s="915">
        <v>60225</v>
      </c>
      <c r="AJ159" s="915">
        <v>2010</v>
      </c>
      <c r="AK159" s="915">
        <v>0</v>
      </c>
      <c r="AL159" s="915">
        <v>0</v>
      </c>
      <c r="AO159" s="955"/>
      <c r="AP159" s="955"/>
      <c r="AQ159" s="915" t="str">
        <f t="shared" si="4"/>
        <v/>
      </c>
      <c r="AS159" s="915" t="str">
        <f t="shared" si="5"/>
        <v>wci_corp</v>
      </c>
    </row>
    <row r="160" spans="2:45">
      <c r="B160" s="915" t="s">
        <v>2365</v>
      </c>
      <c r="C160" s="952">
        <v>42947</v>
      </c>
      <c r="D160" s="953">
        <v>-1807.21</v>
      </c>
      <c r="E160" s="953">
        <v>0</v>
      </c>
      <c r="F160" s="954" t="s">
        <v>1613</v>
      </c>
      <c r="G160" s="915" t="s">
        <v>2094</v>
      </c>
      <c r="H160" s="955" t="s">
        <v>1615</v>
      </c>
      <c r="I160" s="915" t="s">
        <v>1999</v>
      </c>
      <c r="J160" s="915" t="s">
        <v>2025</v>
      </c>
      <c r="K160" s="915" t="s">
        <v>1618</v>
      </c>
      <c r="L160" s="919"/>
      <c r="M160" s="919"/>
      <c r="N160" s="919" t="s">
        <v>2505</v>
      </c>
      <c r="O160" s="940"/>
      <c r="P160" s="919"/>
      <c r="Q160" s="919"/>
      <c r="U160" s="915" t="s">
        <v>2090</v>
      </c>
      <c r="V160" s="915" t="s">
        <v>2095</v>
      </c>
      <c r="X160" s="952">
        <v>42926</v>
      </c>
      <c r="Y160" s="952">
        <v>42927</v>
      </c>
      <c r="AA160" s="952"/>
      <c r="AB160" s="915" t="s">
        <v>1626</v>
      </c>
      <c r="AC160" s="915">
        <v>0</v>
      </c>
      <c r="AD160" s="915">
        <v>0</v>
      </c>
      <c r="AE160" s="915">
        <v>0</v>
      </c>
      <c r="AF160" s="915">
        <v>0</v>
      </c>
      <c r="AG160" s="915">
        <v>5</v>
      </c>
      <c r="AH160" s="915">
        <v>1</v>
      </c>
      <c r="AI160" s="915">
        <v>60225</v>
      </c>
      <c r="AJ160" s="915">
        <v>2010</v>
      </c>
      <c r="AK160" s="915">
        <v>0</v>
      </c>
      <c r="AL160" s="915">
        <v>0</v>
      </c>
      <c r="AO160" s="955"/>
      <c r="AP160" s="955"/>
      <c r="AQ160" s="915" t="str">
        <f t="shared" si="4"/>
        <v/>
      </c>
      <c r="AS160" s="915" t="str">
        <f t="shared" si="5"/>
        <v>wci_corp</v>
      </c>
    </row>
    <row r="161" spans="2:45">
      <c r="B161" s="915" t="s">
        <v>2365</v>
      </c>
      <c r="C161" s="952">
        <v>42947</v>
      </c>
      <c r="D161" s="953">
        <v>-114.63</v>
      </c>
      <c r="E161" s="953">
        <v>0</v>
      </c>
      <c r="F161" s="954" t="s">
        <v>1613</v>
      </c>
      <c r="G161" s="915" t="s">
        <v>2094</v>
      </c>
      <c r="H161" s="955" t="s">
        <v>1615</v>
      </c>
      <c r="I161" s="915" t="s">
        <v>1999</v>
      </c>
      <c r="J161" s="915" t="s">
        <v>2025</v>
      </c>
      <c r="K161" s="915" t="s">
        <v>1618</v>
      </c>
      <c r="L161" s="919"/>
      <c r="M161" s="919"/>
      <c r="N161" s="919" t="s">
        <v>2506</v>
      </c>
      <c r="O161" s="940"/>
      <c r="P161" s="919"/>
      <c r="Q161" s="919"/>
      <c r="U161" s="915" t="s">
        <v>2090</v>
      </c>
      <c r="V161" s="915" t="s">
        <v>2095</v>
      </c>
      <c r="X161" s="952">
        <v>42926</v>
      </c>
      <c r="Y161" s="952">
        <v>42927</v>
      </c>
      <c r="AA161" s="952"/>
      <c r="AB161" s="915" t="s">
        <v>1626</v>
      </c>
      <c r="AC161" s="915">
        <v>0</v>
      </c>
      <c r="AD161" s="915">
        <v>0</v>
      </c>
      <c r="AE161" s="915">
        <v>0</v>
      </c>
      <c r="AF161" s="915">
        <v>0</v>
      </c>
      <c r="AG161" s="915">
        <v>5</v>
      </c>
      <c r="AH161" s="915">
        <v>1</v>
      </c>
      <c r="AI161" s="915">
        <v>60225</v>
      </c>
      <c r="AJ161" s="915">
        <v>2010</v>
      </c>
      <c r="AK161" s="915">
        <v>0</v>
      </c>
      <c r="AL161" s="915">
        <v>0</v>
      </c>
      <c r="AO161" s="955"/>
      <c r="AP161" s="955"/>
      <c r="AQ161" s="915" t="str">
        <f t="shared" si="4"/>
        <v/>
      </c>
      <c r="AS161" s="915" t="str">
        <f t="shared" si="5"/>
        <v>wci_corp</v>
      </c>
    </row>
    <row r="162" spans="2:45">
      <c r="B162" s="915" t="s">
        <v>2365</v>
      </c>
      <c r="C162" s="952">
        <v>42947</v>
      </c>
      <c r="D162" s="953">
        <v>-917.88</v>
      </c>
      <c r="E162" s="953">
        <v>0</v>
      </c>
      <c r="F162" s="954" t="s">
        <v>1613</v>
      </c>
      <c r="G162" s="915" t="s">
        <v>2094</v>
      </c>
      <c r="H162" s="955" t="s">
        <v>1615</v>
      </c>
      <c r="I162" s="915" t="s">
        <v>1999</v>
      </c>
      <c r="J162" s="915" t="s">
        <v>2025</v>
      </c>
      <c r="K162" s="915" t="s">
        <v>1618</v>
      </c>
      <c r="L162" s="919"/>
      <c r="M162" s="919"/>
      <c r="N162" s="919" t="s">
        <v>2507</v>
      </c>
      <c r="O162" s="940"/>
      <c r="P162" s="919"/>
      <c r="Q162" s="919"/>
      <c r="U162" s="915" t="s">
        <v>2090</v>
      </c>
      <c r="V162" s="915" t="s">
        <v>2095</v>
      </c>
      <c r="X162" s="952">
        <v>42926</v>
      </c>
      <c r="Y162" s="952">
        <v>42927</v>
      </c>
      <c r="AA162" s="952"/>
      <c r="AB162" s="915" t="s">
        <v>1626</v>
      </c>
      <c r="AC162" s="915">
        <v>0</v>
      </c>
      <c r="AD162" s="915">
        <v>0</v>
      </c>
      <c r="AE162" s="915">
        <v>0</v>
      </c>
      <c r="AF162" s="915">
        <v>0</v>
      </c>
      <c r="AG162" s="915">
        <v>5</v>
      </c>
      <c r="AH162" s="915">
        <v>1</v>
      </c>
      <c r="AI162" s="915">
        <v>60225</v>
      </c>
      <c r="AJ162" s="915">
        <v>2010</v>
      </c>
      <c r="AK162" s="915">
        <v>0</v>
      </c>
      <c r="AL162" s="915">
        <v>0</v>
      </c>
      <c r="AO162" s="955"/>
      <c r="AP162" s="955"/>
      <c r="AQ162" s="915" t="str">
        <f t="shared" si="4"/>
        <v/>
      </c>
      <c r="AS162" s="915" t="str">
        <f t="shared" si="5"/>
        <v>wci_corp</v>
      </c>
    </row>
    <row r="163" spans="2:45">
      <c r="B163" s="915" t="s">
        <v>2365</v>
      </c>
      <c r="C163" s="952">
        <v>42947</v>
      </c>
      <c r="D163" s="953">
        <v>-362.58</v>
      </c>
      <c r="E163" s="953">
        <v>0</v>
      </c>
      <c r="F163" s="954" t="s">
        <v>1613</v>
      </c>
      <c r="G163" s="915" t="s">
        <v>2094</v>
      </c>
      <c r="H163" s="955" t="s">
        <v>1615</v>
      </c>
      <c r="I163" s="915" t="s">
        <v>1999</v>
      </c>
      <c r="J163" s="915" t="s">
        <v>2025</v>
      </c>
      <c r="K163" s="915" t="s">
        <v>1618</v>
      </c>
      <c r="L163" s="919"/>
      <c r="M163" s="919"/>
      <c r="N163" s="919" t="s">
        <v>2517</v>
      </c>
      <c r="O163" s="940"/>
      <c r="P163" s="919"/>
      <c r="Q163" s="919"/>
      <c r="U163" s="915" t="s">
        <v>2090</v>
      </c>
      <c r="V163" s="915" t="s">
        <v>2095</v>
      </c>
      <c r="X163" s="952">
        <v>42926</v>
      </c>
      <c r="Y163" s="952">
        <v>42927</v>
      </c>
      <c r="AA163" s="952"/>
      <c r="AB163" s="915" t="s">
        <v>1626</v>
      </c>
      <c r="AC163" s="915">
        <v>0</v>
      </c>
      <c r="AD163" s="915">
        <v>0</v>
      </c>
      <c r="AE163" s="915">
        <v>0</v>
      </c>
      <c r="AF163" s="915">
        <v>0</v>
      </c>
      <c r="AG163" s="915">
        <v>5</v>
      </c>
      <c r="AH163" s="915">
        <v>1</v>
      </c>
      <c r="AI163" s="915">
        <v>60225</v>
      </c>
      <c r="AJ163" s="915">
        <v>2010</v>
      </c>
      <c r="AK163" s="915">
        <v>0</v>
      </c>
      <c r="AL163" s="915">
        <v>0</v>
      </c>
      <c r="AO163" s="955"/>
      <c r="AP163" s="955"/>
      <c r="AQ163" s="915" t="str">
        <f t="shared" si="4"/>
        <v/>
      </c>
      <c r="AS163" s="915" t="str">
        <f t="shared" si="5"/>
        <v>wci_corp</v>
      </c>
    </row>
    <row r="164" spans="2:45">
      <c r="B164" s="915" t="s">
        <v>2365</v>
      </c>
      <c r="C164" s="952">
        <v>42947</v>
      </c>
      <c r="D164" s="953">
        <v>-380</v>
      </c>
      <c r="E164" s="953">
        <v>0</v>
      </c>
      <c r="F164" s="954" t="s">
        <v>1613</v>
      </c>
      <c r="G164" s="915" t="s">
        <v>2094</v>
      </c>
      <c r="H164" s="955" t="s">
        <v>1615</v>
      </c>
      <c r="I164" s="915" t="s">
        <v>1999</v>
      </c>
      <c r="J164" s="915" t="s">
        <v>2025</v>
      </c>
      <c r="K164" s="915" t="s">
        <v>1618</v>
      </c>
      <c r="L164" s="919"/>
      <c r="M164" s="919"/>
      <c r="N164" s="919" t="s">
        <v>2518</v>
      </c>
      <c r="O164" s="940"/>
      <c r="P164" s="919"/>
      <c r="Q164" s="919"/>
      <c r="U164" s="915" t="s">
        <v>2090</v>
      </c>
      <c r="V164" s="915" t="s">
        <v>2095</v>
      </c>
      <c r="X164" s="952">
        <v>42926</v>
      </c>
      <c r="Y164" s="952">
        <v>42927</v>
      </c>
      <c r="AA164" s="952"/>
      <c r="AB164" s="915" t="s">
        <v>1626</v>
      </c>
      <c r="AC164" s="915">
        <v>0</v>
      </c>
      <c r="AD164" s="915">
        <v>0</v>
      </c>
      <c r="AE164" s="915">
        <v>0</v>
      </c>
      <c r="AF164" s="915">
        <v>0</v>
      </c>
      <c r="AG164" s="915">
        <v>5</v>
      </c>
      <c r="AH164" s="915">
        <v>1</v>
      </c>
      <c r="AI164" s="915">
        <v>60225</v>
      </c>
      <c r="AJ164" s="915">
        <v>2010</v>
      </c>
      <c r="AK164" s="915">
        <v>0</v>
      </c>
      <c r="AL164" s="915">
        <v>0</v>
      </c>
      <c r="AO164" s="955"/>
      <c r="AP164" s="955"/>
      <c r="AQ164" s="915" t="str">
        <f t="shared" si="4"/>
        <v/>
      </c>
      <c r="AS164" s="915" t="str">
        <f t="shared" si="5"/>
        <v>wci_corp</v>
      </c>
    </row>
    <row r="165" spans="2:45">
      <c r="B165" s="915" t="s">
        <v>2365</v>
      </c>
      <c r="C165" s="952">
        <v>42947</v>
      </c>
      <c r="D165" s="953">
        <v>-75</v>
      </c>
      <c r="E165" s="953">
        <v>0</v>
      </c>
      <c r="F165" s="954" t="s">
        <v>1613</v>
      </c>
      <c r="G165" s="915" t="s">
        <v>2094</v>
      </c>
      <c r="H165" s="955" t="s">
        <v>1615</v>
      </c>
      <c r="I165" s="915" t="s">
        <v>1999</v>
      </c>
      <c r="J165" s="915" t="s">
        <v>2025</v>
      </c>
      <c r="K165" s="915" t="s">
        <v>1618</v>
      </c>
      <c r="L165" s="919"/>
      <c r="M165" s="919"/>
      <c r="N165" s="919" t="s">
        <v>2519</v>
      </c>
      <c r="O165" s="940"/>
      <c r="P165" s="919"/>
      <c r="Q165" s="919"/>
      <c r="U165" s="915" t="s">
        <v>2090</v>
      </c>
      <c r="V165" s="915" t="s">
        <v>2095</v>
      </c>
      <c r="X165" s="952">
        <v>42926</v>
      </c>
      <c r="Y165" s="952">
        <v>42927</v>
      </c>
      <c r="AA165" s="952"/>
      <c r="AB165" s="915" t="s">
        <v>1626</v>
      </c>
      <c r="AC165" s="915">
        <v>0</v>
      </c>
      <c r="AD165" s="915">
        <v>0</v>
      </c>
      <c r="AE165" s="915">
        <v>0</v>
      </c>
      <c r="AF165" s="915">
        <v>0</v>
      </c>
      <c r="AG165" s="915">
        <v>5</v>
      </c>
      <c r="AH165" s="915">
        <v>1</v>
      </c>
      <c r="AI165" s="915">
        <v>60225</v>
      </c>
      <c r="AJ165" s="915">
        <v>2010</v>
      </c>
      <c r="AK165" s="915">
        <v>0</v>
      </c>
      <c r="AL165" s="915">
        <v>0</v>
      </c>
      <c r="AO165" s="955"/>
      <c r="AP165" s="955"/>
      <c r="AQ165" s="915" t="str">
        <f t="shared" si="4"/>
        <v/>
      </c>
      <c r="AS165" s="915" t="str">
        <f t="shared" si="5"/>
        <v>wci_corp</v>
      </c>
    </row>
    <row r="166" spans="2:45">
      <c r="B166" s="915" t="s">
        <v>2365</v>
      </c>
      <c r="C166" s="952">
        <v>42947</v>
      </c>
      <c r="D166" s="953">
        <v>300</v>
      </c>
      <c r="E166" s="953">
        <v>0</v>
      </c>
      <c r="F166" s="954" t="s">
        <v>1613</v>
      </c>
      <c r="G166" s="915" t="s">
        <v>2096</v>
      </c>
      <c r="H166" s="955" t="s">
        <v>1615</v>
      </c>
      <c r="I166" s="915" t="s">
        <v>2097</v>
      </c>
      <c r="J166" s="915" t="s">
        <v>2018</v>
      </c>
      <c r="K166" s="915" t="s">
        <v>1618</v>
      </c>
      <c r="L166" s="919"/>
      <c r="M166" s="919"/>
      <c r="N166" s="919" t="s">
        <v>2314</v>
      </c>
      <c r="O166" s="940"/>
      <c r="P166" s="919"/>
      <c r="Q166" s="919"/>
      <c r="U166" s="915" t="s">
        <v>2098</v>
      </c>
      <c r="V166" s="915" t="s">
        <v>2098</v>
      </c>
      <c r="X166" s="952">
        <v>42948</v>
      </c>
      <c r="Y166" s="952">
        <v>42949</v>
      </c>
      <c r="AA166" s="952"/>
      <c r="AB166" s="915" t="s">
        <v>1626</v>
      </c>
      <c r="AC166" s="915">
        <v>0</v>
      </c>
      <c r="AD166" s="915">
        <v>0</v>
      </c>
      <c r="AE166" s="915">
        <v>0</v>
      </c>
      <c r="AF166" s="915">
        <v>0</v>
      </c>
      <c r="AG166" s="915">
        <v>0</v>
      </c>
      <c r="AH166" s="915">
        <v>1</v>
      </c>
      <c r="AI166" s="915">
        <v>60225</v>
      </c>
      <c r="AJ166" s="915">
        <v>2010</v>
      </c>
      <c r="AK166" s="915">
        <v>0</v>
      </c>
      <c r="AL166" s="915">
        <v>0</v>
      </c>
      <c r="AO166" s="955"/>
      <c r="AP166" s="955"/>
      <c r="AQ166" s="915" t="str">
        <f t="shared" si="4"/>
        <v/>
      </c>
      <c r="AS166" s="915" t="str">
        <f t="shared" si="5"/>
        <v>wci_corp</v>
      </c>
    </row>
    <row r="167" spans="2:45">
      <c r="B167" s="915" t="s">
        <v>2365</v>
      </c>
      <c r="C167" s="952">
        <v>42947</v>
      </c>
      <c r="D167" s="953">
        <v>420.96</v>
      </c>
      <c r="E167" s="953">
        <v>0</v>
      </c>
      <c r="F167" s="954" t="s">
        <v>1613</v>
      </c>
      <c r="G167" s="915" t="s">
        <v>2096</v>
      </c>
      <c r="H167" s="955" t="s">
        <v>1615</v>
      </c>
      <c r="I167" s="915" t="s">
        <v>2097</v>
      </c>
      <c r="J167" s="915" t="s">
        <v>2018</v>
      </c>
      <c r="K167" s="915" t="s">
        <v>1618</v>
      </c>
      <c r="L167" s="919"/>
      <c r="M167" s="919"/>
      <c r="N167" s="919" t="s">
        <v>2522</v>
      </c>
      <c r="O167" s="940"/>
      <c r="P167" s="919"/>
      <c r="Q167" s="919"/>
      <c r="U167" s="915" t="s">
        <v>2098</v>
      </c>
      <c r="V167" s="915" t="s">
        <v>2098</v>
      </c>
      <c r="X167" s="952">
        <v>42948</v>
      </c>
      <c r="Y167" s="952">
        <v>42949</v>
      </c>
      <c r="AA167" s="952"/>
      <c r="AB167" s="915" t="s">
        <v>1626</v>
      </c>
      <c r="AC167" s="915">
        <v>0</v>
      </c>
      <c r="AD167" s="915">
        <v>0</v>
      </c>
      <c r="AE167" s="915">
        <v>0</v>
      </c>
      <c r="AF167" s="915">
        <v>0</v>
      </c>
      <c r="AG167" s="915">
        <v>0</v>
      </c>
      <c r="AH167" s="915">
        <v>1</v>
      </c>
      <c r="AI167" s="915">
        <v>60225</v>
      </c>
      <c r="AJ167" s="915">
        <v>2010</v>
      </c>
      <c r="AK167" s="915">
        <v>0</v>
      </c>
      <c r="AL167" s="915">
        <v>0</v>
      </c>
      <c r="AO167" s="955"/>
      <c r="AP167" s="955"/>
      <c r="AQ167" s="915" t="str">
        <f t="shared" si="4"/>
        <v/>
      </c>
      <c r="AS167" s="915" t="str">
        <f t="shared" si="5"/>
        <v>wci_corp</v>
      </c>
    </row>
    <row r="168" spans="2:45">
      <c r="B168" s="915" t="s">
        <v>2365</v>
      </c>
      <c r="C168" s="952">
        <v>42947</v>
      </c>
      <c r="D168" s="953">
        <v>1425</v>
      </c>
      <c r="E168" s="953">
        <v>0</v>
      </c>
      <c r="F168" s="954" t="s">
        <v>1613</v>
      </c>
      <c r="G168" s="915" t="s">
        <v>2096</v>
      </c>
      <c r="H168" s="955" t="s">
        <v>1615</v>
      </c>
      <c r="I168" s="915" t="s">
        <v>2097</v>
      </c>
      <c r="J168" s="915" t="s">
        <v>2018</v>
      </c>
      <c r="K168" s="915" t="s">
        <v>1618</v>
      </c>
      <c r="L168" s="919"/>
      <c r="M168" s="919"/>
      <c r="N168" s="919" t="s">
        <v>2515</v>
      </c>
      <c r="O168" s="940"/>
      <c r="P168" s="919"/>
      <c r="Q168" s="919"/>
      <c r="U168" s="915" t="s">
        <v>2098</v>
      </c>
      <c r="V168" s="915" t="s">
        <v>2098</v>
      </c>
      <c r="X168" s="952">
        <v>42948</v>
      </c>
      <c r="Y168" s="952">
        <v>42949</v>
      </c>
      <c r="AA168" s="952"/>
      <c r="AB168" s="915" t="s">
        <v>1626</v>
      </c>
      <c r="AC168" s="915">
        <v>0</v>
      </c>
      <c r="AD168" s="915">
        <v>0</v>
      </c>
      <c r="AE168" s="915">
        <v>0</v>
      </c>
      <c r="AF168" s="915">
        <v>0</v>
      </c>
      <c r="AG168" s="915">
        <v>0</v>
      </c>
      <c r="AH168" s="915">
        <v>1</v>
      </c>
      <c r="AI168" s="915">
        <v>60225</v>
      </c>
      <c r="AJ168" s="915">
        <v>2010</v>
      </c>
      <c r="AK168" s="915">
        <v>0</v>
      </c>
      <c r="AL168" s="915">
        <v>0</v>
      </c>
      <c r="AO168" s="955"/>
      <c r="AP168" s="955"/>
      <c r="AQ168" s="915" t="str">
        <f t="shared" si="4"/>
        <v/>
      </c>
      <c r="AS168" s="915" t="str">
        <f t="shared" si="5"/>
        <v>wci_corp</v>
      </c>
    </row>
    <row r="169" spans="2:45">
      <c r="B169" s="915" t="s">
        <v>2365</v>
      </c>
      <c r="C169" s="952">
        <v>42947</v>
      </c>
      <c r="D169" s="953">
        <v>1807.21</v>
      </c>
      <c r="E169" s="953">
        <v>0</v>
      </c>
      <c r="F169" s="954" t="s">
        <v>1613</v>
      </c>
      <c r="G169" s="915" t="s">
        <v>2096</v>
      </c>
      <c r="H169" s="955" t="s">
        <v>1615</v>
      </c>
      <c r="I169" s="915" t="s">
        <v>2097</v>
      </c>
      <c r="J169" s="915" t="s">
        <v>2018</v>
      </c>
      <c r="K169" s="915" t="s">
        <v>1618</v>
      </c>
      <c r="L169" s="919"/>
      <c r="M169" s="919"/>
      <c r="N169" s="919" t="s">
        <v>2501</v>
      </c>
      <c r="O169" s="940"/>
      <c r="P169" s="919"/>
      <c r="Q169" s="919"/>
      <c r="U169" s="915" t="s">
        <v>2098</v>
      </c>
      <c r="V169" s="915" t="s">
        <v>2098</v>
      </c>
      <c r="X169" s="952">
        <v>42948</v>
      </c>
      <c r="Y169" s="952">
        <v>42949</v>
      </c>
      <c r="AA169" s="952"/>
      <c r="AB169" s="915" t="s">
        <v>1626</v>
      </c>
      <c r="AC169" s="915">
        <v>0</v>
      </c>
      <c r="AD169" s="915">
        <v>0</v>
      </c>
      <c r="AE169" s="915">
        <v>0</v>
      </c>
      <c r="AF169" s="915">
        <v>0</v>
      </c>
      <c r="AG169" s="915">
        <v>0</v>
      </c>
      <c r="AH169" s="915">
        <v>1</v>
      </c>
      <c r="AI169" s="915">
        <v>60225</v>
      </c>
      <c r="AJ169" s="915">
        <v>2010</v>
      </c>
      <c r="AK169" s="915">
        <v>0</v>
      </c>
      <c r="AL169" s="915">
        <v>0</v>
      </c>
      <c r="AO169" s="955"/>
      <c r="AP169" s="955"/>
      <c r="AQ169" s="915" t="str">
        <f t="shared" si="4"/>
        <v/>
      </c>
      <c r="AS169" s="915" t="str">
        <f t="shared" si="5"/>
        <v>wci_corp</v>
      </c>
    </row>
    <row r="170" spans="2:45">
      <c r="B170" s="915" t="s">
        <v>2365</v>
      </c>
      <c r="C170" s="952">
        <v>42947</v>
      </c>
      <c r="D170" s="953">
        <v>362.58</v>
      </c>
      <c r="E170" s="953">
        <v>0</v>
      </c>
      <c r="F170" s="954" t="s">
        <v>1613</v>
      </c>
      <c r="G170" s="915" t="s">
        <v>2096</v>
      </c>
      <c r="H170" s="955" t="s">
        <v>1615</v>
      </c>
      <c r="I170" s="915" t="s">
        <v>2097</v>
      </c>
      <c r="J170" s="915" t="s">
        <v>2018</v>
      </c>
      <c r="K170" s="915" t="s">
        <v>1618</v>
      </c>
      <c r="L170" s="919"/>
      <c r="M170" s="919"/>
      <c r="N170" s="919" t="s">
        <v>2388</v>
      </c>
      <c r="O170" s="940"/>
      <c r="P170" s="919"/>
      <c r="Q170" s="919"/>
      <c r="U170" s="915" t="s">
        <v>2098</v>
      </c>
      <c r="V170" s="915" t="s">
        <v>2098</v>
      </c>
      <c r="X170" s="952">
        <v>42948</v>
      </c>
      <c r="Y170" s="952">
        <v>42949</v>
      </c>
      <c r="AA170" s="952"/>
      <c r="AB170" s="915" t="s">
        <v>1626</v>
      </c>
      <c r="AC170" s="915">
        <v>0</v>
      </c>
      <c r="AD170" s="915">
        <v>0</v>
      </c>
      <c r="AE170" s="915">
        <v>0</v>
      </c>
      <c r="AF170" s="915">
        <v>0</v>
      </c>
      <c r="AG170" s="915">
        <v>0</v>
      </c>
      <c r="AH170" s="915">
        <v>1</v>
      </c>
      <c r="AI170" s="915">
        <v>60225</v>
      </c>
      <c r="AJ170" s="915">
        <v>2010</v>
      </c>
      <c r="AK170" s="915">
        <v>0</v>
      </c>
      <c r="AL170" s="915">
        <v>0</v>
      </c>
      <c r="AO170" s="955"/>
      <c r="AP170" s="955"/>
      <c r="AQ170" s="915" t="str">
        <f t="shared" si="4"/>
        <v/>
      </c>
      <c r="AS170" s="915" t="str">
        <f t="shared" si="5"/>
        <v>wci_corp</v>
      </c>
    </row>
    <row r="171" spans="2:45">
      <c r="B171" s="915" t="s">
        <v>2365</v>
      </c>
      <c r="C171" s="952">
        <v>42947</v>
      </c>
      <c r="D171" s="953">
        <v>835.76</v>
      </c>
      <c r="E171" s="953">
        <v>0</v>
      </c>
      <c r="F171" s="954" t="s">
        <v>1613</v>
      </c>
      <c r="G171" s="915" t="s">
        <v>2096</v>
      </c>
      <c r="H171" s="955" t="s">
        <v>1615</v>
      </c>
      <c r="I171" s="915" t="s">
        <v>2097</v>
      </c>
      <c r="J171" s="915" t="s">
        <v>2018</v>
      </c>
      <c r="K171" s="915" t="s">
        <v>1618</v>
      </c>
      <c r="L171" s="919"/>
      <c r="M171" s="919"/>
      <c r="N171" s="919" t="s">
        <v>2448</v>
      </c>
      <c r="O171" s="940"/>
      <c r="P171" s="919"/>
      <c r="Q171" s="919"/>
      <c r="U171" s="915" t="s">
        <v>2098</v>
      </c>
      <c r="V171" s="915" t="s">
        <v>2098</v>
      </c>
      <c r="X171" s="952">
        <v>42948</v>
      </c>
      <c r="Y171" s="952">
        <v>42949</v>
      </c>
      <c r="AA171" s="952"/>
      <c r="AB171" s="915" t="s">
        <v>1626</v>
      </c>
      <c r="AC171" s="915">
        <v>0</v>
      </c>
      <c r="AD171" s="915">
        <v>0</v>
      </c>
      <c r="AE171" s="915">
        <v>0</v>
      </c>
      <c r="AF171" s="915">
        <v>0</v>
      </c>
      <c r="AG171" s="915">
        <v>0</v>
      </c>
      <c r="AH171" s="915">
        <v>1</v>
      </c>
      <c r="AI171" s="915">
        <v>60225</v>
      </c>
      <c r="AJ171" s="915">
        <v>2010</v>
      </c>
      <c r="AK171" s="915">
        <v>0</v>
      </c>
      <c r="AL171" s="915">
        <v>0</v>
      </c>
      <c r="AO171" s="955"/>
      <c r="AP171" s="955"/>
      <c r="AQ171" s="915" t="str">
        <f t="shared" si="4"/>
        <v/>
      </c>
      <c r="AS171" s="915" t="str">
        <f t="shared" si="5"/>
        <v>wci_corp</v>
      </c>
    </row>
    <row r="172" spans="2:45">
      <c r="B172" s="915" t="s">
        <v>2365</v>
      </c>
      <c r="C172" s="952">
        <v>42947</v>
      </c>
      <c r="D172" s="953">
        <v>380</v>
      </c>
      <c r="E172" s="953">
        <v>0</v>
      </c>
      <c r="F172" s="954" t="s">
        <v>1613</v>
      </c>
      <c r="G172" s="915" t="s">
        <v>2096</v>
      </c>
      <c r="H172" s="955" t="s">
        <v>1615</v>
      </c>
      <c r="I172" s="915" t="s">
        <v>2097</v>
      </c>
      <c r="J172" s="915" t="s">
        <v>2018</v>
      </c>
      <c r="K172" s="915" t="s">
        <v>1618</v>
      </c>
      <c r="L172" s="919"/>
      <c r="M172" s="919"/>
      <c r="N172" s="919" t="s">
        <v>2515</v>
      </c>
      <c r="O172" s="940"/>
      <c r="P172" s="919"/>
      <c r="Q172" s="919"/>
      <c r="U172" s="915" t="s">
        <v>2098</v>
      </c>
      <c r="V172" s="915" t="s">
        <v>2098</v>
      </c>
      <c r="X172" s="952">
        <v>42948</v>
      </c>
      <c r="Y172" s="952">
        <v>42949</v>
      </c>
      <c r="AA172" s="952"/>
      <c r="AB172" s="915" t="s">
        <v>1626</v>
      </c>
      <c r="AC172" s="915">
        <v>0</v>
      </c>
      <c r="AD172" s="915">
        <v>0</v>
      </c>
      <c r="AE172" s="915">
        <v>0</v>
      </c>
      <c r="AF172" s="915">
        <v>0</v>
      </c>
      <c r="AG172" s="915">
        <v>0</v>
      </c>
      <c r="AH172" s="915">
        <v>1</v>
      </c>
      <c r="AI172" s="915">
        <v>60225</v>
      </c>
      <c r="AJ172" s="915">
        <v>2010</v>
      </c>
      <c r="AK172" s="915">
        <v>0</v>
      </c>
      <c r="AL172" s="915">
        <v>0</v>
      </c>
      <c r="AO172" s="955"/>
      <c r="AP172" s="955"/>
      <c r="AQ172" s="915" t="str">
        <f t="shared" si="4"/>
        <v/>
      </c>
      <c r="AS172" s="915" t="str">
        <f t="shared" si="5"/>
        <v>wci_corp</v>
      </c>
    </row>
    <row r="173" spans="2:45">
      <c r="B173" s="915" t="s">
        <v>2365</v>
      </c>
      <c r="C173" s="952">
        <v>42947</v>
      </c>
      <c r="D173" s="953">
        <v>75</v>
      </c>
      <c r="E173" s="953">
        <v>0</v>
      </c>
      <c r="F173" s="954" t="s">
        <v>1613</v>
      </c>
      <c r="G173" s="915" t="s">
        <v>2096</v>
      </c>
      <c r="H173" s="955" t="s">
        <v>1615</v>
      </c>
      <c r="I173" s="915" t="s">
        <v>2097</v>
      </c>
      <c r="J173" s="915" t="s">
        <v>2018</v>
      </c>
      <c r="K173" s="915" t="s">
        <v>1618</v>
      </c>
      <c r="L173" s="919"/>
      <c r="M173" s="919"/>
      <c r="N173" s="919" t="s">
        <v>2515</v>
      </c>
      <c r="O173" s="940"/>
      <c r="P173" s="919"/>
      <c r="Q173" s="919"/>
      <c r="U173" s="915" t="s">
        <v>2098</v>
      </c>
      <c r="V173" s="915" t="s">
        <v>2098</v>
      </c>
      <c r="X173" s="952">
        <v>42948</v>
      </c>
      <c r="Y173" s="952">
        <v>42949</v>
      </c>
      <c r="AA173" s="952"/>
      <c r="AB173" s="915" t="s">
        <v>1626</v>
      </c>
      <c r="AC173" s="915">
        <v>0</v>
      </c>
      <c r="AD173" s="915">
        <v>0</v>
      </c>
      <c r="AE173" s="915">
        <v>0</v>
      </c>
      <c r="AF173" s="915">
        <v>0</v>
      </c>
      <c r="AG173" s="915">
        <v>0</v>
      </c>
      <c r="AH173" s="915">
        <v>1</v>
      </c>
      <c r="AI173" s="915">
        <v>60225</v>
      </c>
      <c r="AJ173" s="915">
        <v>2010</v>
      </c>
      <c r="AK173" s="915">
        <v>0</v>
      </c>
      <c r="AL173" s="915">
        <v>0</v>
      </c>
      <c r="AO173" s="955"/>
      <c r="AP173" s="955"/>
      <c r="AQ173" s="915" t="str">
        <f t="shared" si="4"/>
        <v/>
      </c>
      <c r="AS173" s="915" t="str">
        <f t="shared" si="5"/>
        <v>wci_corp</v>
      </c>
    </row>
    <row r="174" spans="2:45">
      <c r="B174" s="915" t="s">
        <v>2365</v>
      </c>
      <c r="C174" s="952">
        <v>42947</v>
      </c>
      <c r="D174" s="953">
        <v>379.4</v>
      </c>
      <c r="E174" s="953">
        <v>0</v>
      </c>
      <c r="F174" s="954" t="s">
        <v>1613</v>
      </c>
      <c r="G174" s="915" t="s">
        <v>2096</v>
      </c>
      <c r="H174" s="955" t="s">
        <v>1615</v>
      </c>
      <c r="I174" s="915" t="s">
        <v>2097</v>
      </c>
      <c r="J174" s="915" t="s">
        <v>2018</v>
      </c>
      <c r="K174" s="915" t="s">
        <v>1618</v>
      </c>
      <c r="L174" s="919"/>
      <c r="M174" s="919"/>
      <c r="N174" s="919" t="s">
        <v>2448</v>
      </c>
      <c r="O174" s="940"/>
      <c r="P174" s="919"/>
      <c r="Q174" s="919"/>
      <c r="U174" s="915" t="s">
        <v>2098</v>
      </c>
      <c r="V174" s="915" t="s">
        <v>2098</v>
      </c>
      <c r="X174" s="952">
        <v>42948</v>
      </c>
      <c r="Y174" s="952">
        <v>42949</v>
      </c>
      <c r="AA174" s="952"/>
      <c r="AB174" s="915" t="s">
        <v>1626</v>
      </c>
      <c r="AC174" s="915">
        <v>0</v>
      </c>
      <c r="AD174" s="915">
        <v>0</v>
      </c>
      <c r="AE174" s="915">
        <v>0</v>
      </c>
      <c r="AF174" s="915">
        <v>0</v>
      </c>
      <c r="AG174" s="915">
        <v>0</v>
      </c>
      <c r="AH174" s="915">
        <v>1</v>
      </c>
      <c r="AI174" s="915">
        <v>60225</v>
      </c>
      <c r="AJ174" s="915">
        <v>2010</v>
      </c>
      <c r="AK174" s="915">
        <v>0</v>
      </c>
      <c r="AL174" s="915">
        <v>0</v>
      </c>
      <c r="AO174" s="955"/>
      <c r="AP174" s="955"/>
      <c r="AQ174" s="915" t="str">
        <f t="shared" si="4"/>
        <v/>
      </c>
      <c r="AS174" s="915" t="str">
        <f t="shared" si="5"/>
        <v>wci_corp</v>
      </c>
    </row>
    <row r="175" spans="2:45">
      <c r="B175" s="915" t="s">
        <v>2365</v>
      </c>
      <c r="C175" s="952">
        <v>42947</v>
      </c>
      <c r="D175" s="953">
        <v>8134.34</v>
      </c>
      <c r="E175" s="953">
        <v>0</v>
      </c>
      <c r="F175" s="954" t="s">
        <v>1613</v>
      </c>
      <c r="G175" s="915" t="s">
        <v>2523</v>
      </c>
      <c r="H175" s="955" t="s">
        <v>1615</v>
      </c>
      <c r="I175" s="915" t="s">
        <v>2056</v>
      </c>
      <c r="J175" s="915" t="s">
        <v>2018</v>
      </c>
      <c r="K175" s="915" t="s">
        <v>1618</v>
      </c>
      <c r="L175" s="919"/>
      <c r="M175" s="919"/>
      <c r="N175" s="919" t="s">
        <v>2524</v>
      </c>
      <c r="O175" s="940"/>
      <c r="P175" s="919"/>
      <c r="Q175" s="919"/>
      <c r="U175" s="915" t="s">
        <v>2525</v>
      </c>
      <c r="V175" s="915" t="s">
        <v>2525</v>
      </c>
      <c r="X175" s="952">
        <v>42951</v>
      </c>
      <c r="Y175" s="952">
        <v>42954</v>
      </c>
      <c r="AA175" s="952"/>
      <c r="AB175" s="915" t="s">
        <v>1626</v>
      </c>
      <c r="AC175" s="915">
        <v>0</v>
      </c>
      <c r="AD175" s="915">
        <v>0</v>
      </c>
      <c r="AE175" s="915">
        <v>0</v>
      </c>
      <c r="AF175" s="915">
        <v>0</v>
      </c>
      <c r="AG175" s="915">
        <v>0</v>
      </c>
      <c r="AH175" s="915">
        <v>1</v>
      </c>
      <c r="AI175" s="915">
        <v>60225</v>
      </c>
      <c r="AJ175" s="915">
        <v>2010</v>
      </c>
      <c r="AK175" s="915">
        <v>0</v>
      </c>
      <c r="AL175" s="915">
        <v>0</v>
      </c>
      <c r="AO175" s="955"/>
      <c r="AP175" s="955"/>
      <c r="AQ175" s="915" t="str">
        <f t="shared" si="4"/>
        <v/>
      </c>
      <c r="AS175" s="915" t="str">
        <f t="shared" si="5"/>
        <v>wci_corp</v>
      </c>
    </row>
    <row r="176" spans="2:45">
      <c r="B176" s="915" t="s">
        <v>2365</v>
      </c>
      <c r="C176" s="952">
        <v>42947</v>
      </c>
      <c r="D176" s="953">
        <v>2480.25</v>
      </c>
      <c r="E176" s="953">
        <v>0</v>
      </c>
      <c r="F176" s="954" t="s">
        <v>1613</v>
      </c>
      <c r="G176" s="915" t="s">
        <v>2523</v>
      </c>
      <c r="H176" s="955" t="s">
        <v>1615</v>
      </c>
      <c r="I176" s="915" t="s">
        <v>2056</v>
      </c>
      <c r="J176" s="915" t="s">
        <v>2018</v>
      </c>
      <c r="K176" s="915" t="s">
        <v>1618</v>
      </c>
      <c r="L176" s="919"/>
      <c r="M176" s="919"/>
      <c r="N176" s="919" t="s">
        <v>2526</v>
      </c>
      <c r="O176" s="940"/>
      <c r="P176" s="919"/>
      <c r="Q176" s="919"/>
      <c r="U176" s="915" t="s">
        <v>2525</v>
      </c>
      <c r="V176" s="915" t="s">
        <v>2525</v>
      </c>
      <c r="X176" s="952">
        <v>42951</v>
      </c>
      <c r="Y176" s="952">
        <v>42954</v>
      </c>
      <c r="AA176" s="952"/>
      <c r="AB176" s="915" t="s">
        <v>1626</v>
      </c>
      <c r="AC176" s="915">
        <v>0</v>
      </c>
      <c r="AD176" s="915">
        <v>0</v>
      </c>
      <c r="AE176" s="915">
        <v>0</v>
      </c>
      <c r="AF176" s="915">
        <v>0</v>
      </c>
      <c r="AG176" s="915">
        <v>0</v>
      </c>
      <c r="AH176" s="915">
        <v>1</v>
      </c>
      <c r="AI176" s="915">
        <v>60225</v>
      </c>
      <c r="AJ176" s="915">
        <v>2010</v>
      </c>
      <c r="AK176" s="915">
        <v>0</v>
      </c>
      <c r="AL176" s="915">
        <v>0</v>
      </c>
      <c r="AO176" s="955"/>
      <c r="AP176" s="955"/>
      <c r="AQ176" s="915" t="str">
        <f t="shared" si="4"/>
        <v/>
      </c>
      <c r="AS176" s="915" t="str">
        <f t="shared" si="5"/>
        <v>wci_corp</v>
      </c>
    </row>
    <row r="177" spans="2:45">
      <c r="B177" s="915" t="s">
        <v>2365</v>
      </c>
      <c r="C177" s="952">
        <v>42947</v>
      </c>
      <c r="D177" s="953">
        <v>128.12</v>
      </c>
      <c r="E177" s="953">
        <v>0</v>
      </c>
      <c r="F177" s="954" t="s">
        <v>1613</v>
      </c>
      <c r="G177" s="915" t="s">
        <v>2523</v>
      </c>
      <c r="H177" s="955" t="s">
        <v>1615</v>
      </c>
      <c r="I177" s="915" t="s">
        <v>2056</v>
      </c>
      <c r="J177" s="915" t="s">
        <v>2018</v>
      </c>
      <c r="K177" s="915" t="s">
        <v>1618</v>
      </c>
      <c r="L177" s="919"/>
      <c r="M177" s="919"/>
      <c r="N177" s="919" t="s">
        <v>2527</v>
      </c>
      <c r="O177" s="940"/>
      <c r="P177" s="919"/>
      <c r="Q177" s="919"/>
      <c r="U177" s="915" t="s">
        <v>2525</v>
      </c>
      <c r="V177" s="915" t="s">
        <v>2525</v>
      </c>
      <c r="X177" s="952">
        <v>42951</v>
      </c>
      <c r="Y177" s="952">
        <v>42954</v>
      </c>
      <c r="AA177" s="952"/>
      <c r="AB177" s="915" t="s">
        <v>1626</v>
      </c>
      <c r="AC177" s="915">
        <v>0</v>
      </c>
      <c r="AD177" s="915">
        <v>0</v>
      </c>
      <c r="AE177" s="915">
        <v>0</v>
      </c>
      <c r="AF177" s="915">
        <v>0</v>
      </c>
      <c r="AG177" s="915">
        <v>0</v>
      </c>
      <c r="AH177" s="915">
        <v>1</v>
      </c>
      <c r="AI177" s="915">
        <v>60225</v>
      </c>
      <c r="AJ177" s="915">
        <v>2010</v>
      </c>
      <c r="AK177" s="915">
        <v>0</v>
      </c>
      <c r="AL177" s="915">
        <v>0</v>
      </c>
      <c r="AO177" s="955"/>
      <c r="AP177" s="955"/>
      <c r="AQ177" s="915" t="str">
        <f t="shared" si="4"/>
        <v/>
      </c>
      <c r="AS177" s="915" t="str">
        <f t="shared" si="5"/>
        <v>wci_corp</v>
      </c>
    </row>
    <row r="178" spans="2:45">
      <c r="B178" s="915" t="s">
        <v>2365</v>
      </c>
      <c r="C178" s="952">
        <v>42947</v>
      </c>
      <c r="D178" s="953">
        <v>300</v>
      </c>
      <c r="E178" s="953">
        <v>0</v>
      </c>
      <c r="F178" s="954" t="s">
        <v>1613</v>
      </c>
      <c r="G178" s="915" t="s">
        <v>2528</v>
      </c>
      <c r="H178" s="955" t="s">
        <v>1615</v>
      </c>
      <c r="I178" s="915" t="s">
        <v>1999</v>
      </c>
      <c r="J178" s="915" t="s">
        <v>2018</v>
      </c>
      <c r="K178" s="915" t="s">
        <v>1618</v>
      </c>
      <c r="L178" s="919"/>
      <c r="M178" s="919"/>
      <c r="N178" s="919" t="s">
        <v>2433</v>
      </c>
      <c r="O178" s="940"/>
      <c r="P178" s="919"/>
      <c r="Q178" s="919"/>
      <c r="U178" s="915" t="s">
        <v>2529</v>
      </c>
      <c r="V178" s="915" t="s">
        <v>2529</v>
      </c>
      <c r="X178" s="952">
        <v>42951</v>
      </c>
      <c r="Y178" s="952">
        <v>42954</v>
      </c>
      <c r="AA178" s="952"/>
      <c r="AB178" s="915" t="s">
        <v>1626</v>
      </c>
      <c r="AC178" s="915">
        <v>0</v>
      </c>
      <c r="AD178" s="915">
        <v>0</v>
      </c>
      <c r="AE178" s="915">
        <v>0</v>
      </c>
      <c r="AF178" s="915">
        <v>0</v>
      </c>
      <c r="AG178" s="915">
        <v>0</v>
      </c>
      <c r="AH178" s="915">
        <v>1</v>
      </c>
      <c r="AI178" s="915">
        <v>60225</v>
      </c>
      <c r="AJ178" s="915">
        <v>2010</v>
      </c>
      <c r="AK178" s="915">
        <v>0</v>
      </c>
      <c r="AL178" s="915">
        <v>0</v>
      </c>
      <c r="AO178" s="955"/>
      <c r="AP178" s="955"/>
      <c r="AQ178" s="915" t="str">
        <f t="shared" si="4"/>
        <v/>
      </c>
      <c r="AS178" s="915" t="str">
        <f t="shared" si="5"/>
        <v>wci_corp</v>
      </c>
    </row>
    <row r="179" spans="2:45">
      <c r="B179" s="915" t="s">
        <v>2365</v>
      </c>
      <c r="C179" s="952">
        <v>42947</v>
      </c>
      <c r="D179" s="953">
        <v>114.63</v>
      </c>
      <c r="E179" s="953">
        <v>0</v>
      </c>
      <c r="F179" s="954" t="s">
        <v>1613</v>
      </c>
      <c r="G179" s="915" t="s">
        <v>2528</v>
      </c>
      <c r="H179" s="955" t="s">
        <v>1615</v>
      </c>
      <c r="I179" s="915" t="s">
        <v>1999</v>
      </c>
      <c r="J179" s="915" t="s">
        <v>2018</v>
      </c>
      <c r="K179" s="915" t="s">
        <v>1618</v>
      </c>
      <c r="L179" s="919"/>
      <c r="M179" s="919"/>
      <c r="N179" s="919" t="s">
        <v>2506</v>
      </c>
      <c r="O179" s="940"/>
      <c r="P179" s="919"/>
      <c r="Q179" s="919"/>
      <c r="U179" s="915" t="s">
        <v>2529</v>
      </c>
      <c r="V179" s="915" t="s">
        <v>2529</v>
      </c>
      <c r="X179" s="952">
        <v>42951</v>
      </c>
      <c r="Y179" s="952">
        <v>42954</v>
      </c>
      <c r="AA179" s="952"/>
      <c r="AB179" s="915" t="s">
        <v>1626</v>
      </c>
      <c r="AC179" s="915">
        <v>0</v>
      </c>
      <c r="AD179" s="915">
        <v>0</v>
      </c>
      <c r="AE179" s="915">
        <v>0</v>
      </c>
      <c r="AF179" s="915">
        <v>0</v>
      </c>
      <c r="AG179" s="915">
        <v>0</v>
      </c>
      <c r="AH179" s="915">
        <v>1</v>
      </c>
      <c r="AI179" s="915">
        <v>60225</v>
      </c>
      <c r="AJ179" s="915">
        <v>2010</v>
      </c>
      <c r="AK179" s="915">
        <v>0</v>
      </c>
      <c r="AL179" s="915">
        <v>0</v>
      </c>
      <c r="AO179" s="955"/>
      <c r="AP179" s="955"/>
      <c r="AQ179" s="915" t="str">
        <f t="shared" si="4"/>
        <v/>
      </c>
      <c r="AS179" s="915" t="str">
        <f t="shared" si="5"/>
        <v>wci_corp</v>
      </c>
    </row>
    <row r="180" spans="2:45">
      <c r="B180" s="915" t="s">
        <v>2365</v>
      </c>
      <c r="C180" s="952">
        <v>42947</v>
      </c>
      <c r="D180" s="953">
        <v>917.88</v>
      </c>
      <c r="E180" s="953">
        <v>0</v>
      </c>
      <c r="F180" s="954" t="s">
        <v>1613</v>
      </c>
      <c r="G180" s="915" t="s">
        <v>2528</v>
      </c>
      <c r="H180" s="955" t="s">
        <v>1615</v>
      </c>
      <c r="I180" s="915" t="s">
        <v>1999</v>
      </c>
      <c r="J180" s="915" t="s">
        <v>2018</v>
      </c>
      <c r="K180" s="915" t="s">
        <v>1618</v>
      </c>
      <c r="L180" s="919"/>
      <c r="M180" s="919"/>
      <c r="N180" s="919" t="s">
        <v>2507</v>
      </c>
      <c r="O180" s="940"/>
      <c r="P180" s="919"/>
      <c r="Q180" s="919"/>
      <c r="U180" s="915" t="s">
        <v>2529</v>
      </c>
      <c r="V180" s="915" t="s">
        <v>2529</v>
      </c>
      <c r="X180" s="952">
        <v>42951</v>
      </c>
      <c r="Y180" s="952">
        <v>42954</v>
      </c>
      <c r="AA180" s="952"/>
      <c r="AB180" s="915" t="s">
        <v>1626</v>
      </c>
      <c r="AC180" s="915">
        <v>0</v>
      </c>
      <c r="AD180" s="915">
        <v>0</v>
      </c>
      <c r="AE180" s="915">
        <v>0</v>
      </c>
      <c r="AF180" s="915">
        <v>0</v>
      </c>
      <c r="AG180" s="915">
        <v>0</v>
      </c>
      <c r="AH180" s="915">
        <v>1</v>
      </c>
      <c r="AI180" s="915">
        <v>60225</v>
      </c>
      <c r="AJ180" s="915">
        <v>2010</v>
      </c>
      <c r="AK180" s="915">
        <v>0</v>
      </c>
      <c r="AL180" s="915">
        <v>0</v>
      </c>
      <c r="AO180" s="955"/>
      <c r="AP180" s="955"/>
      <c r="AQ180" s="915" t="str">
        <f t="shared" si="4"/>
        <v/>
      </c>
      <c r="AS180" s="915" t="str">
        <f t="shared" si="5"/>
        <v>wci_corp</v>
      </c>
    </row>
    <row r="181" spans="2:45">
      <c r="B181" s="915" t="s">
        <v>2365</v>
      </c>
      <c r="C181" s="952">
        <v>42947</v>
      </c>
      <c r="D181" s="953">
        <v>165.29</v>
      </c>
      <c r="E181" s="953">
        <v>0</v>
      </c>
      <c r="F181" s="954" t="s">
        <v>1613</v>
      </c>
      <c r="G181" s="915" t="s">
        <v>2528</v>
      </c>
      <c r="H181" s="955" t="s">
        <v>1615</v>
      </c>
      <c r="I181" s="915" t="s">
        <v>1999</v>
      </c>
      <c r="J181" s="915" t="s">
        <v>2018</v>
      </c>
      <c r="K181" s="915" t="s">
        <v>1618</v>
      </c>
      <c r="L181" s="919"/>
      <c r="M181" s="919"/>
      <c r="N181" s="919" t="s">
        <v>2530</v>
      </c>
      <c r="O181" s="940"/>
      <c r="P181" s="919"/>
      <c r="Q181" s="919"/>
      <c r="U181" s="915" t="s">
        <v>2529</v>
      </c>
      <c r="V181" s="915" t="s">
        <v>2529</v>
      </c>
      <c r="X181" s="952">
        <v>42951</v>
      </c>
      <c r="Y181" s="952">
        <v>42954</v>
      </c>
      <c r="AA181" s="952"/>
      <c r="AB181" s="915" t="s">
        <v>1626</v>
      </c>
      <c r="AC181" s="915">
        <v>0</v>
      </c>
      <c r="AD181" s="915">
        <v>0</v>
      </c>
      <c r="AE181" s="915">
        <v>0</v>
      </c>
      <c r="AF181" s="915">
        <v>0</v>
      </c>
      <c r="AG181" s="915">
        <v>0</v>
      </c>
      <c r="AH181" s="915">
        <v>1</v>
      </c>
      <c r="AI181" s="915">
        <v>60225</v>
      </c>
      <c r="AJ181" s="915">
        <v>2010</v>
      </c>
      <c r="AK181" s="915">
        <v>0</v>
      </c>
      <c r="AL181" s="915">
        <v>0</v>
      </c>
      <c r="AO181" s="955"/>
      <c r="AP181" s="955"/>
      <c r="AQ181" s="915" t="str">
        <f t="shared" si="4"/>
        <v/>
      </c>
      <c r="AS181" s="915" t="str">
        <f t="shared" si="5"/>
        <v>wci_corp</v>
      </c>
    </row>
    <row r="182" spans="2:45">
      <c r="B182" s="915" t="s">
        <v>2365</v>
      </c>
      <c r="C182" s="952">
        <v>42957</v>
      </c>
      <c r="D182" s="953">
        <v>445</v>
      </c>
      <c r="E182" s="953">
        <v>0</v>
      </c>
      <c r="F182" s="954" t="s">
        <v>1613</v>
      </c>
      <c r="G182" s="915" t="s">
        <v>2531</v>
      </c>
      <c r="H182" s="955" t="s">
        <v>1615</v>
      </c>
      <c r="I182" s="915" t="s">
        <v>1616</v>
      </c>
      <c r="J182" s="915" t="s">
        <v>1617</v>
      </c>
      <c r="K182" s="915" t="s">
        <v>1618</v>
      </c>
      <c r="L182" s="919" t="s">
        <v>2420</v>
      </c>
      <c r="M182" s="919" t="s">
        <v>2421</v>
      </c>
      <c r="N182" s="919" t="s">
        <v>2421</v>
      </c>
      <c r="O182" s="940">
        <v>42948</v>
      </c>
      <c r="P182" s="919" t="s">
        <v>2532</v>
      </c>
      <c r="Q182" s="919">
        <v>44159</v>
      </c>
      <c r="R182" s="915" t="s">
        <v>2533</v>
      </c>
      <c r="U182" s="915" t="s">
        <v>2534</v>
      </c>
      <c r="V182" s="915" t="s">
        <v>2535</v>
      </c>
      <c r="W182" s="915">
        <v>2010</v>
      </c>
      <c r="X182" s="952">
        <v>42957</v>
      </c>
      <c r="Y182" s="952">
        <v>42963</v>
      </c>
      <c r="Z182" s="915">
        <v>445</v>
      </c>
      <c r="AA182" s="952">
        <v>42949</v>
      </c>
      <c r="AB182" s="915" t="s">
        <v>1626</v>
      </c>
      <c r="AC182" s="915">
        <v>0</v>
      </c>
      <c r="AD182" s="915">
        <v>0</v>
      </c>
      <c r="AE182" s="915">
        <v>0</v>
      </c>
      <c r="AF182" s="915">
        <v>0</v>
      </c>
      <c r="AG182" s="915">
        <v>0</v>
      </c>
      <c r="AH182" s="915">
        <v>1</v>
      </c>
      <c r="AI182" s="915">
        <v>60225</v>
      </c>
      <c r="AJ182" s="915">
        <v>2010</v>
      </c>
      <c r="AK182" s="915">
        <v>0</v>
      </c>
      <c r="AL182" s="915">
        <v>0</v>
      </c>
      <c r="AO182" s="955"/>
      <c r="AP182" s="955"/>
      <c r="AQ182" s="915" t="str">
        <f t="shared" si="4"/>
        <v>VO04376039</v>
      </c>
      <c r="AS182" s="915" t="str">
        <f t="shared" si="5"/>
        <v>wci_corp</v>
      </c>
    </row>
    <row r="183" spans="2:45">
      <c r="B183" s="915" t="s">
        <v>2365</v>
      </c>
      <c r="C183" s="952">
        <v>42978</v>
      </c>
      <c r="D183" s="953">
        <v>-8134.34</v>
      </c>
      <c r="E183" s="953">
        <v>0</v>
      </c>
      <c r="F183" s="954" t="s">
        <v>1613</v>
      </c>
      <c r="G183" s="915" t="s">
        <v>2536</v>
      </c>
      <c r="H183" s="955" t="s">
        <v>1615</v>
      </c>
      <c r="I183" s="915" t="s">
        <v>2056</v>
      </c>
      <c r="J183" s="915" t="s">
        <v>2018</v>
      </c>
      <c r="K183" s="915" t="s">
        <v>1618</v>
      </c>
      <c r="L183" s="919"/>
      <c r="M183" s="919"/>
      <c r="N183" s="919" t="s">
        <v>2524</v>
      </c>
      <c r="O183" s="940"/>
      <c r="P183" s="919"/>
      <c r="Q183" s="919"/>
      <c r="U183" s="915" t="s">
        <v>2525</v>
      </c>
      <c r="V183" s="915" t="s">
        <v>2537</v>
      </c>
      <c r="X183" s="952">
        <v>42954</v>
      </c>
      <c r="Y183" s="952">
        <v>42954</v>
      </c>
      <c r="AA183" s="952"/>
      <c r="AB183" s="915" t="s">
        <v>1626</v>
      </c>
      <c r="AC183" s="915">
        <v>0</v>
      </c>
      <c r="AD183" s="915">
        <v>0</v>
      </c>
      <c r="AE183" s="915">
        <v>0</v>
      </c>
      <c r="AF183" s="915">
        <v>0</v>
      </c>
      <c r="AG183" s="915">
        <v>5</v>
      </c>
      <c r="AH183" s="915">
        <v>1</v>
      </c>
      <c r="AI183" s="915">
        <v>60225</v>
      </c>
      <c r="AJ183" s="915">
        <v>2010</v>
      </c>
      <c r="AK183" s="915">
        <v>0</v>
      </c>
      <c r="AL183" s="915">
        <v>0</v>
      </c>
      <c r="AO183" s="955"/>
      <c r="AP183" s="955"/>
      <c r="AQ183" s="915" t="str">
        <f t="shared" si="4"/>
        <v/>
      </c>
      <c r="AS183" s="915" t="str">
        <f t="shared" si="5"/>
        <v>wci_corp</v>
      </c>
    </row>
    <row r="184" spans="2:45">
      <c r="B184" s="915" t="s">
        <v>2365</v>
      </c>
      <c r="C184" s="952">
        <v>42978</v>
      </c>
      <c r="D184" s="953">
        <v>-2480.25</v>
      </c>
      <c r="E184" s="953">
        <v>0</v>
      </c>
      <c r="F184" s="954" t="s">
        <v>1613</v>
      </c>
      <c r="G184" s="915" t="s">
        <v>2536</v>
      </c>
      <c r="H184" s="955" t="s">
        <v>1615</v>
      </c>
      <c r="I184" s="915" t="s">
        <v>2056</v>
      </c>
      <c r="J184" s="915" t="s">
        <v>2018</v>
      </c>
      <c r="K184" s="915" t="s">
        <v>1618</v>
      </c>
      <c r="L184" s="919"/>
      <c r="M184" s="919"/>
      <c r="N184" s="919" t="s">
        <v>2526</v>
      </c>
      <c r="O184" s="940"/>
      <c r="P184" s="919"/>
      <c r="Q184" s="919"/>
      <c r="U184" s="915" t="s">
        <v>2525</v>
      </c>
      <c r="V184" s="915" t="s">
        <v>2537</v>
      </c>
      <c r="X184" s="952">
        <v>42954</v>
      </c>
      <c r="Y184" s="952">
        <v>42954</v>
      </c>
      <c r="AA184" s="952"/>
      <c r="AB184" s="915" t="s">
        <v>1626</v>
      </c>
      <c r="AC184" s="915">
        <v>0</v>
      </c>
      <c r="AD184" s="915">
        <v>0</v>
      </c>
      <c r="AE184" s="915">
        <v>0</v>
      </c>
      <c r="AF184" s="915">
        <v>0</v>
      </c>
      <c r="AG184" s="915">
        <v>5</v>
      </c>
      <c r="AH184" s="915">
        <v>1</v>
      </c>
      <c r="AI184" s="915">
        <v>60225</v>
      </c>
      <c r="AJ184" s="915">
        <v>2010</v>
      </c>
      <c r="AK184" s="915">
        <v>0</v>
      </c>
      <c r="AL184" s="915">
        <v>0</v>
      </c>
      <c r="AO184" s="955"/>
      <c r="AP184" s="955"/>
      <c r="AQ184" s="915" t="str">
        <f t="shared" si="4"/>
        <v/>
      </c>
      <c r="AS184" s="915" t="str">
        <f t="shared" si="5"/>
        <v>wci_corp</v>
      </c>
    </row>
    <row r="185" spans="2:45">
      <c r="B185" s="915" t="s">
        <v>2365</v>
      </c>
      <c r="C185" s="952">
        <v>42978</v>
      </c>
      <c r="D185" s="953">
        <v>-128.12</v>
      </c>
      <c r="E185" s="953">
        <v>0</v>
      </c>
      <c r="F185" s="954" t="s">
        <v>1613</v>
      </c>
      <c r="G185" s="915" t="s">
        <v>2536</v>
      </c>
      <c r="H185" s="955" t="s">
        <v>1615</v>
      </c>
      <c r="I185" s="915" t="s">
        <v>2056</v>
      </c>
      <c r="J185" s="915" t="s">
        <v>2018</v>
      </c>
      <c r="K185" s="915" t="s">
        <v>1618</v>
      </c>
      <c r="L185" s="919"/>
      <c r="M185" s="919"/>
      <c r="N185" s="919" t="s">
        <v>2527</v>
      </c>
      <c r="O185" s="940"/>
      <c r="P185" s="919"/>
      <c r="Q185" s="919"/>
      <c r="U185" s="915" t="s">
        <v>2525</v>
      </c>
      <c r="V185" s="915" t="s">
        <v>2537</v>
      </c>
      <c r="X185" s="952">
        <v>42954</v>
      </c>
      <c r="Y185" s="952">
        <v>42954</v>
      </c>
      <c r="AA185" s="952"/>
      <c r="AB185" s="915" t="s">
        <v>1626</v>
      </c>
      <c r="AC185" s="915">
        <v>0</v>
      </c>
      <c r="AD185" s="915">
        <v>0</v>
      </c>
      <c r="AE185" s="915">
        <v>0</v>
      </c>
      <c r="AF185" s="915">
        <v>0</v>
      </c>
      <c r="AG185" s="915">
        <v>5</v>
      </c>
      <c r="AH185" s="915">
        <v>1</v>
      </c>
      <c r="AI185" s="915">
        <v>60225</v>
      </c>
      <c r="AJ185" s="915">
        <v>2010</v>
      </c>
      <c r="AK185" s="915">
        <v>0</v>
      </c>
      <c r="AL185" s="915">
        <v>0</v>
      </c>
      <c r="AO185" s="955"/>
      <c r="AP185" s="955"/>
      <c r="AQ185" s="915" t="str">
        <f t="shared" si="4"/>
        <v/>
      </c>
      <c r="AS185" s="915" t="str">
        <f t="shared" si="5"/>
        <v>wci_corp</v>
      </c>
    </row>
    <row r="186" spans="2:45">
      <c r="B186" s="915" t="s">
        <v>2365</v>
      </c>
      <c r="C186" s="952">
        <v>42978</v>
      </c>
      <c r="D186" s="953">
        <v>-300</v>
      </c>
      <c r="E186" s="953">
        <v>0</v>
      </c>
      <c r="F186" s="954" t="s">
        <v>1613</v>
      </c>
      <c r="G186" s="915" t="s">
        <v>2538</v>
      </c>
      <c r="H186" s="955" t="s">
        <v>1615</v>
      </c>
      <c r="I186" s="915" t="s">
        <v>1999</v>
      </c>
      <c r="J186" s="915" t="s">
        <v>2018</v>
      </c>
      <c r="K186" s="915" t="s">
        <v>1618</v>
      </c>
      <c r="L186" s="919"/>
      <c r="M186" s="919"/>
      <c r="N186" s="919" t="s">
        <v>2433</v>
      </c>
      <c r="O186" s="940"/>
      <c r="P186" s="919"/>
      <c r="Q186" s="919"/>
      <c r="U186" s="915" t="s">
        <v>2529</v>
      </c>
      <c r="V186" s="915" t="s">
        <v>2539</v>
      </c>
      <c r="X186" s="952">
        <v>42954</v>
      </c>
      <c r="Y186" s="952">
        <v>42954</v>
      </c>
      <c r="AA186" s="952"/>
      <c r="AB186" s="915" t="s">
        <v>1626</v>
      </c>
      <c r="AC186" s="915">
        <v>0</v>
      </c>
      <c r="AD186" s="915">
        <v>0</v>
      </c>
      <c r="AE186" s="915">
        <v>0</v>
      </c>
      <c r="AF186" s="915">
        <v>0</v>
      </c>
      <c r="AG186" s="915">
        <v>5</v>
      </c>
      <c r="AH186" s="915">
        <v>1</v>
      </c>
      <c r="AI186" s="915">
        <v>60225</v>
      </c>
      <c r="AJ186" s="915">
        <v>2010</v>
      </c>
      <c r="AK186" s="915">
        <v>0</v>
      </c>
      <c r="AL186" s="915">
        <v>0</v>
      </c>
      <c r="AO186" s="955"/>
      <c r="AP186" s="955"/>
      <c r="AQ186" s="915" t="str">
        <f t="shared" si="4"/>
        <v/>
      </c>
      <c r="AS186" s="915" t="str">
        <f t="shared" si="5"/>
        <v>wci_corp</v>
      </c>
    </row>
    <row r="187" spans="2:45">
      <c r="B187" s="915" t="s">
        <v>2365</v>
      </c>
      <c r="C187" s="952">
        <v>42978</v>
      </c>
      <c r="D187" s="953">
        <v>-114.63</v>
      </c>
      <c r="E187" s="953">
        <v>0</v>
      </c>
      <c r="F187" s="954" t="s">
        <v>1613</v>
      </c>
      <c r="G187" s="915" t="s">
        <v>2538</v>
      </c>
      <c r="H187" s="955" t="s">
        <v>1615</v>
      </c>
      <c r="I187" s="915" t="s">
        <v>1999</v>
      </c>
      <c r="J187" s="915" t="s">
        <v>2018</v>
      </c>
      <c r="K187" s="915" t="s">
        <v>1618</v>
      </c>
      <c r="L187" s="919"/>
      <c r="M187" s="919"/>
      <c r="N187" s="919" t="s">
        <v>2506</v>
      </c>
      <c r="O187" s="940"/>
      <c r="P187" s="919"/>
      <c r="Q187" s="919"/>
      <c r="U187" s="915" t="s">
        <v>2529</v>
      </c>
      <c r="V187" s="915" t="s">
        <v>2539</v>
      </c>
      <c r="X187" s="952">
        <v>42954</v>
      </c>
      <c r="Y187" s="952">
        <v>42954</v>
      </c>
      <c r="AA187" s="952"/>
      <c r="AB187" s="915" t="s">
        <v>1626</v>
      </c>
      <c r="AC187" s="915">
        <v>0</v>
      </c>
      <c r="AD187" s="915">
        <v>0</v>
      </c>
      <c r="AE187" s="915">
        <v>0</v>
      </c>
      <c r="AF187" s="915">
        <v>0</v>
      </c>
      <c r="AG187" s="915">
        <v>5</v>
      </c>
      <c r="AH187" s="915">
        <v>1</v>
      </c>
      <c r="AI187" s="915">
        <v>60225</v>
      </c>
      <c r="AJ187" s="915">
        <v>2010</v>
      </c>
      <c r="AK187" s="915">
        <v>0</v>
      </c>
      <c r="AL187" s="915">
        <v>0</v>
      </c>
      <c r="AO187" s="955"/>
      <c r="AP187" s="955"/>
      <c r="AQ187" s="915" t="str">
        <f t="shared" si="4"/>
        <v/>
      </c>
      <c r="AS187" s="915" t="str">
        <f t="shared" si="5"/>
        <v>wci_corp</v>
      </c>
    </row>
    <row r="188" spans="2:45">
      <c r="B188" s="915" t="s">
        <v>2365</v>
      </c>
      <c r="C188" s="952">
        <v>42978</v>
      </c>
      <c r="D188" s="953">
        <v>-917.88</v>
      </c>
      <c r="E188" s="953">
        <v>0</v>
      </c>
      <c r="F188" s="954" t="s">
        <v>1613</v>
      </c>
      <c r="G188" s="915" t="s">
        <v>2538</v>
      </c>
      <c r="H188" s="955" t="s">
        <v>1615</v>
      </c>
      <c r="I188" s="915" t="s">
        <v>1999</v>
      </c>
      <c r="J188" s="915" t="s">
        <v>2018</v>
      </c>
      <c r="K188" s="915" t="s">
        <v>1618</v>
      </c>
      <c r="L188" s="919"/>
      <c r="M188" s="919"/>
      <c r="N188" s="919" t="s">
        <v>2507</v>
      </c>
      <c r="O188" s="940"/>
      <c r="P188" s="919"/>
      <c r="Q188" s="919"/>
      <c r="U188" s="915" t="s">
        <v>2529</v>
      </c>
      <c r="V188" s="915" t="s">
        <v>2539</v>
      </c>
      <c r="X188" s="952">
        <v>42954</v>
      </c>
      <c r="Y188" s="952">
        <v>42954</v>
      </c>
      <c r="AA188" s="952"/>
      <c r="AB188" s="915" t="s">
        <v>1626</v>
      </c>
      <c r="AC188" s="915">
        <v>0</v>
      </c>
      <c r="AD188" s="915">
        <v>0</v>
      </c>
      <c r="AE188" s="915">
        <v>0</v>
      </c>
      <c r="AF188" s="915">
        <v>0</v>
      </c>
      <c r="AG188" s="915">
        <v>5</v>
      </c>
      <c r="AH188" s="915">
        <v>1</v>
      </c>
      <c r="AI188" s="915">
        <v>60225</v>
      </c>
      <c r="AJ188" s="915">
        <v>2010</v>
      </c>
      <c r="AK188" s="915">
        <v>0</v>
      </c>
      <c r="AL188" s="915">
        <v>0</v>
      </c>
      <c r="AO188" s="955"/>
      <c r="AP188" s="955"/>
      <c r="AQ188" s="915" t="str">
        <f t="shared" si="4"/>
        <v/>
      </c>
      <c r="AS188" s="915" t="str">
        <f t="shared" si="5"/>
        <v>wci_corp</v>
      </c>
    </row>
    <row r="189" spans="2:45">
      <c r="B189" s="915" t="s">
        <v>2365</v>
      </c>
      <c r="C189" s="952">
        <v>42978</v>
      </c>
      <c r="D189" s="953">
        <v>-165.29</v>
      </c>
      <c r="E189" s="953">
        <v>0</v>
      </c>
      <c r="F189" s="954" t="s">
        <v>1613</v>
      </c>
      <c r="G189" s="915" t="s">
        <v>2538</v>
      </c>
      <c r="H189" s="955" t="s">
        <v>1615</v>
      </c>
      <c r="I189" s="915" t="s">
        <v>1999</v>
      </c>
      <c r="J189" s="915" t="s">
        <v>2018</v>
      </c>
      <c r="K189" s="915" t="s">
        <v>1618</v>
      </c>
      <c r="L189" s="919"/>
      <c r="M189" s="919"/>
      <c r="N189" s="919" t="s">
        <v>2530</v>
      </c>
      <c r="O189" s="940"/>
      <c r="P189" s="919"/>
      <c r="Q189" s="919"/>
      <c r="U189" s="915" t="s">
        <v>2529</v>
      </c>
      <c r="V189" s="915" t="s">
        <v>2539</v>
      </c>
      <c r="X189" s="952">
        <v>42954</v>
      </c>
      <c r="Y189" s="952">
        <v>42954</v>
      </c>
      <c r="AA189" s="952"/>
      <c r="AB189" s="915" t="s">
        <v>1626</v>
      </c>
      <c r="AC189" s="915">
        <v>0</v>
      </c>
      <c r="AD189" s="915">
        <v>0</v>
      </c>
      <c r="AE189" s="915">
        <v>0</v>
      </c>
      <c r="AF189" s="915">
        <v>0</v>
      </c>
      <c r="AG189" s="915">
        <v>5</v>
      </c>
      <c r="AH189" s="915">
        <v>1</v>
      </c>
      <c r="AI189" s="915">
        <v>60225</v>
      </c>
      <c r="AJ189" s="915">
        <v>2010</v>
      </c>
      <c r="AK189" s="915">
        <v>0</v>
      </c>
      <c r="AL189" s="915">
        <v>0</v>
      </c>
      <c r="AO189" s="955"/>
      <c r="AP189" s="955"/>
      <c r="AQ189" s="915" t="str">
        <f t="shared" si="4"/>
        <v/>
      </c>
      <c r="AS189" s="915" t="str">
        <f t="shared" si="5"/>
        <v>wci_corp</v>
      </c>
    </row>
    <row r="190" spans="2:45">
      <c r="B190" s="915" t="s">
        <v>2365</v>
      </c>
      <c r="C190" s="952">
        <v>42978</v>
      </c>
      <c r="D190" s="953">
        <v>300</v>
      </c>
      <c r="E190" s="953">
        <v>0</v>
      </c>
      <c r="F190" s="954" t="s">
        <v>1613</v>
      </c>
      <c r="G190" s="915" t="s">
        <v>2099</v>
      </c>
      <c r="H190" s="955" t="s">
        <v>1615</v>
      </c>
      <c r="I190" s="915" t="s">
        <v>2100</v>
      </c>
      <c r="J190" s="915" t="s">
        <v>2018</v>
      </c>
      <c r="K190" s="915" t="s">
        <v>1618</v>
      </c>
      <c r="L190" s="919"/>
      <c r="M190" s="919"/>
      <c r="N190" s="919" t="s">
        <v>2314</v>
      </c>
      <c r="O190" s="940"/>
      <c r="P190" s="919"/>
      <c r="Q190" s="919"/>
      <c r="U190" s="915" t="s">
        <v>2101</v>
      </c>
      <c r="V190" s="915" t="s">
        <v>2101</v>
      </c>
      <c r="X190" s="952">
        <v>42983</v>
      </c>
      <c r="Y190" s="952">
        <v>42984</v>
      </c>
      <c r="AA190" s="952"/>
      <c r="AB190" s="915" t="s">
        <v>1626</v>
      </c>
      <c r="AC190" s="915">
        <v>0</v>
      </c>
      <c r="AD190" s="915">
        <v>0</v>
      </c>
      <c r="AE190" s="915">
        <v>0</v>
      </c>
      <c r="AF190" s="915">
        <v>0</v>
      </c>
      <c r="AG190" s="915">
        <v>0</v>
      </c>
      <c r="AH190" s="915">
        <v>1</v>
      </c>
      <c r="AI190" s="915">
        <v>60225</v>
      </c>
      <c r="AJ190" s="915">
        <v>2010</v>
      </c>
      <c r="AK190" s="915">
        <v>0</v>
      </c>
      <c r="AL190" s="915">
        <v>0</v>
      </c>
      <c r="AO190" s="955"/>
      <c r="AP190" s="955"/>
      <c r="AQ190" s="915" t="str">
        <f t="shared" si="4"/>
        <v/>
      </c>
      <c r="AS190" s="915" t="str">
        <f t="shared" si="5"/>
        <v>wci_corp</v>
      </c>
    </row>
    <row r="191" spans="2:45">
      <c r="B191" s="915" t="s">
        <v>2365</v>
      </c>
      <c r="C191" s="952">
        <v>42978</v>
      </c>
      <c r="D191" s="953">
        <v>114.63</v>
      </c>
      <c r="E191" s="953">
        <v>0</v>
      </c>
      <c r="F191" s="954" t="s">
        <v>1613</v>
      </c>
      <c r="G191" s="915" t="s">
        <v>2099</v>
      </c>
      <c r="H191" s="955" t="s">
        <v>1615</v>
      </c>
      <c r="I191" s="915" t="s">
        <v>2100</v>
      </c>
      <c r="J191" s="915" t="s">
        <v>2018</v>
      </c>
      <c r="K191" s="915" t="s">
        <v>1618</v>
      </c>
      <c r="L191" s="919"/>
      <c r="M191" s="919"/>
      <c r="N191" s="919" t="s">
        <v>2489</v>
      </c>
      <c r="O191" s="940"/>
      <c r="P191" s="919"/>
      <c r="Q191" s="919"/>
      <c r="U191" s="915" t="s">
        <v>2101</v>
      </c>
      <c r="V191" s="915" t="s">
        <v>2101</v>
      </c>
      <c r="X191" s="952">
        <v>42983</v>
      </c>
      <c r="Y191" s="952">
        <v>42984</v>
      </c>
      <c r="AA191" s="952"/>
      <c r="AB191" s="915" t="s">
        <v>1626</v>
      </c>
      <c r="AC191" s="915">
        <v>0</v>
      </c>
      <c r="AD191" s="915">
        <v>0</v>
      </c>
      <c r="AE191" s="915">
        <v>0</v>
      </c>
      <c r="AF191" s="915">
        <v>0</v>
      </c>
      <c r="AG191" s="915">
        <v>0</v>
      </c>
      <c r="AH191" s="915">
        <v>1</v>
      </c>
      <c r="AI191" s="915">
        <v>60225</v>
      </c>
      <c r="AJ191" s="915">
        <v>2010</v>
      </c>
      <c r="AK191" s="915">
        <v>0</v>
      </c>
      <c r="AL191" s="915">
        <v>0</v>
      </c>
      <c r="AO191" s="955"/>
      <c r="AP191" s="955"/>
      <c r="AQ191" s="915" t="str">
        <f t="shared" si="4"/>
        <v/>
      </c>
      <c r="AS191" s="915" t="str">
        <f t="shared" si="5"/>
        <v>wci_corp</v>
      </c>
    </row>
    <row r="192" spans="2:45">
      <c r="B192" s="915" t="s">
        <v>2365</v>
      </c>
      <c r="C192" s="952">
        <v>42978</v>
      </c>
      <c r="D192" s="953">
        <v>917.88</v>
      </c>
      <c r="E192" s="953">
        <v>0</v>
      </c>
      <c r="F192" s="954" t="s">
        <v>1613</v>
      </c>
      <c r="G192" s="915" t="s">
        <v>2099</v>
      </c>
      <c r="H192" s="955" t="s">
        <v>1615</v>
      </c>
      <c r="I192" s="915" t="s">
        <v>2100</v>
      </c>
      <c r="J192" s="915" t="s">
        <v>2018</v>
      </c>
      <c r="K192" s="915" t="s">
        <v>1618</v>
      </c>
      <c r="L192" s="919"/>
      <c r="M192" s="919"/>
      <c r="N192" s="919" t="s">
        <v>2489</v>
      </c>
      <c r="O192" s="940"/>
      <c r="P192" s="919"/>
      <c r="Q192" s="919"/>
      <c r="U192" s="915" t="s">
        <v>2101</v>
      </c>
      <c r="V192" s="915" t="s">
        <v>2101</v>
      </c>
      <c r="X192" s="952">
        <v>42983</v>
      </c>
      <c r="Y192" s="952">
        <v>42984</v>
      </c>
      <c r="AA192" s="952"/>
      <c r="AB192" s="915" t="s">
        <v>1626</v>
      </c>
      <c r="AC192" s="915">
        <v>0</v>
      </c>
      <c r="AD192" s="915">
        <v>0</v>
      </c>
      <c r="AE192" s="915">
        <v>0</v>
      </c>
      <c r="AF192" s="915">
        <v>0</v>
      </c>
      <c r="AG192" s="915">
        <v>0</v>
      </c>
      <c r="AH192" s="915">
        <v>1</v>
      </c>
      <c r="AI192" s="915">
        <v>60225</v>
      </c>
      <c r="AJ192" s="915">
        <v>2010</v>
      </c>
      <c r="AK192" s="915">
        <v>0</v>
      </c>
      <c r="AL192" s="915">
        <v>0</v>
      </c>
      <c r="AO192" s="955"/>
      <c r="AP192" s="955"/>
      <c r="AQ192" s="915" t="str">
        <f t="shared" si="4"/>
        <v/>
      </c>
      <c r="AS192" s="915" t="str">
        <f t="shared" si="5"/>
        <v>wci_corp</v>
      </c>
    </row>
    <row r="193" spans="2:45">
      <c r="B193" s="915" t="s">
        <v>2365</v>
      </c>
      <c r="C193" s="952">
        <v>42978</v>
      </c>
      <c r="D193" s="953">
        <v>3034.01</v>
      </c>
      <c r="E193" s="953">
        <v>0</v>
      </c>
      <c r="F193" s="954" t="s">
        <v>1613</v>
      </c>
      <c r="G193" s="915" t="s">
        <v>2099</v>
      </c>
      <c r="H193" s="955" t="s">
        <v>1615</v>
      </c>
      <c r="I193" s="915" t="s">
        <v>2100</v>
      </c>
      <c r="J193" s="915" t="s">
        <v>2018</v>
      </c>
      <c r="K193" s="915" t="s">
        <v>1618</v>
      </c>
      <c r="L193" s="919"/>
      <c r="M193" s="919"/>
      <c r="N193" s="919" t="s">
        <v>2540</v>
      </c>
      <c r="O193" s="940"/>
      <c r="P193" s="919"/>
      <c r="Q193" s="919"/>
      <c r="U193" s="915" t="s">
        <v>2101</v>
      </c>
      <c r="V193" s="915" t="s">
        <v>2101</v>
      </c>
      <c r="X193" s="952">
        <v>42983</v>
      </c>
      <c r="Y193" s="952">
        <v>42984</v>
      </c>
      <c r="AA193" s="952"/>
      <c r="AB193" s="915" t="s">
        <v>1626</v>
      </c>
      <c r="AC193" s="915">
        <v>0</v>
      </c>
      <c r="AD193" s="915">
        <v>0</v>
      </c>
      <c r="AE193" s="915">
        <v>0</v>
      </c>
      <c r="AF193" s="915">
        <v>0</v>
      </c>
      <c r="AG193" s="915">
        <v>0</v>
      </c>
      <c r="AH193" s="915">
        <v>1</v>
      </c>
      <c r="AI193" s="915">
        <v>60225</v>
      </c>
      <c r="AJ193" s="915">
        <v>2010</v>
      </c>
      <c r="AK193" s="915">
        <v>0</v>
      </c>
      <c r="AL193" s="915">
        <v>0</v>
      </c>
      <c r="AO193" s="955"/>
      <c r="AP193" s="955"/>
      <c r="AQ193" s="915" t="str">
        <f t="shared" si="4"/>
        <v/>
      </c>
      <c r="AS193" s="915" t="str">
        <f t="shared" si="5"/>
        <v>wci_corp</v>
      </c>
    </row>
    <row r="194" spans="2:45">
      <c r="B194" s="915" t="s">
        <v>2365</v>
      </c>
      <c r="C194" s="952">
        <v>42978</v>
      </c>
      <c r="D194" s="953">
        <v>8134.34</v>
      </c>
      <c r="E194" s="953">
        <v>0</v>
      </c>
      <c r="F194" s="954" t="s">
        <v>1613</v>
      </c>
      <c r="G194" s="915" t="s">
        <v>2099</v>
      </c>
      <c r="H194" s="955" t="s">
        <v>1615</v>
      </c>
      <c r="I194" s="915" t="s">
        <v>2100</v>
      </c>
      <c r="J194" s="915" t="s">
        <v>2018</v>
      </c>
      <c r="K194" s="915" t="s">
        <v>1618</v>
      </c>
      <c r="L194" s="919"/>
      <c r="M194" s="919"/>
      <c r="N194" s="919" t="s">
        <v>2524</v>
      </c>
      <c r="O194" s="940"/>
      <c r="P194" s="919"/>
      <c r="Q194" s="919"/>
      <c r="U194" s="915" t="s">
        <v>2101</v>
      </c>
      <c r="V194" s="915" t="s">
        <v>2101</v>
      </c>
      <c r="X194" s="952">
        <v>42983</v>
      </c>
      <c r="Y194" s="952">
        <v>42984</v>
      </c>
      <c r="AA194" s="952"/>
      <c r="AB194" s="915" t="s">
        <v>1626</v>
      </c>
      <c r="AC194" s="915">
        <v>0</v>
      </c>
      <c r="AD194" s="915">
        <v>0</v>
      </c>
      <c r="AE194" s="915">
        <v>0</v>
      </c>
      <c r="AF194" s="915">
        <v>0</v>
      </c>
      <c r="AG194" s="915">
        <v>0</v>
      </c>
      <c r="AH194" s="915">
        <v>1</v>
      </c>
      <c r="AI194" s="915">
        <v>60225</v>
      </c>
      <c r="AJ194" s="915">
        <v>2010</v>
      </c>
      <c r="AK194" s="915">
        <v>0</v>
      </c>
      <c r="AL194" s="915">
        <v>0</v>
      </c>
      <c r="AO194" s="955"/>
      <c r="AP194" s="955"/>
      <c r="AQ194" s="915" t="str">
        <f t="shared" si="4"/>
        <v/>
      </c>
      <c r="AS194" s="915" t="str">
        <f t="shared" si="5"/>
        <v>wci_corp</v>
      </c>
    </row>
    <row r="195" spans="2:45">
      <c r="B195" s="915" t="s">
        <v>2365</v>
      </c>
      <c r="C195" s="952">
        <v>42978</v>
      </c>
      <c r="D195" s="953">
        <v>2480.25</v>
      </c>
      <c r="E195" s="953">
        <v>0</v>
      </c>
      <c r="F195" s="954" t="s">
        <v>1613</v>
      </c>
      <c r="G195" s="915" t="s">
        <v>2099</v>
      </c>
      <c r="H195" s="955" t="s">
        <v>1615</v>
      </c>
      <c r="I195" s="915" t="s">
        <v>2100</v>
      </c>
      <c r="J195" s="915" t="s">
        <v>2018</v>
      </c>
      <c r="K195" s="915" t="s">
        <v>1618</v>
      </c>
      <c r="L195" s="919"/>
      <c r="M195" s="919"/>
      <c r="N195" s="919" t="s">
        <v>2526</v>
      </c>
      <c r="O195" s="940"/>
      <c r="P195" s="919"/>
      <c r="Q195" s="919"/>
      <c r="U195" s="915" t="s">
        <v>2101</v>
      </c>
      <c r="V195" s="915" t="s">
        <v>2101</v>
      </c>
      <c r="X195" s="952">
        <v>42983</v>
      </c>
      <c r="Y195" s="952">
        <v>42984</v>
      </c>
      <c r="AA195" s="952"/>
      <c r="AB195" s="915" t="s">
        <v>1626</v>
      </c>
      <c r="AC195" s="915">
        <v>0</v>
      </c>
      <c r="AD195" s="915">
        <v>0</v>
      </c>
      <c r="AE195" s="915">
        <v>0</v>
      </c>
      <c r="AF195" s="915">
        <v>0</v>
      </c>
      <c r="AG195" s="915">
        <v>0</v>
      </c>
      <c r="AH195" s="915">
        <v>1</v>
      </c>
      <c r="AI195" s="915">
        <v>60225</v>
      </c>
      <c r="AJ195" s="915">
        <v>2010</v>
      </c>
      <c r="AK195" s="915">
        <v>0</v>
      </c>
      <c r="AL195" s="915">
        <v>0</v>
      </c>
      <c r="AO195" s="955"/>
      <c r="AP195" s="955"/>
      <c r="AQ195" s="915" t="str">
        <f t="shared" si="4"/>
        <v/>
      </c>
      <c r="AS195" s="915" t="str">
        <f t="shared" si="5"/>
        <v>wci_corp</v>
      </c>
    </row>
    <row r="196" spans="2:45">
      <c r="B196" s="915" t="s">
        <v>2365</v>
      </c>
      <c r="C196" s="952">
        <v>42978</v>
      </c>
      <c r="D196" s="953">
        <v>2427.08</v>
      </c>
      <c r="E196" s="953">
        <v>0</v>
      </c>
      <c r="F196" s="954" t="s">
        <v>1613</v>
      </c>
      <c r="G196" s="915" t="s">
        <v>2099</v>
      </c>
      <c r="H196" s="955" t="s">
        <v>1615</v>
      </c>
      <c r="I196" s="915" t="s">
        <v>2100</v>
      </c>
      <c r="J196" s="915" t="s">
        <v>2018</v>
      </c>
      <c r="K196" s="915" t="s">
        <v>1618</v>
      </c>
      <c r="L196" s="919"/>
      <c r="M196" s="919"/>
      <c r="N196" s="919" t="s">
        <v>2526</v>
      </c>
      <c r="O196" s="940"/>
      <c r="P196" s="919"/>
      <c r="Q196" s="919"/>
      <c r="U196" s="915" t="s">
        <v>2101</v>
      </c>
      <c r="V196" s="915" t="s">
        <v>2101</v>
      </c>
      <c r="X196" s="952">
        <v>42983</v>
      </c>
      <c r="Y196" s="952">
        <v>42984</v>
      </c>
      <c r="AA196" s="952"/>
      <c r="AB196" s="915" t="s">
        <v>1626</v>
      </c>
      <c r="AC196" s="915">
        <v>0</v>
      </c>
      <c r="AD196" s="915">
        <v>0</v>
      </c>
      <c r="AE196" s="915">
        <v>0</v>
      </c>
      <c r="AF196" s="915">
        <v>0</v>
      </c>
      <c r="AG196" s="915">
        <v>0</v>
      </c>
      <c r="AH196" s="915">
        <v>1</v>
      </c>
      <c r="AI196" s="915">
        <v>60225</v>
      </c>
      <c r="AJ196" s="915">
        <v>2010</v>
      </c>
      <c r="AK196" s="915">
        <v>0</v>
      </c>
      <c r="AL196" s="915">
        <v>0</v>
      </c>
      <c r="AO196" s="955"/>
      <c r="AP196" s="955"/>
      <c r="AQ196" s="915" t="str">
        <f t="shared" si="4"/>
        <v/>
      </c>
      <c r="AS196" s="915" t="str">
        <f t="shared" si="5"/>
        <v>wci_corp</v>
      </c>
    </row>
    <row r="197" spans="2:45">
      <c r="B197" s="915" t="s">
        <v>2365</v>
      </c>
      <c r="C197" s="952">
        <v>42978</v>
      </c>
      <c r="D197" s="953">
        <v>128.12</v>
      </c>
      <c r="E197" s="953">
        <v>0</v>
      </c>
      <c r="F197" s="954" t="s">
        <v>1613</v>
      </c>
      <c r="G197" s="915" t="s">
        <v>2099</v>
      </c>
      <c r="H197" s="955" t="s">
        <v>1615</v>
      </c>
      <c r="I197" s="915" t="s">
        <v>2100</v>
      </c>
      <c r="J197" s="915" t="s">
        <v>2018</v>
      </c>
      <c r="K197" s="915" t="s">
        <v>1618</v>
      </c>
      <c r="L197" s="919"/>
      <c r="M197" s="919"/>
      <c r="N197" s="919" t="s">
        <v>2527</v>
      </c>
      <c r="O197" s="940"/>
      <c r="P197" s="919"/>
      <c r="Q197" s="919"/>
      <c r="U197" s="915" t="s">
        <v>2101</v>
      </c>
      <c r="V197" s="915" t="s">
        <v>2101</v>
      </c>
      <c r="X197" s="952">
        <v>42983</v>
      </c>
      <c r="Y197" s="952">
        <v>42984</v>
      </c>
      <c r="AA197" s="952"/>
      <c r="AB197" s="915" t="s">
        <v>1626</v>
      </c>
      <c r="AC197" s="915">
        <v>0</v>
      </c>
      <c r="AD197" s="915">
        <v>0</v>
      </c>
      <c r="AE197" s="915">
        <v>0</v>
      </c>
      <c r="AF197" s="915">
        <v>0</v>
      </c>
      <c r="AG197" s="915">
        <v>0</v>
      </c>
      <c r="AH197" s="915">
        <v>1</v>
      </c>
      <c r="AI197" s="915">
        <v>60225</v>
      </c>
      <c r="AJ197" s="915">
        <v>2010</v>
      </c>
      <c r="AK197" s="915">
        <v>0</v>
      </c>
      <c r="AL197" s="915">
        <v>0</v>
      </c>
      <c r="AO197" s="955"/>
      <c r="AP197" s="955"/>
      <c r="AQ197" s="915" t="str">
        <f t="shared" si="4"/>
        <v/>
      </c>
      <c r="AS197" s="915" t="str">
        <f t="shared" si="5"/>
        <v>wci_corp</v>
      </c>
    </row>
    <row r="198" spans="2:45">
      <c r="B198" s="915" t="s">
        <v>2365</v>
      </c>
      <c r="C198" s="952">
        <v>42978</v>
      </c>
      <c r="D198" s="953">
        <v>213.28</v>
      </c>
      <c r="E198" s="953">
        <v>0</v>
      </c>
      <c r="F198" s="954" t="s">
        <v>1613</v>
      </c>
      <c r="G198" s="915" t="s">
        <v>2099</v>
      </c>
      <c r="H198" s="955" t="s">
        <v>1615</v>
      </c>
      <c r="I198" s="915" t="s">
        <v>2100</v>
      </c>
      <c r="J198" s="915" t="s">
        <v>2018</v>
      </c>
      <c r="K198" s="915" t="s">
        <v>1618</v>
      </c>
      <c r="L198" s="919"/>
      <c r="M198" s="919"/>
      <c r="N198" s="919" t="s">
        <v>2489</v>
      </c>
      <c r="O198" s="940"/>
      <c r="P198" s="919"/>
      <c r="Q198" s="919"/>
      <c r="U198" s="915" t="s">
        <v>2101</v>
      </c>
      <c r="V198" s="915" t="s">
        <v>2101</v>
      </c>
      <c r="X198" s="952">
        <v>42983</v>
      </c>
      <c r="Y198" s="952">
        <v>42984</v>
      </c>
      <c r="AA198" s="952"/>
      <c r="AB198" s="915" t="s">
        <v>1626</v>
      </c>
      <c r="AC198" s="915">
        <v>0</v>
      </c>
      <c r="AD198" s="915">
        <v>0</v>
      </c>
      <c r="AE198" s="915">
        <v>0</v>
      </c>
      <c r="AF198" s="915">
        <v>0</v>
      </c>
      <c r="AG198" s="915">
        <v>0</v>
      </c>
      <c r="AH198" s="915">
        <v>1</v>
      </c>
      <c r="AI198" s="915">
        <v>60225</v>
      </c>
      <c r="AJ198" s="915">
        <v>2010</v>
      </c>
      <c r="AK198" s="915">
        <v>0</v>
      </c>
      <c r="AL198" s="915">
        <v>0</v>
      </c>
      <c r="AO198" s="955"/>
      <c r="AP198" s="955"/>
      <c r="AQ198" s="915" t="str">
        <f t="shared" si="4"/>
        <v/>
      </c>
      <c r="AS198" s="915" t="str">
        <f t="shared" si="5"/>
        <v>wci_corp</v>
      </c>
    </row>
    <row r="199" spans="2:45">
      <c r="B199" s="915" t="s">
        <v>2365</v>
      </c>
      <c r="C199" s="952">
        <v>42978</v>
      </c>
      <c r="D199" s="953">
        <v>727.13</v>
      </c>
      <c r="E199" s="953">
        <v>0</v>
      </c>
      <c r="F199" s="954" t="s">
        <v>1613</v>
      </c>
      <c r="G199" s="915" t="s">
        <v>2102</v>
      </c>
      <c r="H199" s="955" t="s">
        <v>1615</v>
      </c>
      <c r="I199" s="915" t="s">
        <v>2103</v>
      </c>
      <c r="J199" s="915" t="s">
        <v>2018</v>
      </c>
      <c r="K199" s="915" t="s">
        <v>1618</v>
      </c>
      <c r="L199" s="919"/>
      <c r="M199" s="919"/>
      <c r="N199" s="919" t="s">
        <v>2433</v>
      </c>
      <c r="O199" s="940"/>
      <c r="P199" s="919"/>
      <c r="Q199" s="919"/>
      <c r="U199" s="915" t="s">
        <v>2104</v>
      </c>
      <c r="V199" s="915" t="s">
        <v>2104</v>
      </c>
      <c r="X199" s="952">
        <v>42985</v>
      </c>
      <c r="Y199" s="952">
        <v>42985</v>
      </c>
      <c r="AA199" s="952"/>
      <c r="AB199" s="915" t="s">
        <v>1626</v>
      </c>
      <c r="AC199" s="915">
        <v>0</v>
      </c>
      <c r="AD199" s="915">
        <v>0</v>
      </c>
      <c r="AE199" s="915">
        <v>0</v>
      </c>
      <c r="AF199" s="915">
        <v>0</v>
      </c>
      <c r="AG199" s="915">
        <v>0</v>
      </c>
      <c r="AH199" s="915">
        <v>1</v>
      </c>
      <c r="AI199" s="915">
        <v>60225</v>
      </c>
      <c r="AJ199" s="915">
        <v>2010</v>
      </c>
      <c r="AK199" s="915">
        <v>0</v>
      </c>
      <c r="AL199" s="915">
        <v>0</v>
      </c>
      <c r="AO199" s="955"/>
      <c r="AP199" s="955"/>
      <c r="AQ199" s="915" t="str">
        <f t="shared" si="4"/>
        <v/>
      </c>
      <c r="AS199" s="915" t="str">
        <f t="shared" si="5"/>
        <v>wci_corp</v>
      </c>
    </row>
    <row r="200" spans="2:45">
      <c r="B200" s="915" t="s">
        <v>2365</v>
      </c>
      <c r="C200" s="952">
        <v>42978</v>
      </c>
      <c r="D200" s="953">
        <v>165.29</v>
      </c>
      <c r="E200" s="953">
        <v>0</v>
      </c>
      <c r="F200" s="954" t="s">
        <v>1613</v>
      </c>
      <c r="G200" s="915" t="s">
        <v>2102</v>
      </c>
      <c r="H200" s="955" t="s">
        <v>1615</v>
      </c>
      <c r="I200" s="915" t="s">
        <v>2103</v>
      </c>
      <c r="J200" s="915" t="s">
        <v>2018</v>
      </c>
      <c r="K200" s="915" t="s">
        <v>1618</v>
      </c>
      <c r="L200" s="919"/>
      <c r="M200" s="919"/>
      <c r="N200" s="919" t="s">
        <v>2530</v>
      </c>
      <c r="O200" s="940"/>
      <c r="P200" s="919"/>
      <c r="Q200" s="919"/>
      <c r="U200" s="915" t="s">
        <v>2104</v>
      </c>
      <c r="V200" s="915" t="s">
        <v>2104</v>
      </c>
      <c r="X200" s="952">
        <v>42985</v>
      </c>
      <c r="Y200" s="952">
        <v>42985</v>
      </c>
      <c r="AA200" s="952"/>
      <c r="AB200" s="915" t="s">
        <v>1626</v>
      </c>
      <c r="AC200" s="915">
        <v>0</v>
      </c>
      <c r="AD200" s="915">
        <v>0</v>
      </c>
      <c r="AE200" s="915">
        <v>0</v>
      </c>
      <c r="AF200" s="915">
        <v>0</v>
      </c>
      <c r="AG200" s="915">
        <v>0</v>
      </c>
      <c r="AH200" s="915">
        <v>1</v>
      </c>
      <c r="AI200" s="915">
        <v>60225</v>
      </c>
      <c r="AJ200" s="915">
        <v>2010</v>
      </c>
      <c r="AK200" s="915">
        <v>0</v>
      </c>
      <c r="AL200" s="915">
        <v>0</v>
      </c>
      <c r="AO200" s="955"/>
      <c r="AP200" s="955"/>
      <c r="AQ200" s="915" t="str">
        <f t="shared" si="4"/>
        <v/>
      </c>
      <c r="AS200" s="915" t="str">
        <f t="shared" si="5"/>
        <v>wci_corp</v>
      </c>
    </row>
    <row r="201" spans="2:45">
      <c r="B201" s="915" t="s">
        <v>2365</v>
      </c>
      <c r="C201" s="952">
        <v>42978</v>
      </c>
      <c r="D201" s="953">
        <v>30.36</v>
      </c>
      <c r="E201" s="953">
        <v>0</v>
      </c>
      <c r="F201" s="954" t="s">
        <v>1613</v>
      </c>
      <c r="G201" s="915" t="s">
        <v>2102</v>
      </c>
      <c r="H201" s="955" t="s">
        <v>1615</v>
      </c>
      <c r="I201" s="915" t="s">
        <v>2103</v>
      </c>
      <c r="J201" s="915" t="s">
        <v>2018</v>
      </c>
      <c r="K201" s="915" t="s">
        <v>1618</v>
      </c>
      <c r="L201" s="919"/>
      <c r="M201" s="919"/>
      <c r="N201" s="919" t="s">
        <v>2541</v>
      </c>
      <c r="O201" s="940"/>
      <c r="P201" s="919"/>
      <c r="Q201" s="919"/>
      <c r="U201" s="915" t="s">
        <v>2104</v>
      </c>
      <c r="V201" s="915" t="s">
        <v>2104</v>
      </c>
      <c r="X201" s="952">
        <v>42985</v>
      </c>
      <c r="Y201" s="952">
        <v>42985</v>
      </c>
      <c r="AA201" s="952"/>
      <c r="AB201" s="915" t="s">
        <v>1626</v>
      </c>
      <c r="AC201" s="915">
        <v>0</v>
      </c>
      <c r="AD201" s="915">
        <v>0</v>
      </c>
      <c r="AE201" s="915">
        <v>0</v>
      </c>
      <c r="AF201" s="915">
        <v>0</v>
      </c>
      <c r="AG201" s="915">
        <v>0</v>
      </c>
      <c r="AH201" s="915">
        <v>1</v>
      </c>
      <c r="AI201" s="915">
        <v>60225</v>
      </c>
      <c r="AJ201" s="915">
        <v>2010</v>
      </c>
      <c r="AK201" s="915">
        <v>0</v>
      </c>
      <c r="AL201" s="915">
        <v>0</v>
      </c>
      <c r="AO201" s="955"/>
      <c r="AP201" s="955"/>
      <c r="AQ201" s="915" t="str">
        <f t="shared" si="4"/>
        <v/>
      </c>
      <c r="AS201" s="915" t="str">
        <f t="shared" si="5"/>
        <v>wci_corp</v>
      </c>
    </row>
    <row r="202" spans="2:45">
      <c r="B202" s="915" t="s">
        <v>2365</v>
      </c>
      <c r="C202" s="952">
        <v>42978</v>
      </c>
      <c r="D202" s="953">
        <v>459.75</v>
      </c>
      <c r="E202" s="953">
        <v>0</v>
      </c>
      <c r="F202" s="954" t="s">
        <v>1613</v>
      </c>
      <c r="G202" s="915" t="s">
        <v>2102</v>
      </c>
      <c r="H202" s="955" t="s">
        <v>1615</v>
      </c>
      <c r="I202" s="915" t="s">
        <v>2103</v>
      </c>
      <c r="J202" s="915" t="s">
        <v>2018</v>
      </c>
      <c r="K202" s="915" t="s">
        <v>1618</v>
      </c>
      <c r="L202" s="919"/>
      <c r="M202" s="919"/>
      <c r="N202" s="919" t="s">
        <v>2542</v>
      </c>
      <c r="O202" s="940"/>
      <c r="P202" s="919"/>
      <c r="Q202" s="919"/>
      <c r="U202" s="915" t="s">
        <v>2104</v>
      </c>
      <c r="V202" s="915" t="s">
        <v>2104</v>
      </c>
      <c r="X202" s="952">
        <v>42985</v>
      </c>
      <c r="Y202" s="952">
        <v>42985</v>
      </c>
      <c r="AA202" s="952"/>
      <c r="AB202" s="915" t="s">
        <v>1626</v>
      </c>
      <c r="AC202" s="915">
        <v>0</v>
      </c>
      <c r="AD202" s="915">
        <v>0</v>
      </c>
      <c r="AE202" s="915">
        <v>0</v>
      </c>
      <c r="AF202" s="915">
        <v>0</v>
      </c>
      <c r="AG202" s="915">
        <v>0</v>
      </c>
      <c r="AH202" s="915">
        <v>1</v>
      </c>
      <c r="AI202" s="915">
        <v>60225</v>
      </c>
      <c r="AJ202" s="915">
        <v>2010</v>
      </c>
      <c r="AK202" s="915">
        <v>0</v>
      </c>
      <c r="AL202" s="915">
        <v>0</v>
      </c>
      <c r="AO202" s="955"/>
      <c r="AP202" s="955"/>
      <c r="AQ202" s="915" t="str">
        <f t="shared" si="4"/>
        <v/>
      </c>
      <c r="AS202" s="915" t="str">
        <f t="shared" si="5"/>
        <v>wci_corp</v>
      </c>
    </row>
    <row r="203" spans="2:45">
      <c r="B203" s="915" t="s">
        <v>2365</v>
      </c>
      <c r="C203" s="952">
        <v>42978</v>
      </c>
      <c r="D203" s="953">
        <v>304.58999999999997</v>
      </c>
      <c r="E203" s="953">
        <v>0</v>
      </c>
      <c r="F203" s="954" t="s">
        <v>1613</v>
      </c>
      <c r="G203" s="915" t="s">
        <v>2102</v>
      </c>
      <c r="H203" s="955" t="s">
        <v>1615</v>
      </c>
      <c r="I203" s="915" t="s">
        <v>2103</v>
      </c>
      <c r="J203" s="915" t="s">
        <v>2018</v>
      </c>
      <c r="K203" s="915" t="s">
        <v>1618</v>
      </c>
      <c r="L203" s="919"/>
      <c r="M203" s="919"/>
      <c r="N203" s="919" t="s">
        <v>2543</v>
      </c>
      <c r="O203" s="940"/>
      <c r="P203" s="919"/>
      <c r="Q203" s="919"/>
      <c r="U203" s="915" t="s">
        <v>2104</v>
      </c>
      <c r="V203" s="915" t="s">
        <v>2104</v>
      </c>
      <c r="X203" s="952">
        <v>42985</v>
      </c>
      <c r="Y203" s="952">
        <v>42985</v>
      </c>
      <c r="AA203" s="952"/>
      <c r="AB203" s="915" t="s">
        <v>1626</v>
      </c>
      <c r="AC203" s="915">
        <v>0</v>
      </c>
      <c r="AD203" s="915">
        <v>0</v>
      </c>
      <c r="AE203" s="915">
        <v>0</v>
      </c>
      <c r="AF203" s="915">
        <v>0</v>
      </c>
      <c r="AG203" s="915">
        <v>0</v>
      </c>
      <c r="AH203" s="915">
        <v>1</v>
      </c>
      <c r="AI203" s="915">
        <v>60225</v>
      </c>
      <c r="AJ203" s="915">
        <v>2010</v>
      </c>
      <c r="AK203" s="915">
        <v>0</v>
      </c>
      <c r="AL203" s="915">
        <v>0</v>
      </c>
      <c r="AO203" s="955"/>
      <c r="AP203" s="955"/>
      <c r="AQ203" s="915" t="str">
        <f t="shared" si="4"/>
        <v/>
      </c>
      <c r="AS203" s="915" t="str">
        <f t="shared" si="5"/>
        <v>wci_corp</v>
      </c>
    </row>
    <row r="204" spans="2:45">
      <c r="B204" s="915" t="s">
        <v>2365</v>
      </c>
      <c r="C204" s="952">
        <v>42978</v>
      </c>
      <c r="D204" s="953">
        <v>79.400000000000006</v>
      </c>
      <c r="E204" s="953">
        <v>0</v>
      </c>
      <c r="F204" s="954" t="s">
        <v>1613</v>
      </c>
      <c r="G204" s="915" t="s">
        <v>2102</v>
      </c>
      <c r="H204" s="955" t="s">
        <v>1615</v>
      </c>
      <c r="I204" s="915" t="s">
        <v>2103</v>
      </c>
      <c r="J204" s="915" t="s">
        <v>2018</v>
      </c>
      <c r="K204" s="915" t="s">
        <v>1618</v>
      </c>
      <c r="L204" s="919"/>
      <c r="M204" s="919"/>
      <c r="N204" s="919" t="s">
        <v>2544</v>
      </c>
      <c r="O204" s="940"/>
      <c r="P204" s="919"/>
      <c r="Q204" s="919"/>
      <c r="U204" s="915" t="s">
        <v>2104</v>
      </c>
      <c r="V204" s="915" t="s">
        <v>2104</v>
      </c>
      <c r="X204" s="952">
        <v>42985</v>
      </c>
      <c r="Y204" s="952">
        <v>42985</v>
      </c>
      <c r="AA204" s="952"/>
      <c r="AB204" s="915" t="s">
        <v>1626</v>
      </c>
      <c r="AC204" s="915">
        <v>0</v>
      </c>
      <c r="AD204" s="915">
        <v>0</v>
      </c>
      <c r="AE204" s="915">
        <v>0</v>
      </c>
      <c r="AF204" s="915">
        <v>0</v>
      </c>
      <c r="AG204" s="915">
        <v>0</v>
      </c>
      <c r="AH204" s="915">
        <v>1</v>
      </c>
      <c r="AI204" s="915">
        <v>60225</v>
      </c>
      <c r="AJ204" s="915">
        <v>2010</v>
      </c>
      <c r="AK204" s="915">
        <v>0</v>
      </c>
      <c r="AL204" s="915">
        <v>0</v>
      </c>
      <c r="AO204" s="955"/>
      <c r="AP204" s="955"/>
      <c r="AQ204" s="915" t="str">
        <f t="shared" si="4"/>
        <v/>
      </c>
      <c r="AS204" s="915" t="str">
        <f t="shared" si="5"/>
        <v>wci_corp</v>
      </c>
    </row>
    <row r="205" spans="2:45">
      <c r="B205" s="915" t="s">
        <v>2365</v>
      </c>
      <c r="C205" s="952">
        <v>43008</v>
      </c>
      <c r="D205" s="953">
        <v>-727.13</v>
      </c>
      <c r="E205" s="953">
        <v>0</v>
      </c>
      <c r="F205" s="954" t="s">
        <v>1613</v>
      </c>
      <c r="G205" s="915" t="s">
        <v>2108</v>
      </c>
      <c r="H205" s="955" t="s">
        <v>1615</v>
      </c>
      <c r="I205" s="915" t="s">
        <v>2103</v>
      </c>
      <c r="J205" s="915" t="s">
        <v>2018</v>
      </c>
      <c r="K205" s="915" t="s">
        <v>1618</v>
      </c>
      <c r="L205" s="919"/>
      <c r="M205" s="919"/>
      <c r="N205" s="919" t="s">
        <v>2433</v>
      </c>
      <c r="O205" s="940"/>
      <c r="P205" s="919"/>
      <c r="Q205" s="919"/>
      <c r="U205" s="915" t="s">
        <v>2104</v>
      </c>
      <c r="V205" s="915" t="s">
        <v>2109</v>
      </c>
      <c r="X205" s="952">
        <v>42985</v>
      </c>
      <c r="Y205" s="952">
        <v>42985</v>
      </c>
      <c r="AA205" s="952"/>
      <c r="AB205" s="915" t="s">
        <v>1626</v>
      </c>
      <c r="AC205" s="915">
        <v>0</v>
      </c>
      <c r="AD205" s="915">
        <v>0</v>
      </c>
      <c r="AE205" s="915">
        <v>0</v>
      </c>
      <c r="AF205" s="915">
        <v>0</v>
      </c>
      <c r="AG205" s="915">
        <v>5</v>
      </c>
      <c r="AH205" s="915">
        <v>1</v>
      </c>
      <c r="AI205" s="915">
        <v>60225</v>
      </c>
      <c r="AJ205" s="915">
        <v>2010</v>
      </c>
      <c r="AK205" s="915">
        <v>0</v>
      </c>
      <c r="AL205" s="915">
        <v>0</v>
      </c>
      <c r="AO205" s="955"/>
      <c r="AP205" s="955"/>
      <c r="AQ205" s="915" t="str">
        <f t="shared" si="4"/>
        <v/>
      </c>
      <c r="AS205" s="915" t="str">
        <f t="shared" si="5"/>
        <v>wci_corp</v>
      </c>
    </row>
    <row r="206" spans="2:45">
      <c r="B206" s="915" t="s">
        <v>2365</v>
      </c>
      <c r="C206" s="952">
        <v>43008</v>
      </c>
      <c r="D206" s="953">
        <v>-165.29</v>
      </c>
      <c r="E206" s="953">
        <v>0</v>
      </c>
      <c r="F206" s="954" t="s">
        <v>1613</v>
      </c>
      <c r="G206" s="915" t="s">
        <v>2108</v>
      </c>
      <c r="H206" s="955" t="s">
        <v>1615</v>
      </c>
      <c r="I206" s="915" t="s">
        <v>2103</v>
      </c>
      <c r="J206" s="915" t="s">
        <v>2018</v>
      </c>
      <c r="K206" s="915" t="s">
        <v>1618</v>
      </c>
      <c r="L206" s="919"/>
      <c r="M206" s="919"/>
      <c r="N206" s="919" t="s">
        <v>2530</v>
      </c>
      <c r="O206" s="940"/>
      <c r="P206" s="919"/>
      <c r="Q206" s="919"/>
      <c r="U206" s="915" t="s">
        <v>2104</v>
      </c>
      <c r="V206" s="915" t="s">
        <v>2109</v>
      </c>
      <c r="X206" s="952">
        <v>42985</v>
      </c>
      <c r="Y206" s="952">
        <v>42985</v>
      </c>
      <c r="AA206" s="952"/>
      <c r="AB206" s="915" t="s">
        <v>1626</v>
      </c>
      <c r="AC206" s="915">
        <v>0</v>
      </c>
      <c r="AD206" s="915">
        <v>0</v>
      </c>
      <c r="AE206" s="915">
        <v>0</v>
      </c>
      <c r="AF206" s="915">
        <v>0</v>
      </c>
      <c r="AG206" s="915">
        <v>5</v>
      </c>
      <c r="AH206" s="915">
        <v>1</v>
      </c>
      <c r="AI206" s="915">
        <v>60225</v>
      </c>
      <c r="AJ206" s="915">
        <v>2010</v>
      </c>
      <c r="AK206" s="915">
        <v>0</v>
      </c>
      <c r="AL206" s="915">
        <v>0</v>
      </c>
      <c r="AO206" s="955"/>
      <c r="AP206" s="955"/>
      <c r="AQ206" s="915" t="str">
        <f t="shared" si="4"/>
        <v/>
      </c>
      <c r="AS206" s="915" t="str">
        <f t="shared" si="5"/>
        <v>wci_corp</v>
      </c>
    </row>
    <row r="207" spans="2:45">
      <c r="B207" s="915" t="s">
        <v>2365</v>
      </c>
      <c r="C207" s="952">
        <v>43008</v>
      </c>
      <c r="D207" s="953">
        <v>-30.36</v>
      </c>
      <c r="E207" s="953">
        <v>0</v>
      </c>
      <c r="F207" s="954" t="s">
        <v>1613</v>
      </c>
      <c r="G207" s="915" t="s">
        <v>2108</v>
      </c>
      <c r="H207" s="955" t="s">
        <v>1615</v>
      </c>
      <c r="I207" s="915" t="s">
        <v>2103</v>
      </c>
      <c r="J207" s="915" t="s">
        <v>2018</v>
      </c>
      <c r="K207" s="915" t="s">
        <v>1618</v>
      </c>
      <c r="L207" s="919"/>
      <c r="M207" s="919"/>
      <c r="N207" s="919" t="s">
        <v>2541</v>
      </c>
      <c r="O207" s="940"/>
      <c r="P207" s="919"/>
      <c r="Q207" s="919"/>
      <c r="U207" s="915" t="s">
        <v>2104</v>
      </c>
      <c r="V207" s="915" t="s">
        <v>2109</v>
      </c>
      <c r="X207" s="952">
        <v>42985</v>
      </c>
      <c r="Y207" s="952">
        <v>42985</v>
      </c>
      <c r="AA207" s="952"/>
      <c r="AB207" s="915" t="s">
        <v>1626</v>
      </c>
      <c r="AC207" s="915">
        <v>0</v>
      </c>
      <c r="AD207" s="915">
        <v>0</v>
      </c>
      <c r="AE207" s="915">
        <v>0</v>
      </c>
      <c r="AF207" s="915">
        <v>0</v>
      </c>
      <c r="AG207" s="915">
        <v>5</v>
      </c>
      <c r="AH207" s="915">
        <v>1</v>
      </c>
      <c r="AI207" s="915">
        <v>60225</v>
      </c>
      <c r="AJ207" s="915">
        <v>2010</v>
      </c>
      <c r="AK207" s="915">
        <v>0</v>
      </c>
      <c r="AL207" s="915">
        <v>0</v>
      </c>
      <c r="AO207" s="955"/>
      <c r="AP207" s="955"/>
      <c r="AQ207" s="915" t="str">
        <f t="shared" si="4"/>
        <v/>
      </c>
      <c r="AS207" s="915" t="str">
        <f t="shared" si="5"/>
        <v>wci_corp</v>
      </c>
    </row>
    <row r="208" spans="2:45">
      <c r="B208" s="915" t="s">
        <v>2365</v>
      </c>
      <c r="C208" s="952">
        <v>43008</v>
      </c>
      <c r="D208" s="953">
        <v>-459.75</v>
      </c>
      <c r="E208" s="953">
        <v>0</v>
      </c>
      <c r="F208" s="954" t="s">
        <v>1613</v>
      </c>
      <c r="G208" s="915" t="s">
        <v>2108</v>
      </c>
      <c r="H208" s="955" t="s">
        <v>1615</v>
      </c>
      <c r="I208" s="915" t="s">
        <v>2103</v>
      </c>
      <c r="J208" s="915" t="s">
        <v>2018</v>
      </c>
      <c r="K208" s="915" t="s">
        <v>1618</v>
      </c>
      <c r="L208" s="919"/>
      <c r="M208" s="919"/>
      <c r="N208" s="919" t="s">
        <v>2542</v>
      </c>
      <c r="O208" s="940"/>
      <c r="P208" s="919"/>
      <c r="Q208" s="919"/>
      <c r="U208" s="915" t="s">
        <v>2104</v>
      </c>
      <c r="V208" s="915" t="s">
        <v>2109</v>
      </c>
      <c r="X208" s="952">
        <v>42985</v>
      </c>
      <c r="Y208" s="952">
        <v>42985</v>
      </c>
      <c r="AA208" s="952"/>
      <c r="AB208" s="915" t="s">
        <v>1626</v>
      </c>
      <c r="AC208" s="915">
        <v>0</v>
      </c>
      <c r="AD208" s="915">
        <v>0</v>
      </c>
      <c r="AE208" s="915">
        <v>0</v>
      </c>
      <c r="AF208" s="915">
        <v>0</v>
      </c>
      <c r="AG208" s="915">
        <v>5</v>
      </c>
      <c r="AH208" s="915">
        <v>1</v>
      </c>
      <c r="AI208" s="915">
        <v>60225</v>
      </c>
      <c r="AJ208" s="915">
        <v>2010</v>
      </c>
      <c r="AK208" s="915">
        <v>0</v>
      </c>
      <c r="AL208" s="915">
        <v>0</v>
      </c>
      <c r="AO208" s="955"/>
      <c r="AP208" s="955"/>
      <c r="AQ208" s="915" t="str">
        <f t="shared" si="4"/>
        <v/>
      </c>
      <c r="AS208" s="915" t="str">
        <f t="shared" si="5"/>
        <v>wci_corp</v>
      </c>
    </row>
    <row r="209" spans="2:45">
      <c r="B209" s="915" t="s">
        <v>2365</v>
      </c>
      <c r="C209" s="952">
        <v>43008</v>
      </c>
      <c r="D209" s="953">
        <v>-304.58999999999997</v>
      </c>
      <c r="E209" s="953">
        <v>0</v>
      </c>
      <c r="F209" s="954" t="s">
        <v>1613</v>
      </c>
      <c r="G209" s="915" t="s">
        <v>2108</v>
      </c>
      <c r="H209" s="955" t="s">
        <v>1615</v>
      </c>
      <c r="I209" s="915" t="s">
        <v>2103</v>
      </c>
      <c r="J209" s="915" t="s">
        <v>2018</v>
      </c>
      <c r="K209" s="915" t="s">
        <v>1618</v>
      </c>
      <c r="L209" s="919"/>
      <c r="M209" s="919"/>
      <c r="N209" s="919" t="s">
        <v>2543</v>
      </c>
      <c r="O209" s="940"/>
      <c r="P209" s="919"/>
      <c r="Q209" s="919"/>
      <c r="U209" s="915" t="s">
        <v>2104</v>
      </c>
      <c r="V209" s="915" t="s">
        <v>2109</v>
      </c>
      <c r="X209" s="952">
        <v>42985</v>
      </c>
      <c r="Y209" s="952">
        <v>42985</v>
      </c>
      <c r="AA209" s="952"/>
      <c r="AB209" s="915" t="s">
        <v>1626</v>
      </c>
      <c r="AC209" s="915">
        <v>0</v>
      </c>
      <c r="AD209" s="915">
        <v>0</v>
      </c>
      <c r="AE209" s="915">
        <v>0</v>
      </c>
      <c r="AF209" s="915">
        <v>0</v>
      </c>
      <c r="AG209" s="915">
        <v>5</v>
      </c>
      <c r="AH209" s="915">
        <v>1</v>
      </c>
      <c r="AI209" s="915">
        <v>60225</v>
      </c>
      <c r="AJ209" s="915">
        <v>2010</v>
      </c>
      <c r="AK209" s="915">
        <v>0</v>
      </c>
      <c r="AL209" s="915">
        <v>0</v>
      </c>
      <c r="AO209" s="955"/>
      <c r="AP209" s="955"/>
      <c r="AQ209" s="915" t="str">
        <f t="shared" si="4"/>
        <v/>
      </c>
      <c r="AS209" s="915" t="str">
        <f t="shared" si="5"/>
        <v>wci_corp</v>
      </c>
    </row>
    <row r="210" spans="2:45">
      <c r="B210" s="915" t="s">
        <v>2365</v>
      </c>
      <c r="C210" s="952">
        <v>43008</v>
      </c>
      <c r="D210" s="953">
        <v>-79.400000000000006</v>
      </c>
      <c r="E210" s="953">
        <v>0</v>
      </c>
      <c r="F210" s="954" t="s">
        <v>1613</v>
      </c>
      <c r="G210" s="915" t="s">
        <v>2108</v>
      </c>
      <c r="H210" s="955" t="s">
        <v>1615</v>
      </c>
      <c r="I210" s="915" t="s">
        <v>2103</v>
      </c>
      <c r="J210" s="915" t="s">
        <v>2018</v>
      </c>
      <c r="K210" s="915" t="s">
        <v>1618</v>
      </c>
      <c r="L210" s="919"/>
      <c r="M210" s="919"/>
      <c r="N210" s="919" t="s">
        <v>2544</v>
      </c>
      <c r="O210" s="940"/>
      <c r="P210" s="919"/>
      <c r="Q210" s="919"/>
      <c r="U210" s="915" t="s">
        <v>2104</v>
      </c>
      <c r="V210" s="915" t="s">
        <v>2109</v>
      </c>
      <c r="X210" s="952">
        <v>42985</v>
      </c>
      <c r="Y210" s="952">
        <v>42985</v>
      </c>
      <c r="AA210" s="952"/>
      <c r="AB210" s="915" t="s">
        <v>1626</v>
      </c>
      <c r="AC210" s="915">
        <v>0</v>
      </c>
      <c r="AD210" s="915">
        <v>0</v>
      </c>
      <c r="AE210" s="915">
        <v>0</v>
      </c>
      <c r="AF210" s="915">
        <v>0</v>
      </c>
      <c r="AG210" s="915">
        <v>5</v>
      </c>
      <c r="AH210" s="915">
        <v>1</v>
      </c>
      <c r="AI210" s="915">
        <v>60225</v>
      </c>
      <c r="AJ210" s="915">
        <v>2010</v>
      </c>
      <c r="AK210" s="915">
        <v>0</v>
      </c>
      <c r="AL210" s="915">
        <v>0</v>
      </c>
      <c r="AO210" s="955"/>
      <c r="AP210" s="955"/>
      <c r="AQ210" s="915" t="str">
        <f t="shared" si="4"/>
        <v/>
      </c>
      <c r="AS210" s="915" t="str">
        <f t="shared" si="5"/>
        <v>wci_corp</v>
      </c>
    </row>
    <row r="211" spans="2:45">
      <c r="B211" s="915" t="s">
        <v>2365</v>
      </c>
      <c r="C211" s="952">
        <v>43008</v>
      </c>
      <c r="D211" s="953">
        <v>727.13</v>
      </c>
      <c r="E211" s="953">
        <v>0</v>
      </c>
      <c r="F211" s="954" t="s">
        <v>1613</v>
      </c>
      <c r="G211" s="915" t="s">
        <v>2110</v>
      </c>
      <c r="H211" s="955" t="s">
        <v>1615</v>
      </c>
      <c r="I211" s="915" t="s">
        <v>2111</v>
      </c>
      <c r="J211" s="915" t="s">
        <v>2018</v>
      </c>
      <c r="K211" s="915" t="s">
        <v>1618</v>
      </c>
      <c r="L211" s="919"/>
      <c r="M211" s="919"/>
      <c r="N211" s="919" t="s">
        <v>2314</v>
      </c>
      <c r="O211" s="940"/>
      <c r="P211" s="919"/>
      <c r="Q211" s="919"/>
      <c r="U211" s="915" t="s">
        <v>2112</v>
      </c>
      <c r="V211" s="915" t="s">
        <v>2112</v>
      </c>
      <c r="X211" s="952">
        <v>43011</v>
      </c>
      <c r="Y211" s="952">
        <v>43011</v>
      </c>
      <c r="AA211" s="952"/>
      <c r="AB211" s="915" t="s">
        <v>1626</v>
      </c>
      <c r="AC211" s="915">
        <v>0</v>
      </c>
      <c r="AD211" s="915">
        <v>0</v>
      </c>
      <c r="AE211" s="915">
        <v>0</v>
      </c>
      <c r="AF211" s="915">
        <v>0</v>
      </c>
      <c r="AG211" s="915">
        <v>0</v>
      </c>
      <c r="AH211" s="915">
        <v>1</v>
      </c>
      <c r="AI211" s="915">
        <v>60225</v>
      </c>
      <c r="AJ211" s="915">
        <v>2010</v>
      </c>
      <c r="AK211" s="915">
        <v>0</v>
      </c>
      <c r="AL211" s="915">
        <v>0</v>
      </c>
      <c r="AO211" s="955"/>
      <c r="AP211" s="955"/>
      <c r="AQ211" s="915" t="str">
        <f t="shared" si="4"/>
        <v/>
      </c>
      <c r="AS211" s="915" t="str">
        <f t="shared" si="5"/>
        <v>wci_corp</v>
      </c>
    </row>
    <row r="212" spans="2:45">
      <c r="B212" s="915" t="s">
        <v>2365</v>
      </c>
      <c r="C212" s="952">
        <v>43008</v>
      </c>
      <c r="D212" s="953">
        <v>165.29</v>
      </c>
      <c r="E212" s="953">
        <v>0</v>
      </c>
      <c r="F212" s="954" t="s">
        <v>1613</v>
      </c>
      <c r="G212" s="915" t="s">
        <v>2110</v>
      </c>
      <c r="H212" s="955" t="s">
        <v>1615</v>
      </c>
      <c r="I212" s="915" t="s">
        <v>2111</v>
      </c>
      <c r="J212" s="915" t="s">
        <v>2018</v>
      </c>
      <c r="K212" s="915" t="s">
        <v>1618</v>
      </c>
      <c r="L212" s="919"/>
      <c r="M212" s="919"/>
      <c r="N212" s="919" t="s">
        <v>2545</v>
      </c>
      <c r="O212" s="940"/>
      <c r="P212" s="919"/>
      <c r="Q212" s="919"/>
      <c r="U212" s="915" t="s">
        <v>2112</v>
      </c>
      <c r="V212" s="915" t="s">
        <v>2112</v>
      </c>
      <c r="X212" s="952">
        <v>43011</v>
      </c>
      <c r="Y212" s="952">
        <v>43011</v>
      </c>
      <c r="AA212" s="952"/>
      <c r="AB212" s="915" t="s">
        <v>1626</v>
      </c>
      <c r="AC212" s="915">
        <v>0</v>
      </c>
      <c r="AD212" s="915">
        <v>0</v>
      </c>
      <c r="AE212" s="915">
        <v>0</v>
      </c>
      <c r="AF212" s="915">
        <v>0</v>
      </c>
      <c r="AG212" s="915">
        <v>0</v>
      </c>
      <c r="AH212" s="915">
        <v>1</v>
      </c>
      <c r="AI212" s="915">
        <v>60225</v>
      </c>
      <c r="AJ212" s="915">
        <v>2010</v>
      </c>
      <c r="AK212" s="915">
        <v>0</v>
      </c>
      <c r="AL212" s="915">
        <v>0</v>
      </c>
      <c r="AO212" s="955"/>
      <c r="AP212" s="955"/>
      <c r="AQ212" s="915" t="str">
        <f t="shared" si="4"/>
        <v/>
      </c>
      <c r="AS212" s="915" t="str">
        <f t="shared" si="5"/>
        <v>wci_corp</v>
      </c>
    </row>
    <row r="213" spans="2:45">
      <c r="B213" s="915" t="s">
        <v>2365</v>
      </c>
      <c r="C213" s="952">
        <v>43008</v>
      </c>
      <c r="D213" s="953">
        <v>30.36</v>
      </c>
      <c r="E213" s="953">
        <v>0</v>
      </c>
      <c r="F213" s="954" t="s">
        <v>1613</v>
      </c>
      <c r="G213" s="915" t="s">
        <v>2110</v>
      </c>
      <c r="H213" s="955" t="s">
        <v>1615</v>
      </c>
      <c r="I213" s="915" t="s">
        <v>2111</v>
      </c>
      <c r="J213" s="915" t="s">
        <v>2018</v>
      </c>
      <c r="K213" s="915" t="s">
        <v>1618</v>
      </c>
      <c r="L213" s="919"/>
      <c r="M213" s="919"/>
      <c r="N213" s="919" t="s">
        <v>2489</v>
      </c>
      <c r="O213" s="940"/>
      <c r="P213" s="919"/>
      <c r="Q213" s="919"/>
      <c r="U213" s="915" t="s">
        <v>2112</v>
      </c>
      <c r="V213" s="915" t="s">
        <v>2112</v>
      </c>
      <c r="X213" s="952">
        <v>43011</v>
      </c>
      <c r="Y213" s="952">
        <v>43011</v>
      </c>
      <c r="AA213" s="952"/>
      <c r="AB213" s="915" t="s">
        <v>1626</v>
      </c>
      <c r="AC213" s="915">
        <v>0</v>
      </c>
      <c r="AD213" s="915">
        <v>0</v>
      </c>
      <c r="AE213" s="915">
        <v>0</v>
      </c>
      <c r="AF213" s="915">
        <v>0</v>
      </c>
      <c r="AG213" s="915">
        <v>0</v>
      </c>
      <c r="AH213" s="915">
        <v>1</v>
      </c>
      <c r="AI213" s="915">
        <v>60225</v>
      </c>
      <c r="AJ213" s="915">
        <v>2010</v>
      </c>
      <c r="AK213" s="915">
        <v>0</v>
      </c>
      <c r="AL213" s="915">
        <v>0</v>
      </c>
      <c r="AO213" s="955"/>
      <c r="AP213" s="955"/>
      <c r="AQ213" s="915" t="str">
        <f t="shared" ref="AQ213:AQ224" si="6">IF(LEFT(U213,2)="VO",U213,"")</f>
        <v/>
      </c>
      <c r="AS213" s="915" t="str">
        <f t="shared" ref="AS213:AS224" si="7">IF(RIGHT(K213,2)="IC",IF(OR(AB213="wci_canada",AB213="wci_can_corp"),"wci_can_Corp","wci_corp"),AB213)</f>
        <v>wci_corp</v>
      </c>
    </row>
    <row r="214" spans="2:45">
      <c r="B214" s="915" t="s">
        <v>2365</v>
      </c>
      <c r="C214" s="952">
        <v>43008</v>
      </c>
      <c r="D214" s="953">
        <v>459.75</v>
      </c>
      <c r="E214" s="953">
        <v>0</v>
      </c>
      <c r="F214" s="954" t="s">
        <v>1613</v>
      </c>
      <c r="G214" s="915" t="s">
        <v>2110</v>
      </c>
      <c r="H214" s="955" t="s">
        <v>1615</v>
      </c>
      <c r="I214" s="915" t="s">
        <v>2111</v>
      </c>
      <c r="J214" s="915" t="s">
        <v>2018</v>
      </c>
      <c r="K214" s="915" t="s">
        <v>1618</v>
      </c>
      <c r="L214" s="919"/>
      <c r="M214" s="919"/>
      <c r="N214" s="919" t="s">
        <v>2540</v>
      </c>
      <c r="O214" s="940"/>
      <c r="P214" s="919"/>
      <c r="Q214" s="919"/>
      <c r="U214" s="915" t="s">
        <v>2112</v>
      </c>
      <c r="V214" s="915" t="s">
        <v>2112</v>
      </c>
      <c r="X214" s="952">
        <v>43011</v>
      </c>
      <c r="Y214" s="952">
        <v>43011</v>
      </c>
      <c r="AA214" s="952"/>
      <c r="AB214" s="915" t="s">
        <v>1626</v>
      </c>
      <c r="AC214" s="915">
        <v>0</v>
      </c>
      <c r="AD214" s="915">
        <v>0</v>
      </c>
      <c r="AE214" s="915">
        <v>0</v>
      </c>
      <c r="AF214" s="915">
        <v>0</v>
      </c>
      <c r="AG214" s="915">
        <v>0</v>
      </c>
      <c r="AH214" s="915">
        <v>1</v>
      </c>
      <c r="AI214" s="915">
        <v>60225</v>
      </c>
      <c r="AJ214" s="915">
        <v>2010</v>
      </c>
      <c r="AK214" s="915">
        <v>0</v>
      </c>
      <c r="AL214" s="915">
        <v>0</v>
      </c>
      <c r="AO214" s="955"/>
      <c r="AP214" s="955"/>
      <c r="AQ214" s="915" t="str">
        <f t="shared" si="6"/>
        <v/>
      </c>
      <c r="AS214" s="915" t="str">
        <f t="shared" si="7"/>
        <v>wci_corp</v>
      </c>
    </row>
    <row r="215" spans="2:45">
      <c r="B215" s="915" t="s">
        <v>2365</v>
      </c>
      <c r="C215" s="952">
        <v>43008</v>
      </c>
      <c r="D215" s="953">
        <v>304.58999999999997</v>
      </c>
      <c r="E215" s="953">
        <v>0</v>
      </c>
      <c r="F215" s="954" t="s">
        <v>1613</v>
      </c>
      <c r="G215" s="915" t="s">
        <v>2110</v>
      </c>
      <c r="H215" s="955" t="s">
        <v>1615</v>
      </c>
      <c r="I215" s="915" t="s">
        <v>2111</v>
      </c>
      <c r="J215" s="915" t="s">
        <v>2018</v>
      </c>
      <c r="K215" s="915" t="s">
        <v>1618</v>
      </c>
      <c r="L215" s="919"/>
      <c r="M215" s="919"/>
      <c r="N215" s="919" t="s">
        <v>2545</v>
      </c>
      <c r="O215" s="940"/>
      <c r="P215" s="919"/>
      <c r="Q215" s="919"/>
      <c r="U215" s="915" t="s">
        <v>2112</v>
      </c>
      <c r="V215" s="915" t="s">
        <v>2112</v>
      </c>
      <c r="X215" s="952">
        <v>43011</v>
      </c>
      <c r="Y215" s="952">
        <v>43011</v>
      </c>
      <c r="AA215" s="952"/>
      <c r="AB215" s="915" t="s">
        <v>1626</v>
      </c>
      <c r="AC215" s="915">
        <v>0</v>
      </c>
      <c r="AD215" s="915">
        <v>0</v>
      </c>
      <c r="AE215" s="915">
        <v>0</v>
      </c>
      <c r="AF215" s="915">
        <v>0</v>
      </c>
      <c r="AG215" s="915">
        <v>0</v>
      </c>
      <c r="AH215" s="915">
        <v>1</v>
      </c>
      <c r="AI215" s="915">
        <v>60225</v>
      </c>
      <c r="AJ215" s="915">
        <v>2010</v>
      </c>
      <c r="AK215" s="915">
        <v>0</v>
      </c>
      <c r="AL215" s="915">
        <v>0</v>
      </c>
      <c r="AO215" s="955"/>
      <c r="AP215" s="955"/>
      <c r="AQ215" s="915" t="str">
        <f t="shared" si="6"/>
        <v/>
      </c>
      <c r="AS215" s="915" t="str">
        <f t="shared" si="7"/>
        <v>wci_corp</v>
      </c>
    </row>
    <row r="216" spans="2:45">
      <c r="B216" s="915" t="s">
        <v>2365</v>
      </c>
      <c r="C216" s="952">
        <v>43008</v>
      </c>
      <c r="D216" s="953">
        <v>79.400000000000006</v>
      </c>
      <c r="E216" s="953">
        <v>0</v>
      </c>
      <c r="F216" s="954" t="s">
        <v>1613</v>
      </c>
      <c r="G216" s="915" t="s">
        <v>2110</v>
      </c>
      <c r="H216" s="955" t="s">
        <v>1615</v>
      </c>
      <c r="I216" s="915" t="s">
        <v>2111</v>
      </c>
      <c r="J216" s="915" t="s">
        <v>2018</v>
      </c>
      <c r="K216" s="915" t="s">
        <v>1618</v>
      </c>
      <c r="L216" s="919"/>
      <c r="M216" s="919"/>
      <c r="N216" s="919" t="s">
        <v>2489</v>
      </c>
      <c r="O216" s="940"/>
      <c r="P216" s="919"/>
      <c r="Q216" s="919"/>
      <c r="U216" s="915" t="s">
        <v>2112</v>
      </c>
      <c r="V216" s="915" t="s">
        <v>2112</v>
      </c>
      <c r="X216" s="952">
        <v>43011</v>
      </c>
      <c r="Y216" s="952">
        <v>43011</v>
      </c>
      <c r="AA216" s="952"/>
      <c r="AB216" s="915" t="s">
        <v>1626</v>
      </c>
      <c r="AC216" s="915">
        <v>0</v>
      </c>
      <c r="AD216" s="915">
        <v>0</v>
      </c>
      <c r="AE216" s="915">
        <v>0</v>
      </c>
      <c r="AF216" s="915">
        <v>0</v>
      </c>
      <c r="AG216" s="915">
        <v>0</v>
      </c>
      <c r="AH216" s="915">
        <v>1</v>
      </c>
      <c r="AI216" s="915">
        <v>60225</v>
      </c>
      <c r="AJ216" s="915">
        <v>2010</v>
      </c>
      <c r="AK216" s="915">
        <v>0</v>
      </c>
      <c r="AL216" s="915">
        <v>0</v>
      </c>
      <c r="AO216" s="955"/>
      <c r="AP216" s="955"/>
      <c r="AQ216" s="915" t="str">
        <f t="shared" si="6"/>
        <v/>
      </c>
      <c r="AS216" s="915" t="str">
        <f t="shared" si="7"/>
        <v>wci_corp</v>
      </c>
    </row>
    <row r="217" spans="2:45">
      <c r="B217" s="915" t="s">
        <v>2365</v>
      </c>
      <c r="C217" s="952">
        <v>43008</v>
      </c>
      <c r="D217" s="953">
        <v>9</v>
      </c>
      <c r="E217" s="953">
        <v>0</v>
      </c>
      <c r="F217" s="954" t="s">
        <v>1613</v>
      </c>
      <c r="G217" s="915" t="s">
        <v>2110</v>
      </c>
      <c r="H217" s="955" t="s">
        <v>1615</v>
      </c>
      <c r="I217" s="915" t="s">
        <v>2111</v>
      </c>
      <c r="J217" s="915" t="s">
        <v>2018</v>
      </c>
      <c r="K217" s="915" t="s">
        <v>1618</v>
      </c>
      <c r="L217" s="919"/>
      <c r="M217" s="919"/>
      <c r="N217" s="919" t="s">
        <v>2546</v>
      </c>
      <c r="O217" s="940"/>
      <c r="P217" s="919"/>
      <c r="Q217" s="919"/>
      <c r="U217" s="915" t="s">
        <v>2112</v>
      </c>
      <c r="V217" s="915" t="s">
        <v>2112</v>
      </c>
      <c r="X217" s="952">
        <v>43011</v>
      </c>
      <c r="Y217" s="952">
        <v>43011</v>
      </c>
      <c r="AA217" s="952"/>
      <c r="AB217" s="915" t="s">
        <v>1626</v>
      </c>
      <c r="AC217" s="915">
        <v>0</v>
      </c>
      <c r="AD217" s="915">
        <v>0</v>
      </c>
      <c r="AE217" s="915">
        <v>0</v>
      </c>
      <c r="AF217" s="915">
        <v>0</v>
      </c>
      <c r="AG217" s="915">
        <v>0</v>
      </c>
      <c r="AH217" s="915">
        <v>1</v>
      </c>
      <c r="AI217" s="915">
        <v>60225</v>
      </c>
      <c r="AJ217" s="915">
        <v>2010</v>
      </c>
      <c r="AK217" s="915">
        <v>0</v>
      </c>
      <c r="AL217" s="915">
        <v>0</v>
      </c>
      <c r="AO217" s="955"/>
      <c r="AP217" s="955"/>
      <c r="AQ217" s="915" t="str">
        <f t="shared" si="6"/>
        <v/>
      </c>
      <c r="AS217" s="915" t="str">
        <f t="shared" si="7"/>
        <v>wci_corp</v>
      </c>
    </row>
    <row r="218" spans="2:45">
      <c r="B218" s="915" t="s">
        <v>2365</v>
      </c>
      <c r="C218" s="952">
        <v>43008</v>
      </c>
      <c r="D218" s="953">
        <v>606</v>
      </c>
      <c r="E218" s="953">
        <v>0</v>
      </c>
      <c r="F218" s="954" t="s">
        <v>1613</v>
      </c>
      <c r="G218" s="915" t="s">
        <v>2547</v>
      </c>
      <c r="H218" s="955" t="s">
        <v>1615</v>
      </c>
      <c r="I218" s="915" t="s">
        <v>2103</v>
      </c>
      <c r="J218" s="915" t="s">
        <v>2018</v>
      </c>
      <c r="K218" s="915" t="s">
        <v>1618</v>
      </c>
      <c r="L218" s="919"/>
      <c r="M218" s="919"/>
      <c r="N218" s="919" t="s">
        <v>2433</v>
      </c>
      <c r="O218" s="940"/>
      <c r="P218" s="919"/>
      <c r="Q218" s="919"/>
      <c r="U218" s="915" t="s">
        <v>2548</v>
      </c>
      <c r="V218" s="915" t="s">
        <v>2548</v>
      </c>
      <c r="X218" s="952">
        <v>43013</v>
      </c>
      <c r="Y218" s="952">
        <v>43013</v>
      </c>
      <c r="AA218" s="952"/>
      <c r="AB218" s="915" t="s">
        <v>1626</v>
      </c>
      <c r="AC218" s="915">
        <v>0</v>
      </c>
      <c r="AD218" s="915">
        <v>0</v>
      </c>
      <c r="AE218" s="915">
        <v>0</v>
      </c>
      <c r="AF218" s="915">
        <v>0</v>
      </c>
      <c r="AG218" s="915">
        <v>0</v>
      </c>
      <c r="AH218" s="915">
        <v>1</v>
      </c>
      <c r="AI218" s="915">
        <v>60225</v>
      </c>
      <c r="AJ218" s="915">
        <v>2010</v>
      </c>
      <c r="AK218" s="915">
        <v>0</v>
      </c>
      <c r="AL218" s="915">
        <v>0</v>
      </c>
      <c r="AO218" s="955"/>
      <c r="AP218" s="955"/>
      <c r="AQ218" s="915" t="str">
        <f t="shared" si="6"/>
        <v/>
      </c>
      <c r="AS218" s="915" t="str">
        <f t="shared" si="7"/>
        <v>wci_corp</v>
      </c>
    </row>
    <row r="219" spans="2:45">
      <c r="B219" s="915" t="s">
        <v>2365</v>
      </c>
      <c r="C219" s="952">
        <v>43008</v>
      </c>
      <c r="D219" s="953">
        <v>279.67</v>
      </c>
      <c r="E219" s="953">
        <v>0</v>
      </c>
      <c r="F219" s="954" t="s">
        <v>1613</v>
      </c>
      <c r="G219" s="915" t="s">
        <v>2547</v>
      </c>
      <c r="H219" s="955" t="s">
        <v>1615</v>
      </c>
      <c r="I219" s="915" t="s">
        <v>2103</v>
      </c>
      <c r="J219" s="915" t="s">
        <v>2018</v>
      </c>
      <c r="K219" s="915" t="s">
        <v>1618</v>
      </c>
      <c r="L219" s="919"/>
      <c r="M219" s="919"/>
      <c r="N219" s="919" t="s">
        <v>2549</v>
      </c>
      <c r="O219" s="940"/>
      <c r="P219" s="919"/>
      <c r="Q219" s="919"/>
      <c r="U219" s="915" t="s">
        <v>2548</v>
      </c>
      <c r="V219" s="915" t="s">
        <v>2548</v>
      </c>
      <c r="X219" s="952">
        <v>43013</v>
      </c>
      <c r="Y219" s="952">
        <v>43013</v>
      </c>
      <c r="AA219" s="952"/>
      <c r="AB219" s="915" t="s">
        <v>1626</v>
      </c>
      <c r="AC219" s="915">
        <v>0</v>
      </c>
      <c r="AD219" s="915">
        <v>0</v>
      </c>
      <c r="AE219" s="915">
        <v>0</v>
      </c>
      <c r="AF219" s="915">
        <v>0</v>
      </c>
      <c r="AG219" s="915">
        <v>0</v>
      </c>
      <c r="AH219" s="915">
        <v>1</v>
      </c>
      <c r="AI219" s="915">
        <v>60225</v>
      </c>
      <c r="AJ219" s="915">
        <v>2010</v>
      </c>
      <c r="AK219" s="915">
        <v>0</v>
      </c>
      <c r="AL219" s="915">
        <v>0</v>
      </c>
      <c r="AO219" s="955"/>
      <c r="AP219" s="955"/>
      <c r="AQ219" s="915" t="str">
        <f t="shared" si="6"/>
        <v/>
      </c>
      <c r="AS219" s="915" t="str">
        <f t="shared" si="7"/>
        <v>wci_corp</v>
      </c>
    </row>
    <row r="220" spans="2:45">
      <c r="B220" s="915" t="s">
        <v>2365</v>
      </c>
      <c r="C220" s="952">
        <v>43008</v>
      </c>
      <c r="D220" s="953">
        <v>75</v>
      </c>
      <c r="E220" s="953">
        <v>0</v>
      </c>
      <c r="F220" s="954" t="s">
        <v>1613</v>
      </c>
      <c r="G220" s="915" t="s">
        <v>2550</v>
      </c>
      <c r="H220" s="955" t="s">
        <v>1615</v>
      </c>
      <c r="I220" s="915" t="s">
        <v>2056</v>
      </c>
      <c r="J220" s="915" t="s">
        <v>2018</v>
      </c>
      <c r="K220" s="915" t="s">
        <v>1618</v>
      </c>
      <c r="L220" s="919"/>
      <c r="M220" s="919"/>
      <c r="N220" s="919" t="s">
        <v>2551</v>
      </c>
      <c r="O220" s="940"/>
      <c r="P220" s="919"/>
      <c r="Q220" s="919"/>
      <c r="U220" s="915" t="s">
        <v>2552</v>
      </c>
      <c r="V220" s="915" t="s">
        <v>2552</v>
      </c>
      <c r="X220" s="952">
        <v>43013</v>
      </c>
      <c r="Y220" s="952">
        <v>43013</v>
      </c>
      <c r="AA220" s="952"/>
      <c r="AB220" s="915" t="s">
        <v>1626</v>
      </c>
      <c r="AC220" s="915">
        <v>0</v>
      </c>
      <c r="AD220" s="915">
        <v>0</v>
      </c>
      <c r="AE220" s="915">
        <v>0</v>
      </c>
      <c r="AF220" s="915">
        <v>0</v>
      </c>
      <c r="AG220" s="915">
        <v>0</v>
      </c>
      <c r="AH220" s="915">
        <v>1</v>
      </c>
      <c r="AI220" s="915">
        <v>60225</v>
      </c>
      <c r="AJ220" s="915">
        <v>2010</v>
      </c>
      <c r="AK220" s="915">
        <v>0</v>
      </c>
      <c r="AL220" s="915">
        <v>0</v>
      </c>
      <c r="AO220" s="955"/>
      <c r="AP220" s="955"/>
      <c r="AQ220" s="915" t="str">
        <f t="shared" si="6"/>
        <v/>
      </c>
      <c r="AS220" s="915" t="str">
        <f t="shared" si="7"/>
        <v>wci_corp</v>
      </c>
    </row>
    <row r="221" spans="2:45">
      <c r="B221" s="915" t="s">
        <v>2365</v>
      </c>
      <c r="C221" s="952">
        <v>43008</v>
      </c>
      <c r="D221" s="953">
        <v>-606</v>
      </c>
      <c r="E221" s="953">
        <v>0</v>
      </c>
      <c r="F221" s="954" t="s">
        <v>1613</v>
      </c>
      <c r="G221" s="915" t="s">
        <v>2553</v>
      </c>
      <c r="H221" s="955" t="s">
        <v>1615</v>
      </c>
      <c r="I221" s="915" t="s">
        <v>2103</v>
      </c>
      <c r="J221" s="915" t="s">
        <v>2018</v>
      </c>
      <c r="K221" s="915" t="s">
        <v>1618</v>
      </c>
      <c r="L221" s="919"/>
      <c r="M221" s="919"/>
      <c r="N221" s="919" t="s">
        <v>2433</v>
      </c>
      <c r="O221" s="940"/>
      <c r="P221" s="919"/>
      <c r="Q221" s="919"/>
      <c r="U221" s="915" t="s">
        <v>2554</v>
      </c>
      <c r="V221" s="915" t="s">
        <v>2554</v>
      </c>
      <c r="X221" s="952">
        <v>43013</v>
      </c>
      <c r="Y221" s="952">
        <v>43013</v>
      </c>
      <c r="AA221" s="952"/>
      <c r="AB221" s="915" t="s">
        <v>1626</v>
      </c>
      <c r="AC221" s="915">
        <v>0</v>
      </c>
      <c r="AD221" s="915">
        <v>0</v>
      </c>
      <c r="AE221" s="915">
        <v>0</v>
      </c>
      <c r="AF221" s="915">
        <v>0</v>
      </c>
      <c r="AG221" s="915">
        <v>0</v>
      </c>
      <c r="AH221" s="915">
        <v>1</v>
      </c>
      <c r="AI221" s="915">
        <v>60225</v>
      </c>
      <c r="AJ221" s="915">
        <v>2010</v>
      </c>
      <c r="AK221" s="915">
        <v>0</v>
      </c>
      <c r="AL221" s="915">
        <v>0</v>
      </c>
      <c r="AO221" s="955"/>
      <c r="AP221" s="955"/>
      <c r="AQ221" s="915" t="str">
        <f t="shared" si="6"/>
        <v/>
      </c>
      <c r="AS221" s="915" t="str">
        <f t="shared" si="7"/>
        <v>wci_corp</v>
      </c>
    </row>
    <row r="222" spans="2:45">
      <c r="B222" s="915" t="s">
        <v>2365</v>
      </c>
      <c r="C222" s="952">
        <v>43008</v>
      </c>
      <c r="D222" s="953">
        <v>-279.67</v>
      </c>
      <c r="E222" s="953">
        <v>0</v>
      </c>
      <c r="F222" s="954" t="s">
        <v>1613</v>
      </c>
      <c r="G222" s="915" t="s">
        <v>2553</v>
      </c>
      <c r="H222" s="955" t="s">
        <v>1615</v>
      </c>
      <c r="I222" s="915" t="s">
        <v>2103</v>
      </c>
      <c r="J222" s="915" t="s">
        <v>2018</v>
      </c>
      <c r="K222" s="915" t="s">
        <v>1618</v>
      </c>
      <c r="L222" s="919"/>
      <c r="M222" s="919"/>
      <c r="N222" s="919" t="s">
        <v>2549</v>
      </c>
      <c r="O222" s="940"/>
      <c r="P222" s="919"/>
      <c r="Q222" s="919"/>
      <c r="U222" s="915" t="s">
        <v>2554</v>
      </c>
      <c r="V222" s="915" t="s">
        <v>2554</v>
      </c>
      <c r="X222" s="952">
        <v>43013</v>
      </c>
      <c r="Y222" s="952">
        <v>43013</v>
      </c>
      <c r="AA222" s="952"/>
      <c r="AB222" s="915" t="s">
        <v>1626</v>
      </c>
      <c r="AC222" s="915">
        <v>0</v>
      </c>
      <c r="AD222" s="915">
        <v>0</v>
      </c>
      <c r="AE222" s="915">
        <v>0</v>
      </c>
      <c r="AF222" s="915">
        <v>0</v>
      </c>
      <c r="AG222" s="915">
        <v>0</v>
      </c>
      <c r="AH222" s="915">
        <v>1</v>
      </c>
      <c r="AI222" s="915">
        <v>60225</v>
      </c>
      <c r="AJ222" s="915">
        <v>2010</v>
      </c>
      <c r="AK222" s="915">
        <v>0</v>
      </c>
      <c r="AL222" s="915">
        <v>0</v>
      </c>
      <c r="AO222" s="955"/>
      <c r="AP222" s="955"/>
      <c r="AQ222" s="915" t="str">
        <f t="shared" si="6"/>
        <v/>
      </c>
      <c r="AS222" s="915" t="str">
        <f t="shared" si="7"/>
        <v>wci_corp</v>
      </c>
    </row>
    <row r="223" spans="2:45">
      <c r="B223" s="915" t="s">
        <v>2365</v>
      </c>
      <c r="C223" s="952">
        <v>43008</v>
      </c>
      <c r="D223" s="953">
        <v>606</v>
      </c>
      <c r="E223" s="953">
        <v>0</v>
      </c>
      <c r="F223" s="954" t="s">
        <v>1613</v>
      </c>
      <c r="G223" s="915" t="s">
        <v>2555</v>
      </c>
      <c r="H223" s="955" t="s">
        <v>1615</v>
      </c>
      <c r="I223" s="915" t="s">
        <v>2556</v>
      </c>
      <c r="J223" s="915" t="s">
        <v>2018</v>
      </c>
      <c r="K223" s="915" t="s">
        <v>1618</v>
      </c>
      <c r="L223" s="919"/>
      <c r="M223" s="919"/>
      <c r="N223" s="919" t="s">
        <v>2433</v>
      </c>
      <c r="O223" s="940"/>
      <c r="P223" s="919"/>
      <c r="Q223" s="919"/>
      <c r="U223" s="915" t="s">
        <v>2557</v>
      </c>
      <c r="V223" s="915" t="s">
        <v>2557</v>
      </c>
      <c r="X223" s="952">
        <v>43013</v>
      </c>
      <c r="Y223" s="952">
        <v>43013</v>
      </c>
      <c r="AA223" s="952"/>
      <c r="AB223" s="915" t="s">
        <v>1626</v>
      </c>
      <c r="AC223" s="915">
        <v>0</v>
      </c>
      <c r="AD223" s="915">
        <v>0</v>
      </c>
      <c r="AE223" s="915">
        <v>0</v>
      </c>
      <c r="AF223" s="915">
        <v>0</v>
      </c>
      <c r="AG223" s="915">
        <v>0</v>
      </c>
      <c r="AH223" s="915">
        <v>1</v>
      </c>
      <c r="AI223" s="915">
        <v>60225</v>
      </c>
      <c r="AJ223" s="915">
        <v>2010</v>
      </c>
      <c r="AK223" s="915">
        <v>0</v>
      </c>
      <c r="AL223" s="915">
        <v>0</v>
      </c>
      <c r="AO223" s="955"/>
      <c r="AP223" s="955"/>
      <c r="AQ223" s="915" t="str">
        <f t="shared" si="6"/>
        <v/>
      </c>
      <c r="AS223" s="915" t="str">
        <f t="shared" si="7"/>
        <v>wci_corp</v>
      </c>
    </row>
    <row r="224" spans="2:45">
      <c r="B224" s="915" t="s">
        <v>2365</v>
      </c>
      <c r="C224" s="952">
        <v>43008</v>
      </c>
      <c r="D224" s="953">
        <v>279.67</v>
      </c>
      <c r="E224" s="953">
        <v>0</v>
      </c>
      <c r="F224" s="954" t="s">
        <v>1613</v>
      </c>
      <c r="G224" s="915" t="s">
        <v>2555</v>
      </c>
      <c r="H224" s="955" t="s">
        <v>1615</v>
      </c>
      <c r="I224" s="915" t="s">
        <v>2556</v>
      </c>
      <c r="J224" s="915" t="s">
        <v>2018</v>
      </c>
      <c r="K224" s="915" t="s">
        <v>1618</v>
      </c>
      <c r="L224" s="919"/>
      <c r="M224" s="919"/>
      <c r="N224" s="919" t="s">
        <v>2549</v>
      </c>
      <c r="O224" s="940"/>
      <c r="P224" s="919"/>
      <c r="Q224" s="919"/>
      <c r="U224" s="915" t="s">
        <v>2557</v>
      </c>
      <c r="V224" s="915" t="s">
        <v>2557</v>
      </c>
      <c r="X224" s="952">
        <v>43013</v>
      </c>
      <c r="Y224" s="952">
        <v>43013</v>
      </c>
      <c r="AA224" s="952"/>
      <c r="AB224" s="915" t="s">
        <v>1626</v>
      </c>
      <c r="AC224" s="915">
        <v>0</v>
      </c>
      <c r="AD224" s="915">
        <v>0</v>
      </c>
      <c r="AE224" s="915">
        <v>0</v>
      </c>
      <c r="AF224" s="915">
        <v>0</v>
      </c>
      <c r="AG224" s="915">
        <v>0</v>
      </c>
      <c r="AH224" s="915">
        <v>1</v>
      </c>
      <c r="AI224" s="915">
        <v>60225</v>
      </c>
      <c r="AJ224" s="915">
        <v>2010</v>
      </c>
      <c r="AK224" s="915">
        <v>0</v>
      </c>
      <c r="AL224" s="915">
        <v>0</v>
      </c>
      <c r="AO224" s="955"/>
      <c r="AP224" s="955"/>
      <c r="AQ224" s="915" t="str">
        <f t="shared" si="6"/>
        <v/>
      </c>
      <c r="AS224" s="915" t="str">
        <f t="shared" si="7"/>
        <v>wci_corp</v>
      </c>
    </row>
    <row r="225" spans="2:42">
      <c r="C225" s="952"/>
      <c r="D225" s="957"/>
      <c r="E225" s="957"/>
      <c r="F225" s="957"/>
      <c r="H225" s="918"/>
    </row>
    <row r="226" spans="2:42">
      <c r="B226" s="958" t="s">
        <v>1743</v>
      </c>
      <c r="C226" s="958"/>
      <c r="D226" s="959"/>
      <c r="E226" s="959"/>
      <c r="F226" s="959"/>
      <c r="G226" s="958"/>
      <c r="H226" s="960"/>
      <c r="I226" s="958"/>
      <c r="J226" s="958"/>
      <c r="K226" s="958"/>
      <c r="L226" s="958"/>
      <c r="M226" s="958"/>
      <c r="N226" s="958"/>
      <c r="O226" s="958"/>
      <c r="P226" s="958"/>
      <c r="Q226" s="958"/>
      <c r="R226" s="958"/>
      <c r="S226" s="958"/>
      <c r="T226" s="958"/>
      <c r="U226" s="958"/>
      <c r="V226" s="958"/>
      <c r="W226" s="958"/>
      <c r="X226" s="958"/>
      <c r="Y226" s="958"/>
      <c r="Z226" s="958"/>
      <c r="AA226" s="958"/>
      <c r="AB226" s="958"/>
      <c r="AC226" s="958"/>
      <c r="AD226" s="958"/>
      <c r="AE226" s="958"/>
      <c r="AF226" s="958"/>
      <c r="AG226" s="958"/>
      <c r="AH226" s="958"/>
      <c r="AI226" s="958"/>
      <c r="AJ226" s="958"/>
      <c r="AK226" s="958"/>
      <c r="AL226" s="958"/>
      <c r="AM226" s="958"/>
      <c r="AN226" s="958"/>
      <c r="AO226" s="958"/>
      <c r="AP226" s="961"/>
    </row>
    <row r="227" spans="2:42">
      <c r="H227" s="918"/>
    </row>
    <row r="228" spans="2:42">
      <c r="H228" s="918"/>
    </row>
    <row r="229" spans="2:42">
      <c r="H229" s="918"/>
    </row>
    <row r="231" spans="2:42">
      <c r="B231" s="1110" t="s">
        <v>2558</v>
      </c>
    </row>
    <row r="233" spans="2:42">
      <c r="B233" s="915" t="s">
        <v>1434</v>
      </c>
      <c r="C233" s="915" t="s">
        <v>1744</v>
      </c>
    </row>
    <row r="234" spans="2:42" ht="15">
      <c r="B234" s="919" t="s">
        <v>2392</v>
      </c>
      <c r="C234" s="963">
        <v>16459.46</v>
      </c>
      <c r="D234" s="964">
        <v>16459.46</v>
      </c>
      <c r="E234" s="916" t="s">
        <v>1745</v>
      </c>
      <c r="F234" s="966" t="s">
        <v>2559</v>
      </c>
      <c r="G234" s="962"/>
    </row>
    <row r="235" spans="2:42" ht="15">
      <c r="B235" s="919" t="s">
        <v>2545</v>
      </c>
      <c r="C235" s="963">
        <v>469.88</v>
      </c>
      <c r="D235" s="964">
        <v>469.88</v>
      </c>
      <c r="E235" s="916" t="s">
        <v>1745</v>
      </c>
      <c r="F235" s="962" t="s">
        <v>2560</v>
      </c>
      <c r="G235" s="962"/>
    </row>
    <row r="236" spans="2:42" ht="15">
      <c r="B236" s="919" t="s">
        <v>2388</v>
      </c>
      <c r="C236" s="963">
        <v>1235.6899999999998</v>
      </c>
      <c r="D236" s="964">
        <v>1235.6899999999998</v>
      </c>
      <c r="E236" s="916" t="s">
        <v>1745</v>
      </c>
      <c r="F236" s="962" t="s">
        <v>2560</v>
      </c>
      <c r="G236" s="962"/>
    </row>
    <row r="237" spans="2:42" ht="15">
      <c r="B237" s="919" t="s">
        <v>2490</v>
      </c>
      <c r="C237" s="963">
        <v>100</v>
      </c>
      <c r="D237" s="964">
        <v>100</v>
      </c>
      <c r="E237" s="916" t="s">
        <v>1745</v>
      </c>
      <c r="F237" s="962" t="s">
        <v>2561</v>
      </c>
      <c r="G237" s="962"/>
    </row>
    <row r="238" spans="2:42" ht="15">
      <c r="B238" s="919" t="s">
        <v>2428</v>
      </c>
      <c r="C238" s="963">
        <v>346.86</v>
      </c>
      <c r="D238" s="964">
        <v>346.86</v>
      </c>
      <c r="E238" s="916" t="s">
        <v>1745</v>
      </c>
      <c r="F238" s="962" t="s">
        <v>2562</v>
      </c>
      <c r="G238" s="962"/>
    </row>
    <row r="239" spans="2:42" ht="15">
      <c r="B239" s="919" t="s">
        <v>2421</v>
      </c>
      <c r="C239" s="963">
        <v>6510.56</v>
      </c>
      <c r="D239" s="964">
        <v>6510.56</v>
      </c>
      <c r="F239" s="962" t="s">
        <v>2563</v>
      </c>
      <c r="G239" s="1137"/>
    </row>
    <row r="240" spans="2:42" ht="15">
      <c r="B240" s="919" t="s">
        <v>2457</v>
      </c>
      <c r="C240" s="963">
        <v>302.44</v>
      </c>
      <c r="D240" s="964">
        <v>302.44</v>
      </c>
      <c r="E240" s="916" t="s">
        <v>1745</v>
      </c>
      <c r="F240" s="962" t="s">
        <v>2564</v>
      </c>
      <c r="G240" s="962"/>
    </row>
    <row r="241" spans="2:6" ht="15">
      <c r="B241" s="919" t="s">
        <v>2397</v>
      </c>
      <c r="C241" s="963">
        <v>1500</v>
      </c>
      <c r="D241" s="964">
        <v>1500</v>
      </c>
      <c r="E241" s="916" t="s">
        <v>1745</v>
      </c>
      <c r="F241" s="915" t="s">
        <v>2565</v>
      </c>
    </row>
    <row r="242" spans="2:6" ht="15">
      <c r="B242" s="919" t="s">
        <v>305</v>
      </c>
      <c r="C242" s="963">
        <v>0</v>
      </c>
      <c r="D242" s="964">
        <v>0</v>
      </c>
    </row>
    <row r="243" spans="2:6" ht="15">
      <c r="B243" s="919" t="s">
        <v>2502</v>
      </c>
      <c r="C243" s="963">
        <v>801.5</v>
      </c>
      <c r="D243" s="964">
        <v>801.5</v>
      </c>
      <c r="E243" s="916" t="s">
        <v>1745</v>
      </c>
    </row>
    <row r="244" spans="2:6" ht="15">
      <c r="B244" s="919" t="s">
        <v>2527</v>
      </c>
      <c r="C244" s="963">
        <v>128.12</v>
      </c>
      <c r="D244" s="964">
        <v>128.12</v>
      </c>
      <c r="E244" s="916" t="s">
        <v>1745</v>
      </c>
      <c r="F244" s="915" t="s">
        <v>2566</v>
      </c>
    </row>
    <row r="245" spans="2:6" ht="15">
      <c r="B245" s="919" t="s">
        <v>2445</v>
      </c>
      <c r="C245" s="963">
        <v>154.38999999999999</v>
      </c>
      <c r="D245" s="964">
        <v>154.38999999999999</v>
      </c>
      <c r="E245" s="916" t="s">
        <v>1745</v>
      </c>
      <c r="F245" s="915" t="s">
        <v>2567</v>
      </c>
    </row>
    <row r="246" spans="2:6" ht="15">
      <c r="B246" s="919" t="s">
        <v>2469</v>
      </c>
      <c r="C246" s="963">
        <v>558.26</v>
      </c>
      <c r="D246" s="964">
        <v>558.26</v>
      </c>
      <c r="E246" s="916" t="s">
        <v>1745</v>
      </c>
      <c r="F246" s="915" t="s">
        <v>2568</v>
      </c>
    </row>
    <row r="247" spans="2:6" ht="15">
      <c r="B247" s="919" t="s">
        <v>2540</v>
      </c>
      <c r="C247" s="963">
        <v>3493.76</v>
      </c>
      <c r="D247" s="964">
        <v>3493.76</v>
      </c>
      <c r="E247" s="916" t="s">
        <v>1745</v>
      </c>
      <c r="F247" s="915" t="s">
        <v>2569</v>
      </c>
    </row>
    <row r="248" spans="2:6" ht="15">
      <c r="B248" s="919" t="s">
        <v>2524</v>
      </c>
      <c r="C248" s="963">
        <v>8134.34</v>
      </c>
      <c r="D248" s="964">
        <v>8134.34</v>
      </c>
      <c r="F248" s="915" t="s">
        <v>2570</v>
      </c>
    </row>
    <row r="249" spans="2:6" ht="15">
      <c r="B249" s="919" t="s">
        <v>2444</v>
      </c>
      <c r="C249" s="963">
        <v>1650.46</v>
      </c>
      <c r="D249" s="964">
        <v>1650.46</v>
      </c>
      <c r="E249" s="916" t="s">
        <v>1745</v>
      </c>
      <c r="F249" s="915" t="s">
        <v>2571</v>
      </c>
    </row>
    <row r="250" spans="2:6" ht="15">
      <c r="B250" s="919" t="s">
        <v>2435</v>
      </c>
      <c r="C250" s="963">
        <v>0</v>
      </c>
      <c r="D250" s="964">
        <v>0</v>
      </c>
    </row>
    <row r="251" spans="2:6" ht="15">
      <c r="B251" s="919" t="s">
        <v>2436</v>
      </c>
      <c r="C251" s="963">
        <v>0</v>
      </c>
      <c r="D251" s="964">
        <v>0</v>
      </c>
    </row>
    <row r="252" spans="2:6" ht="15">
      <c r="B252" s="919" t="s">
        <v>2446</v>
      </c>
      <c r="C252" s="963">
        <v>5421</v>
      </c>
      <c r="D252" s="964">
        <v>5421</v>
      </c>
      <c r="E252" s="916" t="s">
        <v>1745</v>
      </c>
      <c r="F252" s="915" t="s">
        <v>2572</v>
      </c>
    </row>
    <row r="253" spans="2:6" ht="15">
      <c r="B253" s="919" t="s">
        <v>2199</v>
      </c>
      <c r="C253" s="963">
        <v>499</v>
      </c>
      <c r="D253" s="964">
        <v>499</v>
      </c>
      <c r="E253" s="916" t="s">
        <v>1745</v>
      </c>
    </row>
    <row r="254" spans="2:6" ht="15">
      <c r="B254" s="919" t="s">
        <v>2489</v>
      </c>
      <c r="C254" s="963">
        <v>1600.26</v>
      </c>
      <c r="D254" s="964">
        <v>1600.26</v>
      </c>
      <c r="E254" s="916" t="s">
        <v>1745</v>
      </c>
      <c r="F254" s="915" t="s">
        <v>2573</v>
      </c>
    </row>
    <row r="255" spans="2:6" ht="15">
      <c r="B255" s="919" t="s">
        <v>2390</v>
      </c>
      <c r="C255" s="963">
        <v>777.77</v>
      </c>
      <c r="D255" s="964">
        <v>777.77</v>
      </c>
      <c r="E255" s="916" t="s">
        <v>1745</v>
      </c>
      <c r="F255" s="915" t="s">
        <v>2574</v>
      </c>
    </row>
    <row r="256" spans="2:6" ht="15">
      <c r="B256" s="919" t="s">
        <v>2415</v>
      </c>
      <c r="C256" s="963">
        <v>75</v>
      </c>
      <c r="D256" s="964">
        <v>75</v>
      </c>
      <c r="F256" s="915" t="s">
        <v>2575</v>
      </c>
    </row>
    <row r="257" spans="2:6" ht="15">
      <c r="B257" s="919" t="s">
        <v>2408</v>
      </c>
      <c r="C257" s="963">
        <v>20926.73</v>
      </c>
      <c r="D257" s="964">
        <v>20926.73</v>
      </c>
      <c r="F257" s="915" t="s">
        <v>2576</v>
      </c>
    </row>
    <row r="258" spans="2:6" ht="15">
      <c r="B258" s="919" t="s">
        <v>2551</v>
      </c>
      <c r="C258" s="963">
        <v>75</v>
      </c>
      <c r="D258" s="964">
        <v>75</v>
      </c>
      <c r="E258" s="916" t="s">
        <v>1745</v>
      </c>
    </row>
    <row r="259" spans="2:6" ht="15">
      <c r="B259" s="919" t="s">
        <v>2379</v>
      </c>
      <c r="C259" s="963">
        <v>-790</v>
      </c>
      <c r="D259" s="964">
        <v>-790</v>
      </c>
      <c r="E259" s="916" t="s">
        <v>1745</v>
      </c>
      <c r="F259" s="915" t="s">
        <v>2573</v>
      </c>
    </row>
    <row r="260" spans="2:6" ht="15">
      <c r="B260" s="919" t="s">
        <v>2433</v>
      </c>
      <c r="C260" s="963">
        <v>606</v>
      </c>
      <c r="D260" s="964">
        <v>606</v>
      </c>
      <c r="E260" s="916" t="s">
        <v>1745</v>
      </c>
      <c r="F260" s="915" t="s">
        <v>2573</v>
      </c>
    </row>
    <row r="261" spans="2:6" ht="15">
      <c r="B261" s="919" t="s">
        <v>2493</v>
      </c>
      <c r="C261" s="963">
        <v>0</v>
      </c>
      <c r="D261" s="964">
        <v>0</v>
      </c>
    </row>
    <row r="262" spans="2:6" ht="15">
      <c r="B262" s="919" t="s">
        <v>2475</v>
      </c>
      <c r="C262" s="963">
        <v>0</v>
      </c>
      <c r="D262" s="964">
        <v>0</v>
      </c>
    </row>
    <row r="263" spans="2:6" ht="15">
      <c r="B263" s="919" t="s">
        <v>2452</v>
      </c>
      <c r="C263" s="963">
        <v>0</v>
      </c>
      <c r="D263" s="964">
        <v>0</v>
      </c>
    </row>
    <row r="264" spans="2:6" ht="15">
      <c r="B264" s="919" t="s">
        <v>2476</v>
      </c>
      <c r="C264" s="963">
        <v>0</v>
      </c>
      <c r="D264" s="964">
        <v>0</v>
      </c>
    </row>
    <row r="265" spans="2:6" ht="15">
      <c r="B265" s="919" t="s">
        <v>2503</v>
      </c>
      <c r="C265" s="963">
        <v>0</v>
      </c>
      <c r="D265" s="964">
        <v>0</v>
      </c>
    </row>
    <row r="266" spans="2:6" ht="15">
      <c r="B266" s="919" t="s">
        <v>2504</v>
      </c>
      <c r="C266" s="963">
        <v>0</v>
      </c>
      <c r="D266" s="964">
        <v>0</v>
      </c>
    </row>
    <row r="267" spans="2:6" ht="15">
      <c r="B267" s="919" t="s">
        <v>2505</v>
      </c>
      <c r="C267" s="963">
        <v>0</v>
      </c>
      <c r="D267" s="964">
        <v>0</v>
      </c>
    </row>
    <row r="268" spans="2:6" ht="15">
      <c r="B268" s="919" t="s">
        <v>2506</v>
      </c>
      <c r="C268" s="963">
        <v>0</v>
      </c>
      <c r="D268" s="964">
        <v>0</v>
      </c>
    </row>
    <row r="269" spans="2:6" ht="15">
      <c r="B269" s="919" t="s">
        <v>2507</v>
      </c>
      <c r="C269" s="963">
        <v>0</v>
      </c>
      <c r="D269" s="964">
        <v>0</v>
      </c>
    </row>
    <row r="270" spans="2:6" ht="15">
      <c r="B270" s="919" t="s">
        <v>2517</v>
      </c>
      <c r="C270" s="963">
        <v>0</v>
      </c>
      <c r="D270" s="964">
        <v>0</v>
      </c>
    </row>
    <row r="271" spans="2:6" ht="15">
      <c r="B271" s="919" t="s">
        <v>2518</v>
      </c>
      <c r="C271" s="963">
        <v>0</v>
      </c>
      <c r="D271" s="964">
        <v>0</v>
      </c>
    </row>
    <row r="272" spans="2:6" ht="15">
      <c r="B272" s="919" t="s">
        <v>2519</v>
      </c>
      <c r="C272" s="963">
        <v>0</v>
      </c>
      <c r="D272" s="964">
        <v>0</v>
      </c>
    </row>
    <row r="273" spans="2:6" ht="15">
      <c r="B273" s="919" t="s">
        <v>2530</v>
      </c>
      <c r="C273" s="963">
        <v>0</v>
      </c>
      <c r="D273" s="964">
        <v>0</v>
      </c>
    </row>
    <row r="274" spans="2:6" ht="15">
      <c r="B274" s="919" t="s">
        <v>2380</v>
      </c>
      <c r="C274" s="963">
        <v>-197.29</v>
      </c>
      <c r="D274" s="964">
        <v>-197.29</v>
      </c>
      <c r="E274" s="916" t="s">
        <v>1745</v>
      </c>
    </row>
    <row r="275" spans="2:6" ht="15">
      <c r="B275" s="919" t="s">
        <v>2541</v>
      </c>
      <c r="C275" s="963">
        <v>0</v>
      </c>
      <c r="D275" s="964">
        <v>0</v>
      </c>
    </row>
    <row r="276" spans="2:6" ht="15">
      <c r="B276" s="919" t="s">
        <v>2542</v>
      </c>
      <c r="C276" s="963">
        <v>0</v>
      </c>
      <c r="D276" s="964">
        <v>0</v>
      </c>
    </row>
    <row r="277" spans="2:6" ht="15">
      <c r="B277" s="919" t="s">
        <v>2543</v>
      </c>
      <c r="C277" s="963">
        <v>0</v>
      </c>
      <c r="D277" s="964">
        <v>0</v>
      </c>
    </row>
    <row r="278" spans="2:6" ht="15">
      <c r="B278" s="919" t="s">
        <v>2544</v>
      </c>
      <c r="C278" s="963">
        <v>0</v>
      </c>
      <c r="D278" s="964">
        <v>0</v>
      </c>
    </row>
    <row r="279" spans="2:6" ht="15">
      <c r="B279" s="919" t="s">
        <v>2381</v>
      </c>
      <c r="C279" s="963">
        <v>-313.2</v>
      </c>
      <c r="D279" s="964">
        <v>-313.2</v>
      </c>
      <c r="E279" s="916" t="s">
        <v>1745</v>
      </c>
    </row>
    <row r="280" spans="2:6" ht="15">
      <c r="B280" s="919" t="s">
        <v>2549</v>
      </c>
      <c r="C280" s="963">
        <v>279.67</v>
      </c>
      <c r="D280" s="964">
        <v>279.67</v>
      </c>
      <c r="E280" s="916" t="s">
        <v>1745</v>
      </c>
      <c r="F280" s="915" t="s">
        <v>2577</v>
      </c>
    </row>
    <row r="281" spans="2:6" ht="15">
      <c r="B281" s="919" t="s">
        <v>2405</v>
      </c>
      <c r="C281" s="963">
        <v>0</v>
      </c>
      <c r="D281" s="964">
        <v>0</v>
      </c>
    </row>
    <row r="282" spans="2:6" ht="15">
      <c r="B282" s="919" t="s">
        <v>2431</v>
      </c>
      <c r="C282" s="963">
        <v>0</v>
      </c>
      <c r="D282" s="964">
        <v>0</v>
      </c>
    </row>
    <row r="283" spans="2:6" ht="15">
      <c r="B283" s="919" t="s">
        <v>2419</v>
      </c>
      <c r="C283" s="963">
        <v>0</v>
      </c>
      <c r="D283" s="964">
        <v>0</v>
      </c>
    </row>
    <row r="284" spans="2:6" ht="15">
      <c r="B284" s="919" t="s">
        <v>2088</v>
      </c>
      <c r="C284" s="963">
        <v>1506.63</v>
      </c>
      <c r="D284" s="964">
        <v>1506.63</v>
      </c>
      <c r="E284" s="916" t="s">
        <v>1745</v>
      </c>
      <c r="F284" s="915" t="s">
        <v>2578</v>
      </c>
    </row>
    <row r="285" spans="2:6" ht="15">
      <c r="B285" s="919" t="s">
        <v>2526</v>
      </c>
      <c r="C285" s="963">
        <v>4907.33</v>
      </c>
      <c r="D285" s="964">
        <v>4907.33</v>
      </c>
      <c r="F285" s="915" t="s">
        <v>2579</v>
      </c>
    </row>
    <row r="286" spans="2:6" ht="15">
      <c r="B286" s="919" t="s">
        <v>2426</v>
      </c>
      <c r="C286" s="963">
        <v>9476.43</v>
      </c>
      <c r="D286" s="964">
        <v>9476.43</v>
      </c>
      <c r="F286" s="915" t="s">
        <v>2576</v>
      </c>
    </row>
    <row r="287" spans="2:6" ht="15">
      <c r="B287" s="919" t="s">
        <v>2404</v>
      </c>
      <c r="C287" s="963">
        <v>3701.87</v>
      </c>
      <c r="D287" s="964">
        <v>3701.87</v>
      </c>
      <c r="E287" s="916" t="s">
        <v>1745</v>
      </c>
      <c r="F287" s="915" t="s">
        <v>2580</v>
      </c>
    </row>
    <row r="288" spans="2:6" ht="15">
      <c r="B288" s="919" t="s">
        <v>2385</v>
      </c>
      <c r="C288" s="963">
        <v>3598.88</v>
      </c>
      <c r="D288" s="964">
        <v>3598.88</v>
      </c>
      <c r="E288" s="916" t="s">
        <v>1745</v>
      </c>
      <c r="F288" s="915" t="s">
        <v>2573</v>
      </c>
    </row>
    <row r="289" spans="2:8" ht="15">
      <c r="B289" s="919" t="s">
        <v>2395</v>
      </c>
      <c r="C289" s="963">
        <v>30007.58</v>
      </c>
      <c r="D289" s="964">
        <v>30007.58</v>
      </c>
      <c r="E289" s="916" t="s">
        <v>1745</v>
      </c>
      <c r="F289" s="915" t="s">
        <v>2581</v>
      </c>
    </row>
    <row r="290" spans="2:8" ht="15">
      <c r="B290" s="919" t="s">
        <v>2448</v>
      </c>
      <c r="C290" s="963">
        <v>1981.33</v>
      </c>
      <c r="D290" s="964">
        <v>1981.33</v>
      </c>
      <c r="E290" s="916" t="s">
        <v>1745</v>
      </c>
      <c r="F290" s="915" t="s">
        <v>2573</v>
      </c>
    </row>
    <row r="291" spans="2:8" ht="15">
      <c r="B291" s="919" t="s">
        <v>2447</v>
      </c>
      <c r="C291" s="963">
        <v>827.24</v>
      </c>
      <c r="D291" s="964">
        <v>827.24</v>
      </c>
      <c r="E291" s="916" t="s">
        <v>1745</v>
      </c>
      <c r="F291" s="915" t="s">
        <v>2573</v>
      </c>
    </row>
    <row r="292" spans="2:8" ht="15">
      <c r="B292" s="919" t="s">
        <v>2376</v>
      </c>
      <c r="C292" s="963">
        <v>-470</v>
      </c>
      <c r="D292" s="964">
        <v>-470</v>
      </c>
      <c r="E292" s="916" t="s">
        <v>1745</v>
      </c>
      <c r="F292" s="915" t="s">
        <v>2573</v>
      </c>
    </row>
    <row r="293" spans="2:8" ht="15">
      <c r="B293" s="919" t="s">
        <v>2368</v>
      </c>
      <c r="C293" s="963">
        <v>470</v>
      </c>
      <c r="D293" s="964">
        <v>470</v>
      </c>
      <c r="E293" s="916" t="s">
        <v>1745</v>
      </c>
      <c r="F293" s="915" t="s">
        <v>2573</v>
      </c>
    </row>
    <row r="294" spans="2:8" ht="15">
      <c r="B294" s="919" t="s">
        <v>2314</v>
      </c>
      <c r="C294" s="963">
        <v>6942.13</v>
      </c>
      <c r="D294" s="964">
        <v>6942.13</v>
      </c>
      <c r="E294" s="916" t="s">
        <v>1745</v>
      </c>
      <c r="F294" s="915" t="s">
        <v>2573</v>
      </c>
      <c r="G294" s="962"/>
      <c r="H294" s="1138"/>
    </row>
    <row r="295" spans="2:8" ht="15">
      <c r="B295" s="919" t="s">
        <v>2513</v>
      </c>
      <c r="C295" s="963">
        <v>115.32</v>
      </c>
      <c r="D295" s="964">
        <v>115.32</v>
      </c>
      <c r="E295" s="916" t="s">
        <v>1745</v>
      </c>
      <c r="F295" s="915" t="s">
        <v>2573</v>
      </c>
    </row>
    <row r="296" spans="2:8" ht="15">
      <c r="B296" s="919" t="s">
        <v>2472</v>
      </c>
      <c r="C296" s="963">
        <v>371.16</v>
      </c>
      <c r="D296" s="964">
        <v>371.16</v>
      </c>
      <c r="E296" s="916" t="s">
        <v>1745</v>
      </c>
      <c r="F296" s="915" t="s">
        <v>2582</v>
      </c>
    </row>
    <row r="297" spans="2:8" ht="15">
      <c r="B297" s="919" t="s">
        <v>2546</v>
      </c>
      <c r="C297" s="963">
        <v>9</v>
      </c>
      <c r="D297" s="964">
        <v>9</v>
      </c>
      <c r="E297" s="916" t="s">
        <v>1745</v>
      </c>
      <c r="F297" s="915" t="s">
        <v>2583</v>
      </c>
    </row>
    <row r="298" spans="2:8" ht="15">
      <c r="B298" s="919" t="s">
        <v>2414</v>
      </c>
      <c r="C298" s="963">
        <v>30.03</v>
      </c>
      <c r="D298" s="964">
        <v>30.03</v>
      </c>
      <c r="E298" s="916" t="s">
        <v>1745</v>
      </c>
      <c r="F298" s="915" t="s">
        <v>2584</v>
      </c>
    </row>
    <row r="299" spans="2:8" ht="15">
      <c r="B299" s="919" t="s">
        <v>2515</v>
      </c>
      <c r="C299" s="963">
        <v>1880</v>
      </c>
      <c r="D299" s="964">
        <v>1880</v>
      </c>
      <c r="E299" s="916" t="s">
        <v>1745</v>
      </c>
      <c r="F299" s="915" t="s">
        <v>2573</v>
      </c>
    </row>
    <row r="300" spans="2:8" ht="15">
      <c r="B300" s="919" t="s">
        <v>2501</v>
      </c>
      <c r="C300" s="963">
        <v>2559.08</v>
      </c>
      <c r="D300" s="964">
        <v>2559.08</v>
      </c>
      <c r="E300" s="916" t="s">
        <v>1745</v>
      </c>
      <c r="F300" s="915" t="s">
        <v>2573</v>
      </c>
    </row>
    <row r="301" spans="2:8" ht="15">
      <c r="B301" s="919" t="s">
        <v>2522</v>
      </c>
      <c r="C301" s="963">
        <v>420.96</v>
      </c>
      <c r="D301" s="964">
        <v>420.96</v>
      </c>
      <c r="E301" s="916" t="s">
        <v>1745</v>
      </c>
      <c r="F301" s="915" t="s">
        <v>2585</v>
      </c>
    </row>
    <row r="302" spans="2:8" ht="15">
      <c r="B302" s="919" t="s">
        <v>2449</v>
      </c>
      <c r="C302" s="963">
        <v>1001.6</v>
      </c>
      <c r="D302" s="964">
        <v>1001.6</v>
      </c>
      <c r="F302" s="915" t="s">
        <v>2586</v>
      </c>
    </row>
    <row r="303" spans="2:8" ht="15">
      <c r="B303" s="919" t="s">
        <v>343</v>
      </c>
      <c r="C303" s="969">
        <v>140142.23000000001</v>
      </c>
      <c r="D303" s="964">
        <v>140142.23000000001</v>
      </c>
    </row>
    <row r="305" spans="3:4">
      <c r="C305" s="927" t="s">
        <v>347</v>
      </c>
      <c r="D305" s="1139">
        <f>SUM(D234:D238,D240:D247,D249,D252:D255,D258:D260,D274:D284,D287:D301)</f>
        <v>89110.24000000002</v>
      </c>
    </row>
  </sheetData>
  <autoFilter ref="A19:AS224"/>
  <dataValidations disablePrompts="1" count="1">
    <dataValidation type="list" allowBlank="1" showInputMessage="1" showErrorMessage="1" sqref="P15">
      <formula1>"All,Posted/Unposted,Posted,Unposted,Staged"</formula1>
    </dataValidation>
  </dataValidations>
  <pageMargins left="0.27" right="0.28999999999999998" top="0.37" bottom="0.43" header="0.25" footer="0.25"/>
  <pageSetup scale="39" fitToHeight="0" orientation="landscape" r:id="rId2"/>
  <headerFooter alignWithMargins="0">
    <oddHeader>&amp;L&amp;8 &amp;R&amp;8 &amp;D-&amp;T-Jeff Honsowetz</oddHeader>
    <oddFooter xml:space="preserve">&amp;L&amp;8&amp;F - &amp;A
&amp;R&amp;8Page &amp;P of &amp;N
</oddFooter>
  </headerFooter>
  <rowBreaks count="2" manualBreakCount="2">
    <brk id="121" max="14" man="1"/>
    <brk id="220" max="14" man="1"/>
  </rowBreaks>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140"/>
  <sheetViews>
    <sheetView showGridLines="0" view="pageBreakPreview" topLeftCell="A9" zoomScale="60" zoomScaleNormal="80" workbookViewId="0">
      <selection activeCell="AI26" sqref="AI26"/>
    </sheetView>
  </sheetViews>
  <sheetFormatPr defaultRowHeight="12.75" outlineLevelRow="1"/>
  <cols>
    <col min="1" max="1" width="2.7109375" style="915" customWidth="1"/>
    <col min="2" max="2" width="50.7109375" style="915" customWidth="1"/>
    <col min="3" max="3" width="19.85546875" style="915" customWidth="1"/>
    <col min="4" max="5" width="18.7109375" style="915" customWidth="1"/>
    <col min="6" max="6" width="12.28515625" style="915" customWidth="1"/>
    <col min="7" max="7" width="19" style="915" customWidth="1"/>
    <col min="8" max="8" width="7.85546875" style="915" customWidth="1"/>
    <col min="9" max="9" width="30.28515625" style="915" customWidth="1"/>
    <col min="10" max="10" width="10.28515625" style="915" customWidth="1"/>
    <col min="11" max="11" width="13.5703125" style="915" customWidth="1"/>
    <col min="12" max="12" width="15.140625" style="915" customWidth="1"/>
    <col min="13" max="13" width="29.85546875" style="915" customWidth="1"/>
    <col min="14" max="14" width="38.5703125" style="915" customWidth="1"/>
    <col min="15" max="15" width="11.42578125" style="915" customWidth="1"/>
    <col min="16" max="16" width="35.140625" style="915" customWidth="1"/>
    <col min="17" max="17" width="18" style="915" customWidth="1"/>
    <col min="18" max="18" width="14.140625" style="915" customWidth="1"/>
    <col min="19" max="19" width="17.7109375" style="915" customWidth="1"/>
    <col min="20" max="20" width="12.7109375" style="915" customWidth="1"/>
    <col min="21" max="21" width="15.85546875" style="915" customWidth="1"/>
    <col min="22" max="22" width="13.7109375" style="915" bestFit="1" customWidth="1"/>
    <col min="23" max="23" width="13.28515625" style="915" customWidth="1"/>
    <col min="24" max="24" width="12.28515625" style="915" customWidth="1"/>
    <col min="25" max="25" width="11.5703125" style="915" customWidth="1"/>
    <col min="26" max="26" width="9.85546875" style="915" customWidth="1"/>
    <col min="27" max="27" width="11.42578125" style="915" customWidth="1"/>
    <col min="28" max="28" width="11" style="915" customWidth="1"/>
    <col min="29" max="29" width="11.5703125" style="915" customWidth="1"/>
    <col min="30" max="30" width="7" style="915" customWidth="1"/>
    <col min="31" max="31" width="11.140625" style="915" customWidth="1"/>
    <col min="32" max="32" width="11" style="915" customWidth="1"/>
    <col min="33" max="33" width="8.5703125" style="915" customWidth="1"/>
    <col min="34" max="34" width="8.42578125" style="915" customWidth="1"/>
    <col min="35" max="36" width="10.28515625" style="915" customWidth="1"/>
    <col min="37" max="37" width="10.140625" style="915" customWidth="1"/>
    <col min="38" max="38" width="10.42578125" style="915" customWidth="1"/>
    <col min="39" max="39" width="21.140625" style="915" customWidth="1"/>
    <col min="40" max="42" width="18.85546875" style="915" customWidth="1"/>
    <col min="43" max="43" width="20.42578125" style="915" customWidth="1"/>
    <col min="44" max="44" width="9.140625" style="915" customWidth="1"/>
    <col min="45" max="45" width="9.140625" style="915" hidden="1" customWidth="1"/>
    <col min="46" max="46" width="9.140625" style="915" customWidth="1"/>
    <col min="47" max="16384" width="9.140625" style="915"/>
  </cols>
  <sheetData>
    <row r="1" spans="1:43" hidden="1" outlineLevel="1">
      <c r="A1" s="914" t="b">
        <v>1</v>
      </c>
      <c r="B1" s="914"/>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914"/>
      <c r="AN1" s="914"/>
      <c r="AO1" s="914"/>
      <c r="AP1" s="914"/>
      <c r="AQ1" s="914"/>
    </row>
    <row r="2" spans="1:43" hidden="1" outlineLevel="1">
      <c r="B2" s="915" t="s">
        <v>1504</v>
      </c>
      <c r="C2" s="915" t="s">
        <v>1505</v>
      </c>
      <c r="D2" s="916" t="s">
        <v>1506</v>
      </c>
      <c r="E2" s="916" t="s">
        <v>1507</v>
      </c>
      <c r="F2" s="916" t="s">
        <v>1508</v>
      </c>
      <c r="G2" s="915" t="s">
        <v>1509</v>
      </c>
      <c r="H2" s="915" t="s">
        <v>1510</v>
      </c>
      <c r="I2" s="915" t="s">
        <v>1511</v>
      </c>
      <c r="J2" s="915" t="s">
        <v>1512</v>
      </c>
      <c r="K2" s="915" t="s">
        <v>1513</v>
      </c>
      <c r="L2" s="915" t="s">
        <v>1514</v>
      </c>
      <c r="M2" s="915" t="s">
        <v>1515</v>
      </c>
      <c r="N2" s="915" t="s">
        <v>1516</v>
      </c>
      <c r="O2" s="915" t="s">
        <v>1517</v>
      </c>
      <c r="P2" s="915" t="s">
        <v>1518</v>
      </c>
      <c r="Q2" s="915" t="s">
        <v>1519</v>
      </c>
      <c r="R2" s="915" t="s">
        <v>1520</v>
      </c>
      <c r="S2" s="915" t="s">
        <v>1521</v>
      </c>
      <c r="T2" s="915" t="s">
        <v>1522</v>
      </c>
      <c r="U2" s="915" t="s">
        <v>1523</v>
      </c>
      <c r="V2" s="915" t="s">
        <v>1524</v>
      </c>
      <c r="W2" s="915" t="s">
        <v>1525</v>
      </c>
      <c r="X2" s="915" t="s">
        <v>1526</v>
      </c>
      <c r="Y2" s="915" t="s">
        <v>1527</v>
      </c>
      <c r="Z2" s="915" t="s">
        <v>1528</v>
      </c>
      <c r="AA2" s="915" t="s">
        <v>1529</v>
      </c>
      <c r="AB2" s="915" t="s">
        <v>1530</v>
      </c>
      <c r="AC2" s="915" t="s">
        <v>1531</v>
      </c>
      <c r="AD2" s="915" t="s">
        <v>1532</v>
      </c>
      <c r="AE2" s="915" t="s">
        <v>1533</v>
      </c>
      <c r="AF2" s="915" t="s">
        <v>1534</v>
      </c>
      <c r="AG2" s="915" t="s">
        <v>1535</v>
      </c>
      <c r="AH2" s="915" t="s">
        <v>1536</v>
      </c>
      <c r="AI2" s="915" t="s">
        <v>1537</v>
      </c>
      <c r="AJ2" s="915" t="s">
        <v>1538</v>
      </c>
      <c r="AK2" s="915" t="s">
        <v>1539</v>
      </c>
      <c r="AL2" s="915" t="s">
        <v>1540</v>
      </c>
      <c r="AM2" s="915" t="s">
        <v>1541</v>
      </c>
      <c r="AN2" s="915" t="s">
        <v>1542</v>
      </c>
      <c r="AO2" s="915" t="s">
        <v>1543</v>
      </c>
      <c r="AP2" s="915" t="s">
        <v>1544</v>
      </c>
      <c r="AQ2" s="916"/>
    </row>
    <row r="3" spans="1:43" hidden="1" outlineLevel="1">
      <c r="A3" s="914" t="s">
        <v>1545</v>
      </c>
      <c r="B3" s="914"/>
      <c r="C3" s="914"/>
      <c r="D3" s="914"/>
      <c r="E3" s="914"/>
      <c r="F3" s="914"/>
      <c r="G3" s="914"/>
      <c r="H3" s="914"/>
      <c r="I3" s="914"/>
      <c r="J3" s="914"/>
      <c r="K3" s="914"/>
      <c r="L3" s="914"/>
      <c r="M3" s="914"/>
      <c r="N3" s="914"/>
      <c r="O3" s="914"/>
      <c r="P3" s="914"/>
      <c r="Q3" s="914"/>
      <c r="R3" s="914"/>
      <c r="S3" s="914"/>
      <c r="T3" s="914"/>
      <c r="U3" s="914"/>
      <c r="V3" s="914"/>
      <c r="W3" s="914"/>
      <c r="X3" s="914"/>
      <c r="Y3" s="914"/>
      <c r="Z3" s="914"/>
      <c r="AA3" s="914"/>
      <c r="AB3" s="914"/>
      <c r="AC3" s="914"/>
      <c r="AD3" s="914"/>
      <c r="AE3" s="914"/>
      <c r="AF3" s="914"/>
      <c r="AG3" s="914"/>
      <c r="AH3" s="914"/>
      <c r="AI3" s="914"/>
      <c r="AJ3" s="914"/>
      <c r="AK3" s="914"/>
      <c r="AL3" s="914"/>
      <c r="AM3" s="914"/>
      <c r="AN3" s="914"/>
      <c r="AO3" s="914"/>
      <c r="AP3" s="914"/>
      <c r="AQ3" s="914"/>
    </row>
    <row r="4" spans="1:43" hidden="1" outlineLevel="1">
      <c r="Q4" s="915" t="str">
        <f ca="1">_xll.ReportDrill('[57]JE Lookup'!B1,,_xll.PairGroup(_xll.Pair(G20:G95,'[57]JE Lookup'!N8),_xll.Pair(AB20:AB95,'[57]JE Lookup'!N7)),"JE Lookup")</f>
        <v>OK!: ReportDrill 'JE Lookup' Formula OK [jAction{}]</v>
      </c>
      <c r="U4" s="915" t="str">
        <f ca="1">_xll.ReportDrill(,"APDrill",_xll.PairGroup(_xll.PairExt(AQ20:AQ95,"H8")),"AP Detail")</f>
        <v>OK!: ReportDrill 'AP Detail' Formula OK [jAction{}]</v>
      </c>
      <c r="Y4" s="915" t="str">
        <f ca="1">_xll.ReportDrill(,"JEStaged_DrillToDetail",_xll.PairGroup(_xll.PairExt(Q19:Q95,"dControlNum",TRUE),_xll.PairExt(AP19:AP95,"dDistrict",TRUE),_xll.PairExt(AO19:AO95,"dApplyMonth",TRUE)),"JE Staged Details")</f>
        <v>OK!: ReportDrill 'JE Staged Details' Formula OK [jAction{}]</v>
      </c>
    </row>
    <row r="5" spans="1:43" hidden="1" outlineLevel="1">
      <c r="B5" s="915" t="str">
        <f ca="1">_xll.ReportRange("JEQuery_WithStaged",B20:AS94,B2:AS2,,_xll.Param(I12,DateTo,IF(M12="","all",M12),M13,M14,M15,P12,P13,P14,P15,EntrieShownLimit,DateFrom,DateTo),TRUE)</f>
        <v>OK!: ReportRange Formula OK [jAction{}]</v>
      </c>
      <c r="Q5" s="915" t="str">
        <f ca="1">_xll.ReportDrill('[57]JE Lookup'!B1,,_xll.PairGroup(_xll.Pair(V20:V95,'[57]JE Lookup'!N8),_xll.Pair(AS20:AS95,'[57]JE Lookup'!N7)),"I/C Originating JE")</f>
        <v>OK!: ReportDrill 'I/C Originating JE' Formula OK [jAction{}]</v>
      </c>
    </row>
    <row r="6" spans="1:43" hidden="1" outlineLevel="1">
      <c r="B6" s="917" t="s">
        <v>1546</v>
      </c>
      <c r="D6" s="915">
        <v>10000</v>
      </c>
    </row>
    <row r="7" spans="1:43" hidden="1" outlineLevel="1">
      <c r="A7" s="914" t="s">
        <v>1547</v>
      </c>
      <c r="B7" s="914"/>
      <c r="C7" s="914"/>
      <c r="D7" s="914"/>
      <c r="E7" s="914"/>
      <c r="F7" s="914"/>
      <c r="G7" s="914"/>
      <c r="H7" s="914"/>
      <c r="I7" s="914"/>
      <c r="J7" s="914"/>
      <c r="K7" s="914"/>
      <c r="L7" s="914"/>
      <c r="M7" s="914"/>
      <c r="N7" s="914"/>
      <c r="O7" s="914"/>
      <c r="P7" s="914"/>
      <c r="Q7" s="914"/>
      <c r="R7" s="914"/>
      <c r="S7" s="914"/>
      <c r="T7" s="914"/>
      <c r="U7" s="914"/>
      <c r="V7" s="914"/>
      <c r="W7" s="914"/>
      <c r="X7" s="914"/>
      <c r="Y7" s="914"/>
      <c r="Z7" s="914"/>
      <c r="AA7" s="914"/>
      <c r="AB7" s="914"/>
      <c r="AC7" s="914"/>
      <c r="AD7" s="914"/>
      <c r="AE7" s="914"/>
      <c r="AF7" s="914"/>
      <c r="AG7" s="914"/>
      <c r="AH7" s="914"/>
      <c r="AI7" s="914"/>
      <c r="AJ7" s="914"/>
      <c r="AK7" s="914"/>
      <c r="AL7" s="914"/>
      <c r="AM7" s="914"/>
      <c r="AN7" s="914"/>
      <c r="AO7" s="914"/>
      <c r="AP7" s="914"/>
      <c r="AQ7" s="914"/>
    </row>
    <row r="8" spans="1:43" hidden="1" outlineLevel="1">
      <c r="B8" s="918" t="s">
        <v>1548</v>
      </c>
      <c r="C8" s="915" t="str">
        <f>IF(DateFrom="",CurrentMonth,DateFrom)</f>
        <v>2016-10</v>
      </c>
      <c r="E8" s="918" t="s">
        <v>1549</v>
      </c>
      <c r="G8" s="915" t="str">
        <f>IF(DateTo="",CurrentMonth,DateTo)</f>
        <v>2017-09</v>
      </c>
      <c r="I8" s="918" t="s">
        <v>1550</v>
      </c>
      <c r="J8" s="919" t="str">
        <f ca="1">TEXT(NOW() - 15,"yyyy-mm")</f>
        <v>2017-10</v>
      </c>
    </row>
    <row r="9" spans="1:43" ht="18" collapsed="1">
      <c r="B9" s="920" t="s">
        <v>1551</v>
      </c>
      <c r="G9" s="921" t="s">
        <v>1552</v>
      </c>
      <c r="P9" s="922"/>
      <c r="U9" s="917"/>
    </row>
    <row r="10" spans="1:43" ht="14.25">
      <c r="B10" s="916" t="s">
        <v>1553</v>
      </c>
      <c r="G10" s="923"/>
      <c r="P10" s="922"/>
      <c r="U10" s="917"/>
    </row>
    <row r="11" spans="1:43">
      <c r="G11" s="924" t="s">
        <v>1554</v>
      </c>
      <c r="H11" s="925"/>
      <c r="I11" s="926"/>
      <c r="L11" s="925" t="s">
        <v>1555</v>
      </c>
      <c r="M11" s="925"/>
      <c r="N11" s="925"/>
      <c r="O11" s="925"/>
      <c r="P11" s="925"/>
      <c r="U11" s="916"/>
    </row>
    <row r="12" spans="1:43" s="917" customFormat="1">
      <c r="H12" s="927" t="s">
        <v>1556</v>
      </c>
      <c r="I12" s="928" t="s">
        <v>1557</v>
      </c>
      <c r="K12" s="929"/>
      <c r="L12" s="917" t="s">
        <v>1558</v>
      </c>
      <c r="M12" s="928" t="s">
        <v>214</v>
      </c>
      <c r="O12" s="927" t="s">
        <v>1559</v>
      </c>
      <c r="P12" s="930"/>
      <c r="Z12" s="915"/>
      <c r="AA12" s="915"/>
      <c r="AB12" s="915"/>
      <c r="AH12" s="915"/>
      <c r="AI12" s="915"/>
      <c r="AJ12" s="915"/>
      <c r="AK12" s="915"/>
      <c r="AL12" s="915"/>
    </row>
    <row r="13" spans="1:43" s="917" customFormat="1">
      <c r="H13" s="927" t="s">
        <v>1560</v>
      </c>
      <c r="I13" s="928" t="s">
        <v>219</v>
      </c>
      <c r="K13" s="929"/>
      <c r="L13" s="917" t="s">
        <v>1561</v>
      </c>
      <c r="M13" s="928" t="s">
        <v>2121</v>
      </c>
      <c r="N13" s="915"/>
      <c r="O13" s="927" t="s">
        <v>1563</v>
      </c>
      <c r="P13" s="931"/>
      <c r="Q13" s="932"/>
      <c r="Z13" s="915"/>
      <c r="AA13" s="915"/>
      <c r="AB13" s="915"/>
      <c r="AH13" s="915"/>
      <c r="AI13" s="915"/>
      <c r="AJ13" s="915"/>
      <c r="AK13" s="915"/>
      <c r="AL13" s="915"/>
    </row>
    <row r="14" spans="1:43">
      <c r="L14" s="917" t="s">
        <v>218</v>
      </c>
      <c r="M14" s="928" t="s">
        <v>217</v>
      </c>
      <c r="O14" s="927" t="s">
        <v>1564</v>
      </c>
      <c r="P14" s="931"/>
      <c r="Q14" s="932"/>
    </row>
    <row r="15" spans="1:43">
      <c r="L15" s="917" t="s">
        <v>1088</v>
      </c>
      <c r="M15" s="928" t="s">
        <v>217</v>
      </c>
      <c r="O15" s="927" t="s">
        <v>1565</v>
      </c>
      <c r="P15" s="933" t="s">
        <v>1566</v>
      </c>
    </row>
    <row r="16" spans="1:43">
      <c r="B16" s="934" t="s">
        <v>1567</v>
      </c>
      <c r="C16" s="935"/>
      <c r="D16" s="936">
        <f>SUM(D19:D95)</f>
        <v>35380.110000000008</v>
      </c>
      <c r="E16" s="936">
        <f>SUM(E19:E95)</f>
        <v>0</v>
      </c>
      <c r="F16" s="915" t="s">
        <v>1568</v>
      </c>
      <c r="N16" s="937"/>
      <c r="O16" s="937"/>
      <c r="P16" s="937"/>
      <c r="Q16" s="937"/>
    </row>
    <row r="17" spans="2:45">
      <c r="B17" s="934" t="s">
        <v>1569</v>
      </c>
      <c r="C17" s="935"/>
      <c r="D17" s="938">
        <f>COUNT(D20:D96)</f>
        <v>74</v>
      </c>
      <c r="E17" s="938">
        <f>COUNT(E20:E96)</f>
        <v>74</v>
      </c>
      <c r="F17" s="916" t="s">
        <v>1570</v>
      </c>
      <c r="G17" s="939" t="str">
        <f>""&amp;EntrieShownLimit</f>
        <v>10000</v>
      </c>
    </row>
    <row r="18" spans="2:45">
      <c r="O18" s="940"/>
      <c r="R18" s="941" t="s">
        <v>1571</v>
      </c>
      <c r="S18" s="942"/>
      <c r="T18" s="942"/>
      <c r="U18" s="942"/>
      <c r="V18" s="942"/>
      <c r="W18" s="942"/>
      <c r="X18" s="942"/>
      <c r="Y18" s="942"/>
      <c r="Z18" s="943"/>
      <c r="AA18" s="943"/>
      <c r="AB18" s="943"/>
      <c r="AC18" s="943"/>
      <c r="AD18" s="943"/>
      <c r="AE18" s="943"/>
      <c r="AF18" s="943"/>
      <c r="AG18" s="943"/>
      <c r="AH18" s="943"/>
      <c r="AI18" s="943"/>
      <c r="AJ18" s="943"/>
      <c r="AK18" s="943"/>
      <c r="AL18" s="943"/>
      <c r="AM18" s="943"/>
      <c r="AN18" s="943"/>
      <c r="AO18" s="943"/>
      <c r="AP18" s="943"/>
      <c r="AQ18" s="943"/>
    </row>
    <row r="19" spans="2:45" s="951" customFormat="1" ht="29.25" customHeight="1" thickBot="1">
      <c r="B19" s="944" t="s">
        <v>1572</v>
      </c>
      <c r="C19" s="945" t="s">
        <v>1573</v>
      </c>
      <c r="D19" s="946" t="s">
        <v>1574</v>
      </c>
      <c r="E19" s="946" t="s">
        <v>1575</v>
      </c>
      <c r="F19" s="946" t="s">
        <v>1576</v>
      </c>
      <c r="G19" s="947" t="s">
        <v>1577</v>
      </c>
      <c r="H19" s="944" t="s">
        <v>1578</v>
      </c>
      <c r="I19" s="944" t="s">
        <v>1579</v>
      </c>
      <c r="J19" s="944" t="s">
        <v>1512</v>
      </c>
      <c r="K19" s="944" t="s">
        <v>1580</v>
      </c>
      <c r="L19" s="944" t="s">
        <v>1581</v>
      </c>
      <c r="M19" s="944" t="s">
        <v>1582</v>
      </c>
      <c r="N19" s="944" t="s">
        <v>1583</v>
      </c>
      <c r="O19" s="948" t="s">
        <v>1584</v>
      </c>
      <c r="P19" s="944" t="s">
        <v>1585</v>
      </c>
      <c r="Q19" s="944" t="s">
        <v>1586</v>
      </c>
      <c r="R19" s="944" t="s">
        <v>1587</v>
      </c>
      <c r="S19" s="944" t="s">
        <v>1588</v>
      </c>
      <c r="T19" s="944" t="s">
        <v>1589</v>
      </c>
      <c r="U19" s="944" t="s">
        <v>1590</v>
      </c>
      <c r="V19" s="944" t="s">
        <v>1591</v>
      </c>
      <c r="W19" s="944" t="s">
        <v>1592</v>
      </c>
      <c r="X19" s="944" t="s">
        <v>1593</v>
      </c>
      <c r="Y19" s="944" t="s">
        <v>1594</v>
      </c>
      <c r="Z19" s="944" t="s">
        <v>1595</v>
      </c>
      <c r="AA19" s="944" t="s">
        <v>1596</v>
      </c>
      <c r="AB19" s="944" t="s">
        <v>1597</v>
      </c>
      <c r="AC19" s="949" t="s">
        <v>1598</v>
      </c>
      <c r="AD19" s="949" t="s">
        <v>1599</v>
      </c>
      <c r="AE19" s="949" t="s">
        <v>1600</v>
      </c>
      <c r="AF19" s="949" t="s">
        <v>1601</v>
      </c>
      <c r="AG19" s="949" t="s">
        <v>1602</v>
      </c>
      <c r="AH19" s="949" t="s">
        <v>1603</v>
      </c>
      <c r="AI19" s="945" t="s">
        <v>1604</v>
      </c>
      <c r="AJ19" s="945" t="s">
        <v>1605</v>
      </c>
      <c r="AK19" s="945" t="s">
        <v>1606</v>
      </c>
      <c r="AL19" s="945" t="s">
        <v>1607</v>
      </c>
      <c r="AM19" s="945" t="s">
        <v>1608</v>
      </c>
      <c r="AN19" s="945" t="s">
        <v>1542</v>
      </c>
      <c r="AO19" s="950" t="s">
        <v>1609</v>
      </c>
      <c r="AP19" s="950" t="s">
        <v>1610</v>
      </c>
      <c r="AQ19" s="950" t="s">
        <v>1611</v>
      </c>
    </row>
    <row r="20" spans="2:45">
      <c r="B20" s="915" t="s">
        <v>2122</v>
      </c>
      <c r="C20" s="952">
        <v>42649</v>
      </c>
      <c r="D20" s="953">
        <v>1947.22</v>
      </c>
      <c r="E20" s="953">
        <v>0</v>
      </c>
      <c r="F20" s="954" t="s">
        <v>1613</v>
      </c>
      <c r="G20" s="915" t="s">
        <v>2123</v>
      </c>
      <c r="H20" s="955" t="s">
        <v>1615</v>
      </c>
      <c r="I20" s="915" t="s">
        <v>1616</v>
      </c>
      <c r="J20" s="915" t="s">
        <v>1617</v>
      </c>
      <c r="K20" s="915" t="s">
        <v>1618</v>
      </c>
      <c r="L20" s="919" t="s">
        <v>2124</v>
      </c>
      <c r="M20" s="919"/>
      <c r="N20" s="919" t="s">
        <v>2125</v>
      </c>
      <c r="O20" s="940">
        <v>42644</v>
      </c>
      <c r="P20" s="919" t="s">
        <v>2126</v>
      </c>
      <c r="Q20" s="919">
        <v>13061</v>
      </c>
      <c r="R20" s="915" t="s">
        <v>2127</v>
      </c>
      <c r="U20" s="915" t="s">
        <v>2128</v>
      </c>
      <c r="V20" s="915" t="s">
        <v>2129</v>
      </c>
      <c r="W20" s="915">
        <v>2000</v>
      </c>
      <c r="X20" s="952">
        <v>42649</v>
      </c>
      <c r="Y20" s="952">
        <v>42649</v>
      </c>
      <c r="Z20" s="915">
        <v>8400</v>
      </c>
      <c r="AA20" s="952">
        <v>42709</v>
      </c>
      <c r="AB20" s="915" t="s">
        <v>1626</v>
      </c>
      <c r="AC20" s="915">
        <v>0</v>
      </c>
      <c r="AD20" s="915">
        <v>0</v>
      </c>
      <c r="AE20" s="915">
        <v>0</v>
      </c>
      <c r="AF20" s="915">
        <v>0</v>
      </c>
      <c r="AG20" s="915">
        <v>0</v>
      </c>
      <c r="AH20" s="915">
        <v>1</v>
      </c>
      <c r="AI20" s="915">
        <v>70195</v>
      </c>
      <c r="AJ20" s="915">
        <v>2010</v>
      </c>
      <c r="AK20" s="915">
        <v>0</v>
      </c>
      <c r="AL20" s="915">
        <v>0</v>
      </c>
      <c r="AO20" s="955"/>
      <c r="AP20" s="955"/>
      <c r="AQ20" s="915" t="str">
        <f>IF(LEFT(U20,2)="VO",U20,"")</f>
        <v>VO04072005</v>
      </c>
      <c r="AS20" s="915" t="str">
        <f>IF(RIGHT(K20,2)="IC",IF(OR(AB20="wci_canada",AB20="wci_can_corp"),"wci_can_Corp","wci_corp"),AB20)</f>
        <v>wci_corp</v>
      </c>
    </row>
    <row r="21" spans="2:45">
      <c r="B21" s="915" t="s">
        <v>2130</v>
      </c>
      <c r="C21" s="952">
        <v>42649</v>
      </c>
      <c r="D21" s="953">
        <v>5</v>
      </c>
      <c r="E21" s="953">
        <v>0</v>
      </c>
      <c r="F21" s="954" t="s">
        <v>1613</v>
      </c>
      <c r="G21" s="915" t="s">
        <v>2131</v>
      </c>
      <c r="H21" s="955" t="s">
        <v>1615</v>
      </c>
      <c r="I21" s="915" t="s">
        <v>1616</v>
      </c>
      <c r="J21" s="915" t="s">
        <v>1617</v>
      </c>
      <c r="K21" s="915" t="s">
        <v>1618</v>
      </c>
      <c r="L21" s="919" t="s">
        <v>2132</v>
      </c>
      <c r="M21" s="919"/>
      <c r="N21" s="919" t="s">
        <v>2133</v>
      </c>
      <c r="O21" s="940">
        <v>42643</v>
      </c>
      <c r="P21" s="919"/>
      <c r="Q21" s="919" t="s">
        <v>2134</v>
      </c>
      <c r="U21" s="915" t="s">
        <v>2135</v>
      </c>
      <c r="V21" s="915" t="s">
        <v>2136</v>
      </c>
      <c r="W21" s="915">
        <v>2010</v>
      </c>
      <c r="X21" s="952">
        <v>42649</v>
      </c>
      <c r="Y21" s="952">
        <v>42649</v>
      </c>
      <c r="Z21" s="915">
        <v>252.7</v>
      </c>
      <c r="AA21" s="952">
        <v>42644</v>
      </c>
      <c r="AB21" s="915" t="s">
        <v>1626</v>
      </c>
      <c r="AC21" s="915">
        <v>0</v>
      </c>
      <c r="AD21" s="915">
        <v>0</v>
      </c>
      <c r="AE21" s="915">
        <v>0</v>
      </c>
      <c r="AF21" s="915">
        <v>0</v>
      </c>
      <c r="AG21" s="915">
        <v>0</v>
      </c>
      <c r="AH21" s="915">
        <v>1</v>
      </c>
      <c r="AI21" s="915">
        <v>70195</v>
      </c>
      <c r="AJ21" s="915">
        <v>2010</v>
      </c>
      <c r="AK21" s="915">
        <v>100</v>
      </c>
      <c r="AL21" s="915">
        <v>0</v>
      </c>
      <c r="AO21" s="955"/>
      <c r="AP21" s="955"/>
      <c r="AQ21" s="915" t="str">
        <f t="shared" ref="AQ21:AQ84" si="0">IF(LEFT(U21,2)="VO",U21,"")</f>
        <v>VO04072144</v>
      </c>
      <c r="AS21" s="915" t="str">
        <f t="shared" ref="AS21:AS84" si="1">IF(RIGHT(K21,2)="IC",IF(OR(AB21="wci_canada",AB21="wci_can_corp"),"wci_can_Corp","wci_corp"),AB21)</f>
        <v>wci_corp</v>
      </c>
    </row>
    <row r="22" spans="2:45">
      <c r="B22" s="915" t="s">
        <v>2122</v>
      </c>
      <c r="C22" s="952">
        <v>42649</v>
      </c>
      <c r="D22" s="953">
        <v>103.5</v>
      </c>
      <c r="E22" s="953">
        <v>0</v>
      </c>
      <c r="F22" s="954" t="s">
        <v>1613</v>
      </c>
      <c r="G22" s="915" t="s">
        <v>2137</v>
      </c>
      <c r="H22" s="955" t="s">
        <v>1615</v>
      </c>
      <c r="I22" s="915" t="s">
        <v>1616</v>
      </c>
      <c r="J22" s="915" t="s">
        <v>1617</v>
      </c>
      <c r="K22" s="915" t="s">
        <v>1618</v>
      </c>
      <c r="L22" s="919" t="s">
        <v>1992</v>
      </c>
      <c r="M22" s="919"/>
      <c r="N22" s="919" t="s">
        <v>1993</v>
      </c>
      <c r="O22" s="940">
        <v>42644</v>
      </c>
      <c r="P22" s="919" t="s">
        <v>2138</v>
      </c>
      <c r="Q22" s="919" t="s">
        <v>2139</v>
      </c>
      <c r="R22" s="915" t="s">
        <v>2140</v>
      </c>
      <c r="U22" s="915" t="s">
        <v>2141</v>
      </c>
      <c r="V22" s="915" t="s">
        <v>2142</v>
      </c>
      <c r="W22" s="915">
        <v>2010</v>
      </c>
      <c r="X22" s="952">
        <v>42649</v>
      </c>
      <c r="Y22" s="952">
        <v>42649</v>
      </c>
      <c r="Z22" s="915">
        <v>103.5</v>
      </c>
      <c r="AA22" s="952">
        <v>42659</v>
      </c>
      <c r="AB22" s="915" t="s">
        <v>1626</v>
      </c>
      <c r="AC22" s="915">
        <v>0</v>
      </c>
      <c r="AD22" s="915">
        <v>0</v>
      </c>
      <c r="AE22" s="915">
        <v>0</v>
      </c>
      <c r="AF22" s="915">
        <v>0</v>
      </c>
      <c r="AG22" s="915">
        <v>0</v>
      </c>
      <c r="AH22" s="915">
        <v>1</v>
      </c>
      <c r="AI22" s="915">
        <v>70195</v>
      </c>
      <c r="AJ22" s="915">
        <v>2010</v>
      </c>
      <c r="AK22" s="915">
        <v>0</v>
      </c>
      <c r="AL22" s="915">
        <v>0</v>
      </c>
      <c r="AO22" s="955"/>
      <c r="AP22" s="955"/>
      <c r="AQ22" s="915" t="str">
        <f t="shared" si="0"/>
        <v>VO04073185</v>
      </c>
      <c r="AS22" s="915" t="str">
        <f t="shared" si="1"/>
        <v>wci_corp</v>
      </c>
    </row>
    <row r="23" spans="2:45">
      <c r="B23" s="915" t="s">
        <v>2122</v>
      </c>
      <c r="C23" s="952">
        <v>42664</v>
      </c>
      <c r="D23" s="953">
        <v>170</v>
      </c>
      <c r="E23" s="953">
        <v>0</v>
      </c>
      <c r="F23" s="954" t="s">
        <v>1613</v>
      </c>
      <c r="G23" s="915" t="s">
        <v>2143</v>
      </c>
      <c r="H23" s="955" t="s">
        <v>1615</v>
      </c>
      <c r="I23" s="915" t="s">
        <v>1616</v>
      </c>
      <c r="J23" s="915" t="s">
        <v>1617</v>
      </c>
      <c r="K23" s="915" t="s">
        <v>1618</v>
      </c>
      <c r="L23" s="919" t="s">
        <v>2144</v>
      </c>
      <c r="M23" s="919"/>
      <c r="N23" s="919" t="s">
        <v>2145</v>
      </c>
      <c r="O23" s="940">
        <v>42658</v>
      </c>
      <c r="P23" s="919" t="s">
        <v>2146</v>
      </c>
      <c r="Q23" s="919">
        <v>2368</v>
      </c>
      <c r="R23" s="915" t="s">
        <v>2147</v>
      </c>
      <c r="U23" s="915" t="s">
        <v>2148</v>
      </c>
      <c r="V23" s="915" t="s">
        <v>2149</v>
      </c>
      <c r="W23" s="915">
        <v>2010</v>
      </c>
      <c r="X23" s="952">
        <v>42664</v>
      </c>
      <c r="Y23" s="952">
        <v>42664</v>
      </c>
      <c r="Z23" s="915">
        <v>170</v>
      </c>
      <c r="AA23" s="952">
        <v>42668</v>
      </c>
      <c r="AB23" s="915" t="s">
        <v>1626</v>
      </c>
      <c r="AC23" s="915">
        <v>0</v>
      </c>
      <c r="AD23" s="915">
        <v>0</v>
      </c>
      <c r="AE23" s="915">
        <v>0</v>
      </c>
      <c r="AF23" s="915">
        <v>0</v>
      </c>
      <c r="AG23" s="915">
        <v>0</v>
      </c>
      <c r="AH23" s="915">
        <v>1</v>
      </c>
      <c r="AI23" s="915">
        <v>70195</v>
      </c>
      <c r="AJ23" s="915">
        <v>2010</v>
      </c>
      <c r="AK23" s="915">
        <v>0</v>
      </c>
      <c r="AL23" s="915">
        <v>0</v>
      </c>
      <c r="AO23" s="955"/>
      <c r="AP23" s="955"/>
      <c r="AQ23" s="915" t="str">
        <f t="shared" si="0"/>
        <v>VO04087272</v>
      </c>
      <c r="AS23" s="915" t="str">
        <f t="shared" si="1"/>
        <v>wci_corp</v>
      </c>
    </row>
    <row r="24" spans="2:45">
      <c r="B24" s="915" t="s">
        <v>2130</v>
      </c>
      <c r="C24" s="952">
        <v>42674</v>
      </c>
      <c r="D24" s="953">
        <v>-5</v>
      </c>
      <c r="E24" s="953">
        <v>0</v>
      </c>
      <c r="F24" s="954" t="s">
        <v>1613</v>
      </c>
      <c r="G24" s="915" t="s">
        <v>2150</v>
      </c>
      <c r="H24" s="955" t="s">
        <v>1615</v>
      </c>
      <c r="I24" s="915" t="s">
        <v>2151</v>
      </c>
      <c r="J24" s="915" t="s">
        <v>2000</v>
      </c>
      <c r="K24" s="915" t="s">
        <v>1618</v>
      </c>
      <c r="L24" s="919"/>
      <c r="M24" s="919"/>
      <c r="N24" s="919" t="s">
        <v>2152</v>
      </c>
      <c r="O24" s="940"/>
      <c r="P24" s="919"/>
      <c r="Q24" s="919"/>
      <c r="U24" s="915" t="s">
        <v>2153</v>
      </c>
      <c r="V24" s="915" t="s">
        <v>2154</v>
      </c>
      <c r="X24" s="952">
        <v>42649</v>
      </c>
      <c r="Y24" s="952">
        <v>42649</v>
      </c>
      <c r="AA24" s="952"/>
      <c r="AB24" s="915" t="s">
        <v>1626</v>
      </c>
      <c r="AC24" s="915">
        <v>0</v>
      </c>
      <c r="AD24" s="915">
        <v>0</v>
      </c>
      <c r="AE24" s="915">
        <v>0</v>
      </c>
      <c r="AF24" s="915">
        <v>0</v>
      </c>
      <c r="AG24" s="915">
        <v>5</v>
      </c>
      <c r="AH24" s="915">
        <v>1</v>
      </c>
      <c r="AI24" s="915">
        <v>70195</v>
      </c>
      <c r="AJ24" s="915">
        <v>2010</v>
      </c>
      <c r="AK24" s="915">
        <v>100</v>
      </c>
      <c r="AL24" s="915">
        <v>0</v>
      </c>
      <c r="AO24" s="955"/>
      <c r="AP24" s="955"/>
      <c r="AQ24" s="915" t="str">
        <f t="shared" si="0"/>
        <v/>
      </c>
      <c r="AS24" s="915" t="str">
        <f t="shared" si="1"/>
        <v>wci_corp</v>
      </c>
    </row>
    <row r="25" spans="2:45">
      <c r="B25" s="915" t="s">
        <v>2122</v>
      </c>
      <c r="C25" s="952">
        <v>42674</v>
      </c>
      <c r="D25" s="953">
        <v>-1916</v>
      </c>
      <c r="E25" s="953">
        <v>0</v>
      </c>
      <c r="F25" s="954" t="s">
        <v>1613</v>
      </c>
      <c r="G25" s="915" t="s">
        <v>1998</v>
      </c>
      <c r="H25" s="955" t="s">
        <v>1615</v>
      </c>
      <c r="I25" s="915" t="s">
        <v>1999</v>
      </c>
      <c r="J25" s="915" t="s">
        <v>2000</v>
      </c>
      <c r="K25" s="915" t="s">
        <v>1618</v>
      </c>
      <c r="L25" s="919"/>
      <c r="M25" s="919"/>
      <c r="N25" s="919" t="s">
        <v>2155</v>
      </c>
      <c r="O25" s="940"/>
      <c r="P25" s="919"/>
      <c r="Q25" s="919"/>
      <c r="U25" s="915" t="s">
        <v>2001</v>
      </c>
      <c r="V25" s="915" t="s">
        <v>2002</v>
      </c>
      <c r="X25" s="952">
        <v>42649</v>
      </c>
      <c r="Y25" s="952">
        <v>42649</v>
      </c>
      <c r="AA25" s="952"/>
      <c r="AB25" s="915" t="s">
        <v>1626</v>
      </c>
      <c r="AC25" s="915">
        <v>0</v>
      </c>
      <c r="AD25" s="915">
        <v>0</v>
      </c>
      <c r="AE25" s="915">
        <v>0</v>
      </c>
      <c r="AF25" s="915">
        <v>0</v>
      </c>
      <c r="AG25" s="915">
        <v>5</v>
      </c>
      <c r="AH25" s="915">
        <v>1</v>
      </c>
      <c r="AI25" s="915">
        <v>70195</v>
      </c>
      <c r="AJ25" s="915">
        <v>2010</v>
      </c>
      <c r="AK25" s="915">
        <v>0</v>
      </c>
      <c r="AL25" s="915">
        <v>0</v>
      </c>
      <c r="AO25" s="955"/>
      <c r="AP25" s="955"/>
      <c r="AQ25" s="915" t="str">
        <f t="shared" si="0"/>
        <v/>
      </c>
      <c r="AS25" s="915" t="str">
        <f t="shared" si="1"/>
        <v>wci_corp</v>
      </c>
    </row>
    <row r="26" spans="2:45">
      <c r="B26" s="915" t="s">
        <v>2122</v>
      </c>
      <c r="C26" s="952">
        <v>42674</v>
      </c>
      <c r="D26" s="953">
        <v>208.32</v>
      </c>
      <c r="E26" s="953">
        <v>0</v>
      </c>
      <c r="F26" s="954" t="s">
        <v>1613</v>
      </c>
      <c r="G26" s="915" t="s">
        <v>2156</v>
      </c>
      <c r="H26" s="955" t="s">
        <v>1615</v>
      </c>
      <c r="I26" s="915" t="s">
        <v>1671</v>
      </c>
      <c r="J26" s="915" t="s">
        <v>1629</v>
      </c>
      <c r="K26" s="915" t="s">
        <v>1630</v>
      </c>
      <c r="L26" s="919"/>
      <c r="M26" s="919"/>
      <c r="N26" s="919" t="s">
        <v>2157</v>
      </c>
      <c r="O26" s="940"/>
      <c r="P26" s="919"/>
      <c r="Q26" s="919"/>
      <c r="U26" s="915" t="s">
        <v>2156</v>
      </c>
      <c r="X26" s="952">
        <v>42681</v>
      </c>
      <c r="Y26" s="952">
        <v>42682</v>
      </c>
      <c r="AA26" s="952"/>
      <c r="AB26" s="915" t="s">
        <v>1626</v>
      </c>
      <c r="AC26" s="915">
        <v>0</v>
      </c>
      <c r="AD26" s="915">
        <v>0</v>
      </c>
      <c r="AE26" s="915">
        <v>0</v>
      </c>
      <c r="AF26" s="915">
        <v>0</v>
      </c>
      <c r="AG26" s="915">
        <v>0</v>
      </c>
      <c r="AH26" s="915">
        <v>1</v>
      </c>
      <c r="AI26" s="915">
        <v>70195</v>
      </c>
      <c r="AJ26" s="915">
        <v>2010</v>
      </c>
      <c r="AK26" s="915">
        <v>0</v>
      </c>
      <c r="AL26" s="915">
        <v>0</v>
      </c>
      <c r="AO26" s="955"/>
      <c r="AP26" s="955"/>
      <c r="AQ26" s="915" t="str">
        <f t="shared" si="0"/>
        <v/>
      </c>
      <c r="AS26" s="915" t="str">
        <f t="shared" si="1"/>
        <v>wci_wa</v>
      </c>
    </row>
    <row r="27" spans="2:45">
      <c r="B27" s="915" t="s">
        <v>2122</v>
      </c>
      <c r="C27" s="952">
        <v>42674</v>
      </c>
      <c r="D27" s="953">
        <v>1916</v>
      </c>
      <c r="E27" s="953">
        <v>0</v>
      </c>
      <c r="F27" s="954" t="s">
        <v>1613</v>
      </c>
      <c r="G27" s="915" t="s">
        <v>2158</v>
      </c>
      <c r="H27" s="955" t="s">
        <v>1615</v>
      </c>
      <c r="I27" s="915" t="s">
        <v>1999</v>
      </c>
      <c r="J27" s="915" t="s">
        <v>2018</v>
      </c>
      <c r="K27" s="915" t="s">
        <v>1618</v>
      </c>
      <c r="L27" s="919"/>
      <c r="M27" s="919"/>
      <c r="N27" s="919" t="s">
        <v>2155</v>
      </c>
      <c r="O27" s="940"/>
      <c r="P27" s="919"/>
      <c r="Q27" s="919"/>
      <c r="U27" s="915" t="s">
        <v>2159</v>
      </c>
      <c r="V27" s="915" t="s">
        <v>2159</v>
      </c>
      <c r="X27" s="952">
        <v>42681</v>
      </c>
      <c r="Y27" s="952">
        <v>42682</v>
      </c>
      <c r="AA27" s="952"/>
      <c r="AB27" s="915" t="s">
        <v>1626</v>
      </c>
      <c r="AC27" s="915">
        <v>0</v>
      </c>
      <c r="AD27" s="915">
        <v>0</v>
      </c>
      <c r="AE27" s="915">
        <v>0</v>
      </c>
      <c r="AF27" s="915">
        <v>0</v>
      </c>
      <c r="AG27" s="915">
        <v>0</v>
      </c>
      <c r="AH27" s="915">
        <v>1</v>
      </c>
      <c r="AI27" s="915">
        <v>70195</v>
      </c>
      <c r="AJ27" s="915">
        <v>2010</v>
      </c>
      <c r="AK27" s="915">
        <v>0</v>
      </c>
      <c r="AL27" s="915">
        <v>0</v>
      </c>
      <c r="AO27" s="955"/>
      <c r="AP27" s="955"/>
      <c r="AQ27" s="915" t="str">
        <f t="shared" si="0"/>
        <v/>
      </c>
      <c r="AS27" s="915" t="str">
        <f t="shared" si="1"/>
        <v>wci_corp</v>
      </c>
    </row>
    <row r="28" spans="2:45">
      <c r="B28" s="915" t="s">
        <v>2122</v>
      </c>
      <c r="C28" s="952">
        <v>42674</v>
      </c>
      <c r="D28" s="953">
        <v>395</v>
      </c>
      <c r="E28" s="953">
        <v>0</v>
      </c>
      <c r="F28" s="954" t="s">
        <v>1613</v>
      </c>
      <c r="G28" s="915" t="s">
        <v>2158</v>
      </c>
      <c r="H28" s="955" t="s">
        <v>1615</v>
      </c>
      <c r="I28" s="915" t="s">
        <v>1999</v>
      </c>
      <c r="J28" s="915" t="s">
        <v>2018</v>
      </c>
      <c r="K28" s="915" t="s">
        <v>1618</v>
      </c>
      <c r="L28" s="919"/>
      <c r="M28" s="919"/>
      <c r="N28" s="919" t="s">
        <v>2160</v>
      </c>
      <c r="O28" s="940"/>
      <c r="P28" s="919"/>
      <c r="Q28" s="919"/>
      <c r="U28" s="915" t="s">
        <v>2159</v>
      </c>
      <c r="V28" s="915" t="s">
        <v>2159</v>
      </c>
      <c r="X28" s="952">
        <v>42681</v>
      </c>
      <c r="Y28" s="952">
        <v>42682</v>
      </c>
      <c r="AA28" s="952"/>
      <c r="AB28" s="915" t="s">
        <v>1626</v>
      </c>
      <c r="AC28" s="915">
        <v>0</v>
      </c>
      <c r="AD28" s="915">
        <v>0</v>
      </c>
      <c r="AE28" s="915">
        <v>0</v>
      </c>
      <c r="AF28" s="915">
        <v>0</v>
      </c>
      <c r="AG28" s="915">
        <v>0</v>
      </c>
      <c r="AH28" s="915">
        <v>1</v>
      </c>
      <c r="AI28" s="915">
        <v>70195</v>
      </c>
      <c r="AJ28" s="915">
        <v>2010</v>
      </c>
      <c r="AK28" s="915">
        <v>0</v>
      </c>
      <c r="AL28" s="915">
        <v>0</v>
      </c>
      <c r="AO28" s="955"/>
      <c r="AP28" s="955"/>
      <c r="AQ28" s="915" t="str">
        <f t="shared" si="0"/>
        <v/>
      </c>
      <c r="AS28" s="915" t="str">
        <f t="shared" si="1"/>
        <v>wci_corp</v>
      </c>
    </row>
    <row r="29" spans="2:45">
      <c r="B29" s="915" t="s">
        <v>2122</v>
      </c>
      <c r="C29" s="952">
        <v>42674</v>
      </c>
      <c r="D29" s="953">
        <v>1000</v>
      </c>
      <c r="E29" s="953">
        <v>0</v>
      </c>
      <c r="F29" s="954" t="s">
        <v>1613</v>
      </c>
      <c r="G29" s="915" t="s">
        <v>2161</v>
      </c>
      <c r="H29" s="955" t="s">
        <v>1615</v>
      </c>
      <c r="I29" s="915" t="s">
        <v>2162</v>
      </c>
      <c r="J29" s="915" t="s">
        <v>1629</v>
      </c>
      <c r="K29" s="915" t="s">
        <v>1630</v>
      </c>
      <c r="L29" s="919"/>
      <c r="M29" s="919"/>
      <c r="N29" s="919" t="s">
        <v>2163</v>
      </c>
      <c r="O29" s="940"/>
      <c r="P29" s="919"/>
      <c r="Q29" s="919"/>
      <c r="U29" s="915" t="s">
        <v>2161</v>
      </c>
      <c r="X29" s="952">
        <v>42682</v>
      </c>
      <c r="Y29" s="952">
        <v>42682</v>
      </c>
      <c r="AA29" s="952"/>
      <c r="AB29" s="915" t="s">
        <v>1626</v>
      </c>
      <c r="AC29" s="915">
        <v>0</v>
      </c>
      <c r="AD29" s="915">
        <v>0</v>
      </c>
      <c r="AE29" s="915">
        <v>0</v>
      </c>
      <c r="AF29" s="915">
        <v>0</v>
      </c>
      <c r="AG29" s="915">
        <v>0</v>
      </c>
      <c r="AH29" s="915">
        <v>1</v>
      </c>
      <c r="AI29" s="915">
        <v>70195</v>
      </c>
      <c r="AJ29" s="915">
        <v>2010</v>
      </c>
      <c r="AK29" s="915">
        <v>0</v>
      </c>
      <c r="AL29" s="915">
        <v>0</v>
      </c>
      <c r="AO29" s="955"/>
      <c r="AP29" s="955"/>
      <c r="AQ29" s="915" t="str">
        <f t="shared" si="0"/>
        <v/>
      </c>
      <c r="AS29" s="915" t="str">
        <f t="shared" si="1"/>
        <v>wci_wa</v>
      </c>
    </row>
    <row r="30" spans="2:45">
      <c r="B30" s="915" t="s">
        <v>2122</v>
      </c>
      <c r="C30" s="952">
        <v>42684</v>
      </c>
      <c r="D30" s="953">
        <v>1947.22</v>
      </c>
      <c r="E30" s="953">
        <v>0</v>
      </c>
      <c r="F30" s="954" t="s">
        <v>1613</v>
      </c>
      <c r="G30" s="915" t="s">
        <v>2164</v>
      </c>
      <c r="H30" s="955" t="s">
        <v>1615</v>
      </c>
      <c r="I30" s="915" t="s">
        <v>1616</v>
      </c>
      <c r="J30" s="915" t="s">
        <v>1617</v>
      </c>
      <c r="K30" s="915" t="s">
        <v>1618</v>
      </c>
      <c r="L30" s="919" t="s">
        <v>2124</v>
      </c>
      <c r="M30" s="919"/>
      <c r="N30" s="919" t="s">
        <v>2125</v>
      </c>
      <c r="O30" s="940">
        <v>42675</v>
      </c>
      <c r="P30" s="919" t="s">
        <v>2126</v>
      </c>
      <c r="Q30" s="919">
        <v>12924</v>
      </c>
      <c r="R30" s="915" t="s">
        <v>2165</v>
      </c>
      <c r="U30" s="915" t="s">
        <v>2166</v>
      </c>
      <c r="V30" s="915" t="s">
        <v>2167</v>
      </c>
      <c r="W30" s="915">
        <v>2000</v>
      </c>
      <c r="X30" s="952">
        <v>42684</v>
      </c>
      <c r="Y30" s="952">
        <v>42684</v>
      </c>
      <c r="Z30" s="915">
        <v>8400</v>
      </c>
      <c r="AA30" s="952">
        <v>42740</v>
      </c>
      <c r="AB30" s="915" t="s">
        <v>1626</v>
      </c>
      <c r="AC30" s="915">
        <v>0</v>
      </c>
      <c r="AD30" s="915">
        <v>0</v>
      </c>
      <c r="AE30" s="915">
        <v>0</v>
      </c>
      <c r="AF30" s="915">
        <v>0</v>
      </c>
      <c r="AG30" s="915">
        <v>0</v>
      </c>
      <c r="AH30" s="915">
        <v>1</v>
      </c>
      <c r="AI30" s="915">
        <v>70195</v>
      </c>
      <c r="AJ30" s="915">
        <v>2010</v>
      </c>
      <c r="AK30" s="915">
        <v>0</v>
      </c>
      <c r="AL30" s="915">
        <v>0</v>
      </c>
      <c r="AO30" s="955"/>
      <c r="AP30" s="955"/>
      <c r="AQ30" s="915" t="str">
        <f t="shared" si="0"/>
        <v>VO04105459</v>
      </c>
      <c r="AS30" s="915" t="str">
        <f t="shared" si="1"/>
        <v>wci_corp</v>
      </c>
    </row>
    <row r="31" spans="2:45">
      <c r="B31" s="915" t="s">
        <v>2122</v>
      </c>
      <c r="C31" s="952">
        <v>42684</v>
      </c>
      <c r="D31" s="953">
        <v>600</v>
      </c>
      <c r="E31" s="953">
        <v>0</v>
      </c>
      <c r="F31" s="954" t="s">
        <v>1613</v>
      </c>
      <c r="G31" s="915" t="s">
        <v>2168</v>
      </c>
      <c r="H31" s="955" t="s">
        <v>1615</v>
      </c>
      <c r="I31" s="915" t="s">
        <v>1616</v>
      </c>
      <c r="J31" s="915" t="s">
        <v>1617</v>
      </c>
      <c r="K31" s="915" t="s">
        <v>1618</v>
      </c>
      <c r="L31" s="919" t="s">
        <v>2169</v>
      </c>
      <c r="M31" s="919"/>
      <c r="N31" s="919" t="s">
        <v>2170</v>
      </c>
      <c r="O31" s="940">
        <v>42644</v>
      </c>
      <c r="P31" s="919" t="s">
        <v>2171</v>
      </c>
      <c r="Q31" s="919" t="s">
        <v>2172</v>
      </c>
      <c r="R31" s="915" t="s">
        <v>2173</v>
      </c>
      <c r="U31" s="915" t="s">
        <v>2174</v>
      </c>
      <c r="V31" s="915" t="s">
        <v>2175</v>
      </c>
      <c r="W31" s="915">
        <v>2010</v>
      </c>
      <c r="X31" s="952">
        <v>42684</v>
      </c>
      <c r="Y31" s="952">
        <v>42684</v>
      </c>
      <c r="Z31" s="915">
        <v>600</v>
      </c>
      <c r="AA31" s="952">
        <v>42709</v>
      </c>
      <c r="AB31" s="915" t="s">
        <v>1626</v>
      </c>
      <c r="AC31" s="915">
        <v>0</v>
      </c>
      <c r="AD31" s="915">
        <v>0</v>
      </c>
      <c r="AE31" s="915">
        <v>0</v>
      </c>
      <c r="AF31" s="915">
        <v>0</v>
      </c>
      <c r="AG31" s="915">
        <v>0</v>
      </c>
      <c r="AH31" s="915">
        <v>1</v>
      </c>
      <c r="AI31" s="915">
        <v>70195</v>
      </c>
      <c r="AJ31" s="915">
        <v>2010</v>
      </c>
      <c r="AK31" s="915">
        <v>0</v>
      </c>
      <c r="AL31" s="915">
        <v>0</v>
      </c>
      <c r="AO31" s="955"/>
      <c r="AP31" s="955"/>
      <c r="AQ31" s="915" t="str">
        <f t="shared" si="0"/>
        <v>VO04105844</v>
      </c>
      <c r="AS31" s="915" t="str">
        <f t="shared" si="1"/>
        <v>wci_corp</v>
      </c>
    </row>
    <row r="32" spans="2:45">
      <c r="B32" s="915" t="s">
        <v>2122</v>
      </c>
      <c r="C32" s="952">
        <v>42704</v>
      </c>
      <c r="D32" s="953">
        <v>-1916</v>
      </c>
      <c r="E32" s="953">
        <v>0</v>
      </c>
      <c r="F32" s="954" t="s">
        <v>1613</v>
      </c>
      <c r="G32" s="915" t="s">
        <v>2176</v>
      </c>
      <c r="H32" s="955" t="s">
        <v>1615</v>
      </c>
      <c r="I32" s="915" t="s">
        <v>1999</v>
      </c>
      <c r="J32" s="915" t="s">
        <v>2000</v>
      </c>
      <c r="K32" s="915" t="s">
        <v>1618</v>
      </c>
      <c r="L32" s="919"/>
      <c r="M32" s="919"/>
      <c r="N32" s="919" t="s">
        <v>2155</v>
      </c>
      <c r="O32" s="940"/>
      <c r="P32" s="919"/>
      <c r="Q32" s="919"/>
      <c r="U32" s="915" t="s">
        <v>2159</v>
      </c>
      <c r="V32" s="915" t="s">
        <v>2177</v>
      </c>
      <c r="X32" s="952">
        <v>42682</v>
      </c>
      <c r="Y32" s="952">
        <v>42682</v>
      </c>
      <c r="AA32" s="952"/>
      <c r="AB32" s="915" t="s">
        <v>1626</v>
      </c>
      <c r="AC32" s="915">
        <v>0</v>
      </c>
      <c r="AD32" s="915">
        <v>0</v>
      </c>
      <c r="AE32" s="915">
        <v>0</v>
      </c>
      <c r="AF32" s="915">
        <v>0</v>
      </c>
      <c r="AG32" s="915">
        <v>5</v>
      </c>
      <c r="AH32" s="915">
        <v>1</v>
      </c>
      <c r="AI32" s="915">
        <v>70195</v>
      </c>
      <c r="AJ32" s="915">
        <v>2010</v>
      </c>
      <c r="AK32" s="915">
        <v>0</v>
      </c>
      <c r="AL32" s="915">
        <v>0</v>
      </c>
      <c r="AO32" s="955"/>
      <c r="AP32" s="955"/>
      <c r="AQ32" s="915" t="str">
        <f t="shared" si="0"/>
        <v/>
      </c>
      <c r="AS32" s="915" t="str">
        <f t="shared" si="1"/>
        <v>wci_corp</v>
      </c>
    </row>
    <row r="33" spans="2:45">
      <c r="B33" s="915" t="s">
        <v>2122</v>
      </c>
      <c r="C33" s="952">
        <v>42704</v>
      </c>
      <c r="D33" s="953">
        <v>-395</v>
      </c>
      <c r="E33" s="953">
        <v>0</v>
      </c>
      <c r="F33" s="954" t="s">
        <v>1613</v>
      </c>
      <c r="G33" s="915" t="s">
        <v>2176</v>
      </c>
      <c r="H33" s="955" t="s">
        <v>1615</v>
      </c>
      <c r="I33" s="915" t="s">
        <v>1999</v>
      </c>
      <c r="J33" s="915" t="s">
        <v>2000</v>
      </c>
      <c r="K33" s="915" t="s">
        <v>1618</v>
      </c>
      <c r="L33" s="919"/>
      <c r="M33" s="919"/>
      <c r="N33" s="919" t="s">
        <v>2160</v>
      </c>
      <c r="O33" s="940"/>
      <c r="P33" s="919"/>
      <c r="Q33" s="919"/>
      <c r="U33" s="915" t="s">
        <v>2159</v>
      </c>
      <c r="V33" s="915" t="s">
        <v>2177</v>
      </c>
      <c r="X33" s="952">
        <v>42682</v>
      </c>
      <c r="Y33" s="952">
        <v>42682</v>
      </c>
      <c r="AA33" s="952"/>
      <c r="AB33" s="915" t="s">
        <v>1626</v>
      </c>
      <c r="AC33" s="915">
        <v>0</v>
      </c>
      <c r="AD33" s="915">
        <v>0</v>
      </c>
      <c r="AE33" s="915">
        <v>0</v>
      </c>
      <c r="AF33" s="915">
        <v>0</v>
      </c>
      <c r="AG33" s="915">
        <v>5</v>
      </c>
      <c r="AH33" s="915">
        <v>1</v>
      </c>
      <c r="AI33" s="915">
        <v>70195</v>
      </c>
      <c r="AJ33" s="915">
        <v>2010</v>
      </c>
      <c r="AK33" s="915">
        <v>0</v>
      </c>
      <c r="AL33" s="915">
        <v>0</v>
      </c>
      <c r="AO33" s="955"/>
      <c r="AP33" s="955"/>
      <c r="AQ33" s="915" t="str">
        <f t="shared" si="0"/>
        <v/>
      </c>
      <c r="AS33" s="915" t="str">
        <f t="shared" si="1"/>
        <v>wci_corp</v>
      </c>
    </row>
    <row r="34" spans="2:45">
      <c r="B34" s="915" t="s">
        <v>2122</v>
      </c>
      <c r="C34" s="952">
        <v>42704</v>
      </c>
      <c r="D34" s="953">
        <v>1916</v>
      </c>
      <c r="E34" s="953">
        <v>0</v>
      </c>
      <c r="F34" s="954" t="s">
        <v>1613</v>
      </c>
      <c r="G34" s="915" t="s">
        <v>2178</v>
      </c>
      <c r="H34" s="955" t="s">
        <v>1615</v>
      </c>
      <c r="I34" s="915" t="s">
        <v>2179</v>
      </c>
      <c r="J34" s="915" t="s">
        <v>2000</v>
      </c>
      <c r="K34" s="915" t="s">
        <v>1618</v>
      </c>
      <c r="L34" s="919"/>
      <c r="M34" s="919"/>
      <c r="N34" s="919" t="s">
        <v>2180</v>
      </c>
      <c r="O34" s="940"/>
      <c r="P34" s="919"/>
      <c r="Q34" s="919"/>
      <c r="U34" s="915" t="s">
        <v>2181</v>
      </c>
      <c r="V34" s="915" t="s">
        <v>2181</v>
      </c>
      <c r="X34" s="952">
        <v>42706</v>
      </c>
      <c r="Y34" s="952">
        <v>42709</v>
      </c>
      <c r="AA34" s="952"/>
      <c r="AB34" s="915" t="s">
        <v>1626</v>
      </c>
      <c r="AC34" s="915">
        <v>0</v>
      </c>
      <c r="AD34" s="915">
        <v>0</v>
      </c>
      <c r="AE34" s="915">
        <v>0</v>
      </c>
      <c r="AF34" s="915">
        <v>0</v>
      </c>
      <c r="AG34" s="915">
        <v>0</v>
      </c>
      <c r="AH34" s="915">
        <v>1</v>
      </c>
      <c r="AI34" s="915">
        <v>70195</v>
      </c>
      <c r="AJ34" s="915">
        <v>2010</v>
      </c>
      <c r="AK34" s="915">
        <v>0</v>
      </c>
      <c r="AL34" s="915">
        <v>0</v>
      </c>
      <c r="AO34" s="955"/>
      <c r="AP34" s="955"/>
      <c r="AQ34" s="915" t="str">
        <f t="shared" si="0"/>
        <v/>
      </c>
      <c r="AS34" s="915" t="str">
        <f t="shared" si="1"/>
        <v>wci_corp</v>
      </c>
    </row>
    <row r="35" spans="2:45">
      <c r="B35" s="915" t="s">
        <v>2122</v>
      </c>
      <c r="C35" s="952">
        <v>42704</v>
      </c>
      <c r="D35" s="953">
        <v>395</v>
      </c>
      <c r="E35" s="953">
        <v>0</v>
      </c>
      <c r="F35" s="954" t="s">
        <v>1613</v>
      </c>
      <c r="G35" s="915" t="s">
        <v>2178</v>
      </c>
      <c r="H35" s="955" t="s">
        <v>1615</v>
      </c>
      <c r="I35" s="915" t="s">
        <v>2179</v>
      </c>
      <c r="J35" s="915" t="s">
        <v>2000</v>
      </c>
      <c r="K35" s="915" t="s">
        <v>1618</v>
      </c>
      <c r="L35" s="919"/>
      <c r="M35" s="919"/>
      <c r="N35" s="919" t="s">
        <v>2182</v>
      </c>
      <c r="O35" s="940"/>
      <c r="P35" s="919"/>
      <c r="Q35" s="919"/>
      <c r="U35" s="915" t="s">
        <v>2181</v>
      </c>
      <c r="V35" s="915" t="s">
        <v>2181</v>
      </c>
      <c r="X35" s="952">
        <v>42706</v>
      </c>
      <c r="Y35" s="952">
        <v>42709</v>
      </c>
      <c r="AA35" s="952"/>
      <c r="AB35" s="915" t="s">
        <v>1626</v>
      </c>
      <c r="AC35" s="915">
        <v>0</v>
      </c>
      <c r="AD35" s="915">
        <v>0</v>
      </c>
      <c r="AE35" s="915">
        <v>0</v>
      </c>
      <c r="AF35" s="915">
        <v>0</v>
      </c>
      <c r="AG35" s="915">
        <v>0</v>
      </c>
      <c r="AH35" s="915">
        <v>1</v>
      </c>
      <c r="AI35" s="915">
        <v>70195</v>
      </c>
      <c r="AJ35" s="915">
        <v>2010</v>
      </c>
      <c r="AK35" s="915">
        <v>0</v>
      </c>
      <c r="AL35" s="915">
        <v>0</v>
      </c>
      <c r="AO35" s="955"/>
      <c r="AP35" s="955"/>
      <c r="AQ35" s="915" t="str">
        <f t="shared" si="0"/>
        <v/>
      </c>
      <c r="AS35" s="915" t="str">
        <f t="shared" si="1"/>
        <v>wci_corp</v>
      </c>
    </row>
    <row r="36" spans="2:45">
      <c r="B36" s="915" t="s">
        <v>2122</v>
      </c>
      <c r="C36" s="952">
        <v>42704</v>
      </c>
      <c r="D36" s="953">
        <v>208.32</v>
      </c>
      <c r="E36" s="953">
        <v>0</v>
      </c>
      <c r="F36" s="954" t="s">
        <v>1613</v>
      </c>
      <c r="G36" s="915" t="s">
        <v>2183</v>
      </c>
      <c r="H36" s="955" t="s">
        <v>1615</v>
      </c>
      <c r="I36" s="915" t="s">
        <v>1671</v>
      </c>
      <c r="J36" s="915" t="s">
        <v>2000</v>
      </c>
      <c r="K36" s="915" t="s">
        <v>1618</v>
      </c>
      <c r="L36" s="919"/>
      <c r="M36" s="919"/>
      <c r="N36" s="919" t="s">
        <v>2157</v>
      </c>
      <c r="O36" s="940"/>
      <c r="P36" s="919"/>
      <c r="Q36" s="919"/>
      <c r="U36" s="915" t="s">
        <v>2184</v>
      </c>
      <c r="V36" s="915" t="s">
        <v>2184</v>
      </c>
      <c r="X36" s="952">
        <v>42711</v>
      </c>
      <c r="Y36" s="952">
        <v>42711</v>
      </c>
      <c r="AA36" s="952"/>
      <c r="AB36" s="915" t="s">
        <v>1626</v>
      </c>
      <c r="AC36" s="915">
        <v>0</v>
      </c>
      <c r="AD36" s="915">
        <v>0</v>
      </c>
      <c r="AE36" s="915">
        <v>0</v>
      </c>
      <c r="AF36" s="915">
        <v>0</v>
      </c>
      <c r="AG36" s="915">
        <v>0</v>
      </c>
      <c r="AH36" s="915">
        <v>1</v>
      </c>
      <c r="AI36" s="915">
        <v>70195</v>
      </c>
      <c r="AJ36" s="915">
        <v>2010</v>
      </c>
      <c r="AK36" s="915">
        <v>0</v>
      </c>
      <c r="AL36" s="915">
        <v>0</v>
      </c>
      <c r="AO36" s="955"/>
      <c r="AP36" s="955"/>
      <c r="AQ36" s="915" t="str">
        <f t="shared" si="0"/>
        <v/>
      </c>
      <c r="AS36" s="915" t="str">
        <f t="shared" si="1"/>
        <v>wci_corp</v>
      </c>
    </row>
    <row r="37" spans="2:45">
      <c r="B37" s="915" t="s">
        <v>2122</v>
      </c>
      <c r="C37" s="952">
        <v>42718</v>
      </c>
      <c r="D37" s="953">
        <v>1947.22</v>
      </c>
      <c r="E37" s="953">
        <v>0</v>
      </c>
      <c r="F37" s="954" t="s">
        <v>1613</v>
      </c>
      <c r="G37" s="915" t="s">
        <v>2185</v>
      </c>
      <c r="H37" s="955" t="s">
        <v>1615</v>
      </c>
      <c r="I37" s="915" t="s">
        <v>1616</v>
      </c>
      <c r="J37" s="915" t="s">
        <v>1712</v>
      </c>
      <c r="K37" s="915" t="s">
        <v>1618</v>
      </c>
      <c r="L37" s="919" t="s">
        <v>2124</v>
      </c>
      <c r="M37" s="919"/>
      <c r="N37" s="919" t="s">
        <v>2125</v>
      </c>
      <c r="O37" s="940">
        <v>42705</v>
      </c>
      <c r="P37" s="919" t="s">
        <v>2186</v>
      </c>
      <c r="Q37" s="919">
        <v>13134</v>
      </c>
      <c r="R37" s="915" t="s">
        <v>2187</v>
      </c>
      <c r="U37" s="915" t="s">
        <v>2188</v>
      </c>
      <c r="V37" s="915" t="s">
        <v>2189</v>
      </c>
      <c r="W37" s="915">
        <v>2000</v>
      </c>
      <c r="X37" s="952">
        <v>42718</v>
      </c>
      <c r="Y37" s="952">
        <v>42719</v>
      </c>
      <c r="Z37" s="915">
        <v>8400</v>
      </c>
      <c r="AA37" s="952">
        <v>42770</v>
      </c>
      <c r="AB37" s="915" t="s">
        <v>1626</v>
      </c>
      <c r="AC37" s="915">
        <v>0</v>
      </c>
      <c r="AD37" s="915">
        <v>0</v>
      </c>
      <c r="AE37" s="915">
        <v>0</v>
      </c>
      <c r="AF37" s="915">
        <v>0</v>
      </c>
      <c r="AG37" s="915">
        <v>0</v>
      </c>
      <c r="AH37" s="915">
        <v>1</v>
      </c>
      <c r="AI37" s="915">
        <v>70195</v>
      </c>
      <c r="AJ37" s="915">
        <v>2010</v>
      </c>
      <c r="AK37" s="915">
        <v>0</v>
      </c>
      <c r="AL37" s="915">
        <v>0</v>
      </c>
      <c r="AO37" s="955"/>
      <c r="AP37" s="955"/>
      <c r="AQ37" s="915" t="str">
        <f t="shared" si="0"/>
        <v>VO04136728</v>
      </c>
      <c r="AS37" s="915" t="str">
        <f t="shared" si="1"/>
        <v>wci_corp</v>
      </c>
    </row>
    <row r="38" spans="2:45">
      <c r="B38" s="915" t="s">
        <v>2122</v>
      </c>
      <c r="C38" s="952">
        <v>42727</v>
      </c>
      <c r="D38" s="953">
        <v>48.7</v>
      </c>
      <c r="E38" s="953">
        <v>0</v>
      </c>
      <c r="F38" s="954" t="s">
        <v>1613</v>
      </c>
      <c r="G38" s="915" t="s">
        <v>2190</v>
      </c>
      <c r="H38" s="955" t="s">
        <v>1615</v>
      </c>
      <c r="I38" s="915" t="s">
        <v>1616</v>
      </c>
      <c r="J38" s="915" t="s">
        <v>1617</v>
      </c>
      <c r="K38" s="915" t="s">
        <v>1618</v>
      </c>
      <c r="L38" s="919" t="s">
        <v>2191</v>
      </c>
      <c r="M38" s="919"/>
      <c r="N38" s="919" t="s">
        <v>2192</v>
      </c>
      <c r="O38" s="940">
        <v>42725</v>
      </c>
      <c r="P38" s="919" t="s">
        <v>2193</v>
      </c>
      <c r="Q38" s="919">
        <v>177019</v>
      </c>
      <c r="R38" s="915" t="s">
        <v>2194</v>
      </c>
      <c r="U38" s="915" t="s">
        <v>2195</v>
      </c>
      <c r="V38" s="915" t="s">
        <v>2196</v>
      </c>
      <c r="W38" s="915">
        <v>2000</v>
      </c>
      <c r="X38" s="952">
        <v>42727</v>
      </c>
      <c r="Y38" s="952">
        <v>42727</v>
      </c>
      <c r="Z38" s="915">
        <v>500</v>
      </c>
      <c r="AA38" s="952">
        <v>42735</v>
      </c>
      <c r="AB38" s="915" t="s">
        <v>1626</v>
      </c>
      <c r="AC38" s="915">
        <v>0</v>
      </c>
      <c r="AD38" s="915">
        <v>0</v>
      </c>
      <c r="AE38" s="915">
        <v>0</v>
      </c>
      <c r="AF38" s="915">
        <v>0</v>
      </c>
      <c r="AG38" s="915">
        <v>0</v>
      </c>
      <c r="AH38" s="915">
        <v>1</v>
      </c>
      <c r="AI38" s="915">
        <v>70195</v>
      </c>
      <c r="AJ38" s="915">
        <v>2010</v>
      </c>
      <c r="AK38" s="915">
        <v>0</v>
      </c>
      <c r="AL38" s="915">
        <v>0</v>
      </c>
      <c r="AO38" s="955"/>
      <c r="AP38" s="955"/>
      <c r="AQ38" s="915" t="str">
        <f t="shared" si="0"/>
        <v>VO04147787</v>
      </c>
      <c r="AS38" s="915" t="str">
        <f t="shared" si="1"/>
        <v>wci_corp</v>
      </c>
    </row>
    <row r="39" spans="2:45">
      <c r="B39" s="915" t="s">
        <v>2130</v>
      </c>
      <c r="C39" s="952">
        <v>42732</v>
      </c>
      <c r="D39" s="953">
        <v>175.74</v>
      </c>
      <c r="E39" s="953">
        <v>0</v>
      </c>
      <c r="F39" s="954" t="s">
        <v>1613</v>
      </c>
      <c r="G39" s="915" t="s">
        <v>2197</v>
      </c>
      <c r="H39" s="955" t="s">
        <v>1615</v>
      </c>
      <c r="I39" s="915" t="s">
        <v>1616</v>
      </c>
      <c r="J39" s="915" t="s">
        <v>1617</v>
      </c>
      <c r="K39" s="915" t="s">
        <v>1618</v>
      </c>
      <c r="L39" s="919" t="s">
        <v>2198</v>
      </c>
      <c r="M39" s="919"/>
      <c r="N39" s="919" t="s">
        <v>2199</v>
      </c>
      <c r="O39" s="940">
        <v>42704</v>
      </c>
      <c r="P39" s="919"/>
      <c r="Q39" s="919" t="s">
        <v>2200</v>
      </c>
      <c r="U39" s="915" t="s">
        <v>2201</v>
      </c>
      <c r="V39" s="915" t="s">
        <v>2202</v>
      </c>
      <c r="W39" s="915">
        <v>2010</v>
      </c>
      <c r="X39" s="952">
        <v>42732</v>
      </c>
      <c r="Y39" s="952">
        <v>42732</v>
      </c>
      <c r="Z39" s="915">
        <v>630.82000000000005</v>
      </c>
      <c r="AA39" s="952">
        <v>42705</v>
      </c>
      <c r="AB39" s="915" t="s">
        <v>1626</v>
      </c>
      <c r="AC39" s="915">
        <v>0</v>
      </c>
      <c r="AD39" s="915">
        <v>0</v>
      </c>
      <c r="AE39" s="915">
        <v>0</v>
      </c>
      <c r="AF39" s="915">
        <v>0</v>
      </c>
      <c r="AG39" s="915">
        <v>0</v>
      </c>
      <c r="AH39" s="915">
        <v>1</v>
      </c>
      <c r="AI39" s="915">
        <v>70195</v>
      </c>
      <c r="AJ39" s="915">
        <v>2010</v>
      </c>
      <c r="AK39" s="915">
        <v>100</v>
      </c>
      <c r="AL39" s="915">
        <v>0</v>
      </c>
      <c r="AO39" s="955"/>
      <c r="AP39" s="955"/>
      <c r="AQ39" s="915" t="str">
        <f t="shared" si="0"/>
        <v>VO04149320</v>
      </c>
      <c r="AS39" s="915" t="str">
        <f t="shared" si="1"/>
        <v>wci_corp</v>
      </c>
    </row>
    <row r="40" spans="2:45">
      <c r="B40" s="915" t="s">
        <v>2122</v>
      </c>
      <c r="C40" s="952">
        <v>42735</v>
      </c>
      <c r="D40" s="953">
        <v>208.4</v>
      </c>
      <c r="E40" s="953">
        <v>0</v>
      </c>
      <c r="F40" s="954" t="s">
        <v>1613</v>
      </c>
      <c r="G40" s="915" t="s">
        <v>2203</v>
      </c>
      <c r="H40" s="955" t="s">
        <v>1615</v>
      </c>
      <c r="I40" s="915" t="s">
        <v>1671</v>
      </c>
      <c r="J40" s="915" t="s">
        <v>1629</v>
      </c>
      <c r="K40" s="915" t="s">
        <v>1630</v>
      </c>
      <c r="L40" s="919"/>
      <c r="M40" s="919"/>
      <c r="N40" s="919" t="s">
        <v>2157</v>
      </c>
      <c r="O40" s="940"/>
      <c r="P40" s="919"/>
      <c r="Q40" s="919"/>
      <c r="U40" s="915" t="s">
        <v>2203</v>
      </c>
      <c r="X40" s="952">
        <v>42741</v>
      </c>
      <c r="Y40" s="952">
        <v>42741</v>
      </c>
      <c r="AA40" s="952"/>
      <c r="AB40" s="915" t="s">
        <v>1626</v>
      </c>
      <c r="AC40" s="915">
        <v>0</v>
      </c>
      <c r="AD40" s="915">
        <v>0</v>
      </c>
      <c r="AE40" s="915">
        <v>0</v>
      </c>
      <c r="AF40" s="915">
        <v>0</v>
      </c>
      <c r="AG40" s="915">
        <v>0</v>
      </c>
      <c r="AH40" s="915">
        <v>1</v>
      </c>
      <c r="AI40" s="915">
        <v>70195</v>
      </c>
      <c r="AJ40" s="915">
        <v>2010</v>
      </c>
      <c r="AK40" s="915">
        <v>0</v>
      </c>
      <c r="AL40" s="915">
        <v>0</v>
      </c>
      <c r="AO40" s="955"/>
      <c r="AP40" s="955"/>
      <c r="AQ40" s="915" t="str">
        <f t="shared" si="0"/>
        <v/>
      </c>
      <c r="AS40" s="915" t="str">
        <f t="shared" si="1"/>
        <v>wci_wa</v>
      </c>
    </row>
    <row r="41" spans="2:45">
      <c r="B41" s="915" t="s">
        <v>2122</v>
      </c>
      <c r="C41" s="952">
        <v>42744</v>
      </c>
      <c r="D41" s="953">
        <v>1947.22</v>
      </c>
      <c r="E41" s="953">
        <v>0</v>
      </c>
      <c r="F41" s="954" t="s">
        <v>1613</v>
      </c>
      <c r="G41" s="915" t="s">
        <v>2204</v>
      </c>
      <c r="H41" s="955" t="s">
        <v>1615</v>
      </c>
      <c r="I41" s="915" t="s">
        <v>1616</v>
      </c>
      <c r="J41" s="915" t="s">
        <v>1617</v>
      </c>
      <c r="K41" s="915" t="s">
        <v>1618</v>
      </c>
      <c r="L41" s="919" t="s">
        <v>2124</v>
      </c>
      <c r="M41" s="919"/>
      <c r="N41" s="919" t="s">
        <v>2125</v>
      </c>
      <c r="O41" s="940">
        <v>42736</v>
      </c>
      <c r="P41" s="919" t="s">
        <v>2205</v>
      </c>
      <c r="Q41" s="919">
        <v>13253</v>
      </c>
      <c r="R41" s="915" t="s">
        <v>2206</v>
      </c>
      <c r="U41" s="915" t="s">
        <v>2207</v>
      </c>
      <c r="V41" s="915" t="s">
        <v>2208</v>
      </c>
      <c r="W41" s="915">
        <v>2000</v>
      </c>
      <c r="X41" s="952">
        <v>42744</v>
      </c>
      <c r="Y41" s="952">
        <v>42744</v>
      </c>
      <c r="Z41" s="915">
        <v>8400</v>
      </c>
      <c r="AA41" s="952">
        <v>42801</v>
      </c>
      <c r="AB41" s="915" t="s">
        <v>1626</v>
      </c>
      <c r="AC41" s="915">
        <v>0</v>
      </c>
      <c r="AD41" s="915">
        <v>0</v>
      </c>
      <c r="AE41" s="915">
        <v>0</v>
      </c>
      <c r="AF41" s="915">
        <v>0</v>
      </c>
      <c r="AG41" s="915">
        <v>0</v>
      </c>
      <c r="AH41" s="915">
        <v>1</v>
      </c>
      <c r="AI41" s="915">
        <v>70195</v>
      </c>
      <c r="AJ41" s="915">
        <v>2010</v>
      </c>
      <c r="AK41" s="915">
        <v>0</v>
      </c>
      <c r="AL41" s="915">
        <v>0</v>
      </c>
      <c r="AO41" s="955"/>
      <c r="AP41" s="955"/>
      <c r="AQ41" s="915" t="str">
        <f t="shared" si="0"/>
        <v>VO04166261</v>
      </c>
      <c r="AS41" s="915" t="str">
        <f t="shared" si="1"/>
        <v>wci_corp</v>
      </c>
    </row>
    <row r="42" spans="2:45">
      <c r="B42" s="915" t="s">
        <v>2122</v>
      </c>
      <c r="C42" s="952">
        <v>42747</v>
      </c>
      <c r="D42" s="953">
        <v>103.5</v>
      </c>
      <c r="E42" s="953">
        <v>0</v>
      </c>
      <c r="F42" s="954" t="s">
        <v>1613</v>
      </c>
      <c r="G42" s="915" t="s">
        <v>2209</v>
      </c>
      <c r="H42" s="955" t="s">
        <v>1615</v>
      </c>
      <c r="I42" s="915" t="s">
        <v>1616</v>
      </c>
      <c r="J42" s="915" t="s">
        <v>1617</v>
      </c>
      <c r="K42" s="915" t="s">
        <v>1618</v>
      </c>
      <c r="L42" s="919" t="s">
        <v>2029</v>
      </c>
      <c r="M42" s="919"/>
      <c r="N42" s="919" t="s">
        <v>1993</v>
      </c>
      <c r="O42" s="940">
        <v>42738</v>
      </c>
      <c r="P42" s="919" t="s">
        <v>2210</v>
      </c>
      <c r="Q42" s="919" t="s">
        <v>2211</v>
      </c>
      <c r="R42" s="915" t="s">
        <v>2212</v>
      </c>
      <c r="U42" s="915" t="s">
        <v>2213</v>
      </c>
      <c r="V42" s="915" t="s">
        <v>2214</v>
      </c>
      <c r="W42" s="915">
        <v>2010</v>
      </c>
      <c r="X42" s="952">
        <v>42747</v>
      </c>
      <c r="Y42" s="952">
        <v>42748</v>
      </c>
      <c r="Z42" s="915">
        <v>103.5</v>
      </c>
      <c r="AA42" s="952">
        <v>42748</v>
      </c>
      <c r="AB42" s="915" t="s">
        <v>1626</v>
      </c>
      <c r="AC42" s="915">
        <v>0</v>
      </c>
      <c r="AD42" s="915">
        <v>0</v>
      </c>
      <c r="AE42" s="915">
        <v>0</v>
      </c>
      <c r="AF42" s="915">
        <v>0</v>
      </c>
      <c r="AG42" s="915">
        <v>0</v>
      </c>
      <c r="AH42" s="915">
        <v>1</v>
      </c>
      <c r="AI42" s="915">
        <v>70195</v>
      </c>
      <c r="AJ42" s="915">
        <v>2010</v>
      </c>
      <c r="AK42" s="915">
        <v>0</v>
      </c>
      <c r="AL42" s="915">
        <v>0</v>
      </c>
      <c r="AO42" s="955"/>
      <c r="AP42" s="955"/>
      <c r="AQ42" s="915" t="str">
        <f t="shared" si="0"/>
        <v>VO04170010</v>
      </c>
      <c r="AS42" s="915" t="str">
        <f t="shared" si="1"/>
        <v>wci_corp</v>
      </c>
    </row>
    <row r="43" spans="2:45">
      <c r="B43" s="915" t="s">
        <v>2122</v>
      </c>
      <c r="C43" s="952">
        <v>42753</v>
      </c>
      <c r="D43" s="953">
        <v>560</v>
      </c>
      <c r="E43" s="953">
        <v>0</v>
      </c>
      <c r="F43" s="954" t="s">
        <v>1613</v>
      </c>
      <c r="G43" s="915" t="s">
        <v>2215</v>
      </c>
      <c r="H43" s="955" t="s">
        <v>1615</v>
      </c>
      <c r="I43" s="915" t="s">
        <v>1616</v>
      </c>
      <c r="J43" s="915" t="s">
        <v>1617</v>
      </c>
      <c r="K43" s="915" t="s">
        <v>1618</v>
      </c>
      <c r="L43" s="919" t="s">
        <v>2216</v>
      </c>
      <c r="M43" s="919"/>
      <c r="N43" s="919" t="s">
        <v>2217</v>
      </c>
      <c r="O43" s="940">
        <v>42737</v>
      </c>
      <c r="P43" s="919" t="s">
        <v>2218</v>
      </c>
      <c r="Q43" s="919">
        <v>4561</v>
      </c>
      <c r="R43" s="915" t="s">
        <v>2219</v>
      </c>
      <c r="U43" s="915" t="s">
        <v>2220</v>
      </c>
      <c r="V43" s="915" t="s">
        <v>2221</v>
      </c>
      <c r="W43" s="915">
        <v>2010</v>
      </c>
      <c r="X43" s="952">
        <v>42753</v>
      </c>
      <c r="Y43" s="952">
        <v>42758</v>
      </c>
      <c r="Z43" s="915">
        <v>560</v>
      </c>
      <c r="AA43" s="952">
        <v>42747</v>
      </c>
      <c r="AB43" s="915" t="s">
        <v>1626</v>
      </c>
      <c r="AC43" s="915">
        <v>0</v>
      </c>
      <c r="AD43" s="915">
        <v>0</v>
      </c>
      <c r="AE43" s="915">
        <v>0</v>
      </c>
      <c r="AF43" s="915">
        <v>0</v>
      </c>
      <c r="AG43" s="915">
        <v>0</v>
      </c>
      <c r="AH43" s="915">
        <v>1</v>
      </c>
      <c r="AI43" s="915">
        <v>70195</v>
      </c>
      <c r="AJ43" s="915">
        <v>2010</v>
      </c>
      <c r="AK43" s="915">
        <v>0</v>
      </c>
      <c r="AL43" s="915">
        <v>0</v>
      </c>
      <c r="AO43" s="955"/>
      <c r="AP43" s="955"/>
      <c r="AQ43" s="915" t="str">
        <f t="shared" si="0"/>
        <v>VO04175206</v>
      </c>
      <c r="AS43" s="915" t="str">
        <f t="shared" si="1"/>
        <v>wci_corp</v>
      </c>
    </row>
    <row r="44" spans="2:45">
      <c r="B44" s="915" t="s">
        <v>2122</v>
      </c>
      <c r="C44" s="952">
        <v>42753</v>
      </c>
      <c r="D44" s="953">
        <v>600</v>
      </c>
      <c r="E44" s="953">
        <v>0</v>
      </c>
      <c r="F44" s="954" t="s">
        <v>1613</v>
      </c>
      <c r="G44" s="915" t="s">
        <v>2215</v>
      </c>
      <c r="H44" s="955" t="s">
        <v>1615</v>
      </c>
      <c r="I44" s="915" t="s">
        <v>1616</v>
      </c>
      <c r="J44" s="915" t="s">
        <v>1617</v>
      </c>
      <c r="K44" s="915" t="s">
        <v>1618</v>
      </c>
      <c r="L44" s="919" t="s">
        <v>2169</v>
      </c>
      <c r="M44" s="919"/>
      <c r="N44" s="919" t="s">
        <v>2170</v>
      </c>
      <c r="O44" s="940">
        <v>42736</v>
      </c>
      <c r="P44" s="919" t="s">
        <v>2222</v>
      </c>
      <c r="Q44" s="919" t="s">
        <v>2223</v>
      </c>
      <c r="R44" s="915" t="s">
        <v>2224</v>
      </c>
      <c r="U44" s="915" t="s">
        <v>2225</v>
      </c>
      <c r="V44" s="915" t="s">
        <v>2221</v>
      </c>
      <c r="W44" s="915">
        <v>2010</v>
      </c>
      <c r="X44" s="952">
        <v>42753</v>
      </c>
      <c r="Y44" s="952">
        <v>42758</v>
      </c>
      <c r="Z44" s="915">
        <v>600</v>
      </c>
      <c r="AA44" s="952">
        <v>42801</v>
      </c>
      <c r="AB44" s="915" t="s">
        <v>1626</v>
      </c>
      <c r="AC44" s="915">
        <v>0</v>
      </c>
      <c r="AD44" s="915">
        <v>0</v>
      </c>
      <c r="AE44" s="915">
        <v>0</v>
      </c>
      <c r="AF44" s="915">
        <v>0</v>
      </c>
      <c r="AG44" s="915">
        <v>0</v>
      </c>
      <c r="AH44" s="915">
        <v>1</v>
      </c>
      <c r="AI44" s="915">
        <v>70195</v>
      </c>
      <c r="AJ44" s="915">
        <v>2010</v>
      </c>
      <c r="AK44" s="915">
        <v>0</v>
      </c>
      <c r="AL44" s="915">
        <v>0</v>
      </c>
      <c r="AO44" s="955"/>
      <c r="AP44" s="955"/>
      <c r="AQ44" s="915" t="str">
        <f t="shared" si="0"/>
        <v>VO04175208</v>
      </c>
      <c r="AS44" s="915" t="str">
        <f t="shared" si="1"/>
        <v>wci_corp</v>
      </c>
    </row>
    <row r="45" spans="2:45">
      <c r="B45" s="915" t="s">
        <v>2122</v>
      </c>
      <c r="C45" s="952">
        <v>42753</v>
      </c>
      <c r="D45" s="953">
        <v>170</v>
      </c>
      <c r="E45" s="953">
        <v>0</v>
      </c>
      <c r="F45" s="954" t="s">
        <v>1613</v>
      </c>
      <c r="G45" s="915" t="s">
        <v>2226</v>
      </c>
      <c r="H45" s="955" t="s">
        <v>1615</v>
      </c>
      <c r="I45" s="915" t="s">
        <v>1616</v>
      </c>
      <c r="J45" s="915" t="s">
        <v>1617</v>
      </c>
      <c r="K45" s="915" t="s">
        <v>1618</v>
      </c>
      <c r="L45" s="919" t="s">
        <v>2227</v>
      </c>
      <c r="M45" s="919"/>
      <c r="N45" s="919" t="s">
        <v>2228</v>
      </c>
      <c r="O45" s="940">
        <v>42745</v>
      </c>
      <c r="P45" s="919" t="s">
        <v>2229</v>
      </c>
      <c r="Q45" s="919">
        <v>2409</v>
      </c>
      <c r="R45" s="915" t="s">
        <v>2230</v>
      </c>
      <c r="U45" s="915" t="s">
        <v>2231</v>
      </c>
      <c r="V45" s="915" t="s">
        <v>2232</v>
      </c>
      <c r="W45" s="915">
        <v>2010</v>
      </c>
      <c r="X45" s="952">
        <v>42753</v>
      </c>
      <c r="Y45" s="952">
        <v>42758</v>
      </c>
      <c r="Z45" s="915">
        <v>170</v>
      </c>
      <c r="AA45" s="952">
        <v>42755</v>
      </c>
      <c r="AB45" s="915" t="s">
        <v>1626</v>
      </c>
      <c r="AC45" s="915">
        <v>0</v>
      </c>
      <c r="AD45" s="915">
        <v>0</v>
      </c>
      <c r="AE45" s="915">
        <v>0</v>
      </c>
      <c r="AF45" s="915">
        <v>0</v>
      </c>
      <c r="AG45" s="915">
        <v>0</v>
      </c>
      <c r="AH45" s="915">
        <v>1</v>
      </c>
      <c r="AI45" s="915">
        <v>70195</v>
      </c>
      <c r="AJ45" s="915">
        <v>2010</v>
      </c>
      <c r="AK45" s="915">
        <v>0</v>
      </c>
      <c r="AL45" s="915">
        <v>0</v>
      </c>
      <c r="AO45" s="955"/>
      <c r="AP45" s="955"/>
      <c r="AQ45" s="915" t="str">
        <f t="shared" si="0"/>
        <v>VO04175544</v>
      </c>
      <c r="AS45" s="915" t="str">
        <f t="shared" si="1"/>
        <v>wci_corp</v>
      </c>
    </row>
    <row r="46" spans="2:45">
      <c r="B46" s="915" t="s">
        <v>2122</v>
      </c>
      <c r="C46" s="952">
        <v>42760</v>
      </c>
      <c r="D46" s="953">
        <v>250</v>
      </c>
      <c r="E46" s="953">
        <v>0</v>
      </c>
      <c r="F46" s="954" t="s">
        <v>1613</v>
      </c>
      <c r="G46" s="915" t="s">
        <v>2233</v>
      </c>
      <c r="H46" s="955" t="s">
        <v>1615</v>
      </c>
      <c r="I46" s="915" t="s">
        <v>1616</v>
      </c>
      <c r="J46" s="915" t="s">
        <v>1617</v>
      </c>
      <c r="K46" s="915" t="s">
        <v>1618</v>
      </c>
      <c r="L46" s="919" t="s">
        <v>2234</v>
      </c>
      <c r="M46" s="919"/>
      <c r="N46" s="919" t="s">
        <v>2235</v>
      </c>
      <c r="O46" s="940">
        <v>42706</v>
      </c>
      <c r="P46" s="919" t="s">
        <v>2236</v>
      </c>
      <c r="Q46" s="919">
        <v>47111</v>
      </c>
      <c r="R46" s="915" t="s">
        <v>2237</v>
      </c>
      <c r="U46" s="915" t="s">
        <v>2238</v>
      </c>
      <c r="V46" s="915" t="s">
        <v>2239</v>
      </c>
      <c r="W46" s="915">
        <v>2000</v>
      </c>
      <c r="X46" s="952">
        <v>42760</v>
      </c>
      <c r="Y46" s="952">
        <v>42762</v>
      </c>
      <c r="Z46" s="915">
        <v>1000</v>
      </c>
      <c r="AA46" s="952">
        <v>42716</v>
      </c>
      <c r="AB46" s="915" t="s">
        <v>1626</v>
      </c>
      <c r="AC46" s="915">
        <v>0</v>
      </c>
      <c r="AD46" s="915">
        <v>0</v>
      </c>
      <c r="AE46" s="915">
        <v>0</v>
      </c>
      <c r="AF46" s="915">
        <v>0</v>
      </c>
      <c r="AG46" s="915">
        <v>0</v>
      </c>
      <c r="AH46" s="915">
        <v>1</v>
      </c>
      <c r="AI46" s="915">
        <v>70195</v>
      </c>
      <c r="AJ46" s="915">
        <v>2010</v>
      </c>
      <c r="AK46" s="915">
        <v>0</v>
      </c>
      <c r="AL46" s="915">
        <v>0</v>
      </c>
      <c r="AO46" s="955"/>
      <c r="AP46" s="955"/>
      <c r="AQ46" s="915" t="str">
        <f t="shared" si="0"/>
        <v>VO04183768</v>
      </c>
      <c r="AS46" s="915" t="str">
        <f t="shared" si="1"/>
        <v>wci_corp</v>
      </c>
    </row>
    <row r="47" spans="2:45">
      <c r="B47" s="915" t="s">
        <v>2122</v>
      </c>
      <c r="C47" s="952">
        <v>42766</v>
      </c>
      <c r="D47" s="953">
        <v>605</v>
      </c>
      <c r="E47" s="953">
        <v>0</v>
      </c>
      <c r="F47" s="954" t="s">
        <v>1613</v>
      </c>
      <c r="G47" s="915" t="s">
        <v>2036</v>
      </c>
      <c r="H47" s="955" t="s">
        <v>1615</v>
      </c>
      <c r="I47" s="915" t="s">
        <v>2037</v>
      </c>
      <c r="J47" s="915" t="s">
        <v>2000</v>
      </c>
      <c r="K47" s="915" t="s">
        <v>1618</v>
      </c>
      <c r="L47" s="919"/>
      <c r="M47" s="919"/>
      <c r="N47" s="919" t="s">
        <v>2240</v>
      </c>
      <c r="O47" s="940"/>
      <c r="P47" s="919"/>
      <c r="Q47" s="919"/>
      <c r="U47" s="915" t="s">
        <v>2038</v>
      </c>
      <c r="V47" s="915" t="s">
        <v>2038</v>
      </c>
      <c r="X47" s="952">
        <v>42769</v>
      </c>
      <c r="Y47" s="952">
        <v>42769</v>
      </c>
      <c r="AA47" s="952"/>
      <c r="AB47" s="915" t="s">
        <v>1626</v>
      </c>
      <c r="AC47" s="915">
        <v>0</v>
      </c>
      <c r="AD47" s="915">
        <v>0</v>
      </c>
      <c r="AE47" s="915">
        <v>0</v>
      </c>
      <c r="AF47" s="915">
        <v>0</v>
      </c>
      <c r="AG47" s="915">
        <v>0</v>
      </c>
      <c r="AH47" s="915">
        <v>1</v>
      </c>
      <c r="AI47" s="915">
        <v>70195</v>
      </c>
      <c r="AJ47" s="915">
        <v>2010</v>
      </c>
      <c r="AK47" s="915">
        <v>0</v>
      </c>
      <c r="AL47" s="915">
        <v>0</v>
      </c>
      <c r="AO47" s="955"/>
      <c r="AP47" s="955"/>
      <c r="AQ47" s="915" t="str">
        <f t="shared" si="0"/>
        <v/>
      </c>
      <c r="AS47" s="915" t="str">
        <f t="shared" si="1"/>
        <v>wci_corp</v>
      </c>
    </row>
    <row r="48" spans="2:45">
      <c r="B48" s="915" t="s">
        <v>2122</v>
      </c>
      <c r="C48" s="952">
        <v>42766</v>
      </c>
      <c r="D48" s="953">
        <v>516</v>
      </c>
      <c r="E48" s="953">
        <v>0</v>
      </c>
      <c r="F48" s="954" t="s">
        <v>1613</v>
      </c>
      <c r="G48" s="915" t="s">
        <v>2036</v>
      </c>
      <c r="H48" s="955" t="s">
        <v>1615</v>
      </c>
      <c r="I48" s="915" t="s">
        <v>2037</v>
      </c>
      <c r="J48" s="915" t="s">
        <v>2000</v>
      </c>
      <c r="K48" s="915" t="s">
        <v>1618</v>
      </c>
      <c r="L48" s="919"/>
      <c r="M48" s="919"/>
      <c r="N48" s="919" t="s">
        <v>2241</v>
      </c>
      <c r="O48" s="940"/>
      <c r="P48" s="919"/>
      <c r="Q48" s="919"/>
      <c r="U48" s="915" t="s">
        <v>2038</v>
      </c>
      <c r="V48" s="915" t="s">
        <v>2038</v>
      </c>
      <c r="X48" s="952">
        <v>42769</v>
      </c>
      <c r="Y48" s="952">
        <v>42769</v>
      </c>
      <c r="AA48" s="952"/>
      <c r="AB48" s="915" t="s">
        <v>1626</v>
      </c>
      <c r="AC48" s="915">
        <v>0</v>
      </c>
      <c r="AD48" s="915">
        <v>0</v>
      </c>
      <c r="AE48" s="915">
        <v>0</v>
      </c>
      <c r="AF48" s="915">
        <v>0</v>
      </c>
      <c r="AG48" s="915">
        <v>0</v>
      </c>
      <c r="AH48" s="915">
        <v>1</v>
      </c>
      <c r="AI48" s="915">
        <v>70195</v>
      </c>
      <c r="AJ48" s="915">
        <v>2010</v>
      </c>
      <c r="AK48" s="915">
        <v>0</v>
      </c>
      <c r="AL48" s="915">
        <v>0</v>
      </c>
      <c r="AO48" s="955"/>
      <c r="AP48" s="955"/>
      <c r="AQ48" s="915" t="str">
        <f t="shared" si="0"/>
        <v/>
      </c>
      <c r="AS48" s="915" t="str">
        <f t="shared" si="1"/>
        <v>wci_corp</v>
      </c>
    </row>
    <row r="49" spans="2:45">
      <c r="B49" s="915" t="s">
        <v>2122</v>
      </c>
      <c r="C49" s="952">
        <v>42766</v>
      </c>
      <c r="D49" s="953">
        <v>279</v>
      </c>
      <c r="E49" s="953">
        <v>0</v>
      </c>
      <c r="F49" s="954" t="s">
        <v>1613</v>
      </c>
      <c r="G49" s="915" t="s">
        <v>2036</v>
      </c>
      <c r="H49" s="955" t="s">
        <v>1615</v>
      </c>
      <c r="I49" s="915" t="s">
        <v>2037</v>
      </c>
      <c r="J49" s="915" t="s">
        <v>2000</v>
      </c>
      <c r="K49" s="915" t="s">
        <v>1618</v>
      </c>
      <c r="L49" s="919"/>
      <c r="M49" s="919"/>
      <c r="N49" s="919" t="s">
        <v>2242</v>
      </c>
      <c r="O49" s="940"/>
      <c r="P49" s="919"/>
      <c r="Q49" s="919"/>
      <c r="U49" s="915" t="s">
        <v>2038</v>
      </c>
      <c r="V49" s="915" t="s">
        <v>2038</v>
      </c>
      <c r="X49" s="952">
        <v>42769</v>
      </c>
      <c r="Y49" s="952">
        <v>42769</v>
      </c>
      <c r="AA49" s="952"/>
      <c r="AB49" s="915" t="s">
        <v>1626</v>
      </c>
      <c r="AC49" s="915">
        <v>0</v>
      </c>
      <c r="AD49" s="915">
        <v>0</v>
      </c>
      <c r="AE49" s="915">
        <v>0</v>
      </c>
      <c r="AF49" s="915">
        <v>0</v>
      </c>
      <c r="AG49" s="915">
        <v>0</v>
      </c>
      <c r="AH49" s="915">
        <v>1</v>
      </c>
      <c r="AI49" s="915">
        <v>70195</v>
      </c>
      <c r="AJ49" s="915">
        <v>2010</v>
      </c>
      <c r="AK49" s="915">
        <v>0</v>
      </c>
      <c r="AL49" s="915">
        <v>0</v>
      </c>
      <c r="AO49" s="955"/>
      <c r="AP49" s="955"/>
      <c r="AQ49" s="915" t="str">
        <f t="shared" si="0"/>
        <v/>
      </c>
      <c r="AS49" s="915" t="str">
        <f t="shared" si="1"/>
        <v>wci_corp</v>
      </c>
    </row>
    <row r="50" spans="2:45">
      <c r="B50" s="915" t="s">
        <v>2122</v>
      </c>
      <c r="C50" s="952">
        <v>42766</v>
      </c>
      <c r="D50" s="953">
        <v>208.33</v>
      </c>
      <c r="E50" s="953">
        <v>0</v>
      </c>
      <c r="F50" s="954" t="s">
        <v>1613</v>
      </c>
      <c r="G50" s="915" t="s">
        <v>2243</v>
      </c>
      <c r="H50" s="955" t="s">
        <v>1615</v>
      </c>
      <c r="I50" s="915" t="s">
        <v>1671</v>
      </c>
      <c r="J50" s="915" t="s">
        <v>1629</v>
      </c>
      <c r="K50" s="915" t="s">
        <v>1630</v>
      </c>
      <c r="L50" s="919"/>
      <c r="M50" s="919"/>
      <c r="N50" s="919" t="s">
        <v>2157</v>
      </c>
      <c r="O50" s="940"/>
      <c r="P50" s="919"/>
      <c r="Q50" s="919"/>
      <c r="U50" s="915" t="s">
        <v>2243</v>
      </c>
      <c r="X50" s="952">
        <v>42772</v>
      </c>
      <c r="Y50" s="952">
        <v>42773</v>
      </c>
      <c r="AA50" s="952"/>
      <c r="AB50" s="915" t="s">
        <v>1626</v>
      </c>
      <c r="AC50" s="915">
        <v>0</v>
      </c>
      <c r="AD50" s="915">
        <v>0</v>
      </c>
      <c r="AE50" s="915">
        <v>0</v>
      </c>
      <c r="AF50" s="915">
        <v>0</v>
      </c>
      <c r="AG50" s="915">
        <v>0</v>
      </c>
      <c r="AH50" s="915">
        <v>1</v>
      </c>
      <c r="AI50" s="915">
        <v>70195</v>
      </c>
      <c r="AJ50" s="915">
        <v>2010</v>
      </c>
      <c r="AK50" s="915">
        <v>0</v>
      </c>
      <c r="AL50" s="915">
        <v>0</v>
      </c>
      <c r="AO50" s="955"/>
      <c r="AP50" s="955"/>
      <c r="AQ50" s="915" t="str">
        <f t="shared" si="0"/>
        <v/>
      </c>
      <c r="AS50" s="915" t="str">
        <f t="shared" si="1"/>
        <v>wci_wa</v>
      </c>
    </row>
    <row r="51" spans="2:45">
      <c r="B51" s="915" t="s">
        <v>2130</v>
      </c>
      <c r="C51" s="952">
        <v>42766</v>
      </c>
      <c r="D51" s="953">
        <v>5</v>
      </c>
      <c r="E51" s="953">
        <v>0</v>
      </c>
      <c r="F51" s="954" t="s">
        <v>1613</v>
      </c>
      <c r="G51" s="915" t="s">
        <v>2244</v>
      </c>
      <c r="H51" s="955" t="s">
        <v>1615</v>
      </c>
      <c r="I51" s="915" t="s">
        <v>2151</v>
      </c>
      <c r="J51" s="915" t="s">
        <v>2018</v>
      </c>
      <c r="K51" s="915" t="s">
        <v>1618</v>
      </c>
      <c r="L51" s="919"/>
      <c r="M51" s="919"/>
      <c r="N51" s="919" t="s">
        <v>2245</v>
      </c>
      <c r="O51" s="940"/>
      <c r="P51" s="919"/>
      <c r="Q51" s="919"/>
      <c r="U51" s="915" t="s">
        <v>2246</v>
      </c>
      <c r="V51" s="915" t="s">
        <v>2246</v>
      </c>
      <c r="X51" s="952">
        <v>42772</v>
      </c>
      <c r="Y51" s="952">
        <v>42773</v>
      </c>
      <c r="AA51" s="952"/>
      <c r="AB51" s="915" t="s">
        <v>1626</v>
      </c>
      <c r="AC51" s="915">
        <v>0</v>
      </c>
      <c r="AD51" s="915">
        <v>0</v>
      </c>
      <c r="AE51" s="915">
        <v>0</v>
      </c>
      <c r="AF51" s="915">
        <v>0</v>
      </c>
      <c r="AG51" s="915">
        <v>0</v>
      </c>
      <c r="AH51" s="915">
        <v>1</v>
      </c>
      <c r="AI51" s="915">
        <v>70195</v>
      </c>
      <c r="AJ51" s="915">
        <v>2010</v>
      </c>
      <c r="AK51" s="915">
        <v>100</v>
      </c>
      <c r="AL51" s="915">
        <v>0</v>
      </c>
      <c r="AO51" s="955"/>
      <c r="AP51" s="955"/>
      <c r="AQ51" s="915" t="str">
        <f t="shared" si="0"/>
        <v/>
      </c>
      <c r="AS51" s="915" t="str">
        <f t="shared" si="1"/>
        <v>wci_corp</v>
      </c>
    </row>
    <row r="52" spans="2:45">
      <c r="B52" s="915" t="s">
        <v>2122</v>
      </c>
      <c r="C52" s="952">
        <v>42769</v>
      </c>
      <c r="D52" s="953">
        <v>1951.09</v>
      </c>
      <c r="E52" s="953">
        <v>0</v>
      </c>
      <c r="F52" s="954" t="s">
        <v>1613</v>
      </c>
      <c r="G52" s="915" t="s">
        <v>2247</v>
      </c>
      <c r="H52" s="955" t="s">
        <v>1615</v>
      </c>
      <c r="I52" s="915" t="s">
        <v>1616</v>
      </c>
      <c r="J52" s="915" t="s">
        <v>1617</v>
      </c>
      <c r="K52" s="915" t="s">
        <v>1618</v>
      </c>
      <c r="L52" s="919" t="s">
        <v>2124</v>
      </c>
      <c r="M52" s="919"/>
      <c r="N52" s="919" t="s">
        <v>2125</v>
      </c>
      <c r="O52" s="940">
        <v>42767</v>
      </c>
      <c r="P52" s="919" t="s">
        <v>2248</v>
      </c>
      <c r="Q52" s="919">
        <v>13305</v>
      </c>
      <c r="R52" s="915" t="s">
        <v>2249</v>
      </c>
      <c r="U52" s="915" t="s">
        <v>2250</v>
      </c>
      <c r="V52" s="915" t="s">
        <v>2251</v>
      </c>
      <c r="W52" s="915">
        <v>2000</v>
      </c>
      <c r="X52" s="952">
        <v>42769</v>
      </c>
      <c r="Y52" s="952">
        <v>42769</v>
      </c>
      <c r="Z52" s="915">
        <v>8399.98</v>
      </c>
      <c r="AA52" s="952">
        <v>42832</v>
      </c>
      <c r="AB52" s="915" t="s">
        <v>1626</v>
      </c>
      <c r="AC52" s="915">
        <v>0</v>
      </c>
      <c r="AD52" s="915">
        <v>0</v>
      </c>
      <c r="AE52" s="915">
        <v>0</v>
      </c>
      <c r="AF52" s="915">
        <v>0</v>
      </c>
      <c r="AG52" s="915">
        <v>0</v>
      </c>
      <c r="AH52" s="915">
        <v>1</v>
      </c>
      <c r="AI52" s="915">
        <v>70195</v>
      </c>
      <c r="AJ52" s="915">
        <v>2010</v>
      </c>
      <c r="AK52" s="915">
        <v>0</v>
      </c>
      <c r="AL52" s="915">
        <v>0</v>
      </c>
      <c r="AO52" s="955"/>
      <c r="AP52" s="955"/>
      <c r="AQ52" s="915" t="str">
        <f t="shared" si="0"/>
        <v>VO04192647</v>
      </c>
      <c r="AS52" s="915" t="str">
        <f t="shared" si="1"/>
        <v>wci_corp</v>
      </c>
    </row>
    <row r="53" spans="2:45">
      <c r="B53" s="915" t="s">
        <v>2130</v>
      </c>
      <c r="C53" s="952">
        <v>42780</v>
      </c>
      <c r="D53" s="953">
        <v>5</v>
      </c>
      <c r="E53" s="953">
        <v>0</v>
      </c>
      <c r="F53" s="954" t="s">
        <v>1613</v>
      </c>
      <c r="G53" s="915" t="s">
        <v>2252</v>
      </c>
      <c r="H53" s="955" t="s">
        <v>1615</v>
      </c>
      <c r="I53" s="915" t="s">
        <v>1616</v>
      </c>
      <c r="J53" s="915" t="s">
        <v>1617</v>
      </c>
      <c r="K53" s="915" t="s">
        <v>1618</v>
      </c>
      <c r="L53" s="919" t="s">
        <v>2132</v>
      </c>
      <c r="M53" s="919"/>
      <c r="N53" s="919" t="s">
        <v>2133</v>
      </c>
      <c r="O53" s="940">
        <v>42766</v>
      </c>
      <c r="P53" s="919"/>
      <c r="Q53" s="919" t="s">
        <v>2253</v>
      </c>
      <c r="U53" s="915" t="s">
        <v>2254</v>
      </c>
      <c r="V53" s="915" t="s">
        <v>2255</v>
      </c>
      <c r="W53" s="915">
        <v>2010</v>
      </c>
      <c r="X53" s="952">
        <v>42780</v>
      </c>
      <c r="Y53" s="952">
        <v>42787</v>
      </c>
      <c r="Z53" s="915">
        <v>156.1</v>
      </c>
      <c r="AA53" s="952">
        <v>42767</v>
      </c>
      <c r="AB53" s="915" t="s">
        <v>1626</v>
      </c>
      <c r="AC53" s="915">
        <v>0</v>
      </c>
      <c r="AD53" s="915">
        <v>0</v>
      </c>
      <c r="AE53" s="915">
        <v>0</v>
      </c>
      <c r="AF53" s="915">
        <v>0</v>
      </c>
      <c r="AG53" s="915">
        <v>0</v>
      </c>
      <c r="AH53" s="915">
        <v>1</v>
      </c>
      <c r="AI53" s="915">
        <v>70195</v>
      </c>
      <c r="AJ53" s="915">
        <v>2010</v>
      </c>
      <c r="AK53" s="915">
        <v>100</v>
      </c>
      <c r="AL53" s="915">
        <v>0</v>
      </c>
      <c r="AO53" s="955"/>
      <c r="AP53" s="955"/>
      <c r="AQ53" s="915" t="str">
        <f t="shared" si="0"/>
        <v>VO04201373</v>
      </c>
      <c r="AS53" s="915" t="str">
        <f t="shared" si="1"/>
        <v>wci_corp</v>
      </c>
    </row>
    <row r="54" spans="2:45">
      <c r="B54" s="915" t="s">
        <v>2130</v>
      </c>
      <c r="C54" s="952">
        <v>42794</v>
      </c>
      <c r="D54" s="953">
        <v>-5</v>
      </c>
      <c r="E54" s="953">
        <v>0</v>
      </c>
      <c r="F54" s="954" t="s">
        <v>1613</v>
      </c>
      <c r="G54" s="915" t="s">
        <v>2256</v>
      </c>
      <c r="H54" s="955" t="s">
        <v>1615</v>
      </c>
      <c r="I54" s="915" t="s">
        <v>2151</v>
      </c>
      <c r="J54" s="915" t="s">
        <v>2018</v>
      </c>
      <c r="K54" s="915" t="s">
        <v>1618</v>
      </c>
      <c r="L54" s="919"/>
      <c r="M54" s="919"/>
      <c r="N54" s="919" t="s">
        <v>2245</v>
      </c>
      <c r="O54" s="940"/>
      <c r="P54" s="919"/>
      <c r="Q54" s="919"/>
      <c r="U54" s="915" t="s">
        <v>2246</v>
      </c>
      <c r="V54" s="915" t="s">
        <v>2257</v>
      </c>
      <c r="X54" s="952">
        <v>42773</v>
      </c>
      <c r="Y54" s="952">
        <v>42773</v>
      </c>
      <c r="AA54" s="952"/>
      <c r="AB54" s="915" t="s">
        <v>1626</v>
      </c>
      <c r="AC54" s="915">
        <v>0</v>
      </c>
      <c r="AD54" s="915">
        <v>0</v>
      </c>
      <c r="AE54" s="915">
        <v>0</v>
      </c>
      <c r="AF54" s="915">
        <v>0</v>
      </c>
      <c r="AG54" s="915">
        <v>5</v>
      </c>
      <c r="AH54" s="915">
        <v>1</v>
      </c>
      <c r="AI54" s="915">
        <v>70195</v>
      </c>
      <c r="AJ54" s="915">
        <v>2010</v>
      </c>
      <c r="AK54" s="915">
        <v>100</v>
      </c>
      <c r="AL54" s="915">
        <v>0</v>
      </c>
      <c r="AO54" s="955"/>
      <c r="AP54" s="955"/>
      <c r="AQ54" s="915" t="str">
        <f t="shared" si="0"/>
        <v/>
      </c>
      <c r="AS54" s="915" t="str">
        <f t="shared" si="1"/>
        <v>wci_corp</v>
      </c>
    </row>
    <row r="55" spans="2:45">
      <c r="B55" s="915" t="s">
        <v>2122</v>
      </c>
      <c r="C55" s="952">
        <v>42794</v>
      </c>
      <c r="D55" s="953">
        <v>208.33</v>
      </c>
      <c r="E55" s="953">
        <v>0</v>
      </c>
      <c r="F55" s="954" t="s">
        <v>1613</v>
      </c>
      <c r="G55" s="915" t="s">
        <v>1670</v>
      </c>
      <c r="H55" s="955" t="s">
        <v>1615</v>
      </c>
      <c r="I55" s="915" t="s">
        <v>1671</v>
      </c>
      <c r="J55" s="915" t="s">
        <v>1672</v>
      </c>
      <c r="K55" s="915" t="s">
        <v>1630</v>
      </c>
      <c r="L55" s="919"/>
      <c r="M55" s="919"/>
      <c r="N55" s="919" t="s">
        <v>2157</v>
      </c>
      <c r="O55" s="940"/>
      <c r="P55" s="919"/>
      <c r="Q55" s="919"/>
      <c r="U55" s="915" t="s">
        <v>1670</v>
      </c>
      <c r="X55" s="952">
        <v>42799</v>
      </c>
      <c r="Y55" s="952">
        <v>42800</v>
      </c>
      <c r="AA55" s="952"/>
      <c r="AB55" s="915" t="s">
        <v>1626</v>
      </c>
      <c r="AC55" s="915">
        <v>0</v>
      </c>
      <c r="AD55" s="915">
        <v>0</v>
      </c>
      <c r="AE55" s="915">
        <v>0</v>
      </c>
      <c r="AF55" s="915">
        <v>0</v>
      </c>
      <c r="AG55" s="915">
        <v>0</v>
      </c>
      <c r="AH55" s="915">
        <v>1</v>
      </c>
      <c r="AI55" s="915">
        <v>70195</v>
      </c>
      <c r="AJ55" s="915">
        <v>2010</v>
      </c>
      <c r="AK55" s="915">
        <v>0</v>
      </c>
      <c r="AL55" s="915">
        <v>0</v>
      </c>
      <c r="AO55" s="955"/>
      <c r="AP55" s="955"/>
      <c r="AQ55" s="915" t="str">
        <f t="shared" si="0"/>
        <v/>
      </c>
      <c r="AS55" s="915" t="str">
        <f t="shared" si="1"/>
        <v>wci_wa</v>
      </c>
    </row>
    <row r="56" spans="2:45">
      <c r="B56" s="915" t="s">
        <v>2122</v>
      </c>
      <c r="C56" s="952">
        <v>42797</v>
      </c>
      <c r="D56" s="953">
        <v>208</v>
      </c>
      <c r="E56" s="953">
        <v>0</v>
      </c>
      <c r="F56" s="954" t="s">
        <v>1613</v>
      </c>
      <c r="G56" s="915" t="s">
        <v>2258</v>
      </c>
      <c r="H56" s="955" t="s">
        <v>1615</v>
      </c>
      <c r="I56" s="915" t="s">
        <v>1616</v>
      </c>
      <c r="J56" s="915" t="s">
        <v>1617</v>
      </c>
      <c r="K56" s="915" t="s">
        <v>1618</v>
      </c>
      <c r="L56" s="919" t="s">
        <v>2191</v>
      </c>
      <c r="M56" s="919"/>
      <c r="N56" s="919" t="s">
        <v>2192</v>
      </c>
      <c r="O56" s="940">
        <v>42795</v>
      </c>
      <c r="P56" s="919" t="s">
        <v>2259</v>
      </c>
      <c r="Q56" s="919">
        <v>176910</v>
      </c>
      <c r="R56" s="915" t="s">
        <v>2260</v>
      </c>
      <c r="U56" s="915" t="s">
        <v>2261</v>
      </c>
      <c r="V56" s="915" t="s">
        <v>2262</v>
      </c>
      <c r="W56" s="915">
        <v>2000</v>
      </c>
      <c r="X56" s="952">
        <v>42797</v>
      </c>
      <c r="Y56" s="952">
        <v>42797</v>
      </c>
      <c r="Z56" s="915">
        <v>2600</v>
      </c>
      <c r="AA56" s="952">
        <v>42805</v>
      </c>
      <c r="AB56" s="915" t="s">
        <v>1626</v>
      </c>
      <c r="AC56" s="915">
        <v>0</v>
      </c>
      <c r="AD56" s="915">
        <v>0</v>
      </c>
      <c r="AE56" s="915">
        <v>0</v>
      </c>
      <c r="AF56" s="915">
        <v>0</v>
      </c>
      <c r="AG56" s="915">
        <v>0</v>
      </c>
      <c r="AH56" s="915">
        <v>1</v>
      </c>
      <c r="AI56" s="915">
        <v>70195</v>
      </c>
      <c r="AJ56" s="915">
        <v>2010</v>
      </c>
      <c r="AK56" s="915">
        <v>0</v>
      </c>
      <c r="AL56" s="915">
        <v>0</v>
      </c>
      <c r="AO56" s="955"/>
      <c r="AP56" s="955"/>
      <c r="AQ56" s="915" t="str">
        <f t="shared" si="0"/>
        <v>VO04220208</v>
      </c>
      <c r="AS56" s="915" t="str">
        <f t="shared" si="1"/>
        <v>wci_corp</v>
      </c>
    </row>
    <row r="57" spans="2:45">
      <c r="B57" s="915" t="s">
        <v>2130</v>
      </c>
      <c r="C57" s="952">
        <v>42801</v>
      </c>
      <c r="D57" s="953">
        <v>10</v>
      </c>
      <c r="E57" s="953">
        <v>0</v>
      </c>
      <c r="F57" s="954" t="s">
        <v>1613</v>
      </c>
      <c r="G57" s="915" t="s">
        <v>2263</v>
      </c>
      <c r="H57" s="955" t="s">
        <v>1615</v>
      </c>
      <c r="I57" s="915" t="s">
        <v>1616</v>
      </c>
      <c r="J57" s="915" t="s">
        <v>1617</v>
      </c>
      <c r="K57" s="915" t="s">
        <v>1618</v>
      </c>
      <c r="L57" s="919" t="s">
        <v>2132</v>
      </c>
      <c r="M57" s="919"/>
      <c r="N57" s="919" t="s">
        <v>2133</v>
      </c>
      <c r="O57" s="940">
        <v>42794</v>
      </c>
      <c r="P57" s="919"/>
      <c r="Q57" s="919" t="s">
        <v>2264</v>
      </c>
      <c r="U57" s="915" t="s">
        <v>2265</v>
      </c>
      <c r="V57" s="915" t="s">
        <v>2266</v>
      </c>
      <c r="W57" s="915">
        <v>2010</v>
      </c>
      <c r="X57" s="952">
        <v>42801</v>
      </c>
      <c r="Y57" s="952">
        <v>42801</v>
      </c>
      <c r="Z57" s="915">
        <v>118.58</v>
      </c>
      <c r="AA57" s="952">
        <v>42795</v>
      </c>
      <c r="AB57" s="915" t="s">
        <v>1626</v>
      </c>
      <c r="AC57" s="915">
        <v>0</v>
      </c>
      <c r="AD57" s="915">
        <v>0</v>
      </c>
      <c r="AE57" s="915">
        <v>0</v>
      </c>
      <c r="AF57" s="915">
        <v>0</v>
      </c>
      <c r="AG57" s="915">
        <v>0</v>
      </c>
      <c r="AH57" s="915">
        <v>1</v>
      </c>
      <c r="AI57" s="915">
        <v>70195</v>
      </c>
      <c r="AJ57" s="915">
        <v>2010</v>
      </c>
      <c r="AK57" s="915">
        <v>100</v>
      </c>
      <c r="AL57" s="915">
        <v>0</v>
      </c>
      <c r="AO57" s="955"/>
      <c r="AP57" s="955"/>
      <c r="AQ57" s="915" t="str">
        <f t="shared" si="0"/>
        <v>VO04221294</v>
      </c>
      <c r="AS57" s="915" t="str">
        <f t="shared" si="1"/>
        <v>wci_corp</v>
      </c>
    </row>
    <row r="58" spans="2:45">
      <c r="B58" s="915" t="s">
        <v>2122</v>
      </c>
      <c r="C58" s="952">
        <v>42803</v>
      </c>
      <c r="D58" s="953">
        <v>1947.22</v>
      </c>
      <c r="E58" s="953">
        <v>0</v>
      </c>
      <c r="F58" s="954" t="s">
        <v>1613</v>
      </c>
      <c r="G58" s="915" t="s">
        <v>2267</v>
      </c>
      <c r="H58" s="955" t="s">
        <v>1615</v>
      </c>
      <c r="I58" s="915" t="s">
        <v>1616</v>
      </c>
      <c r="J58" s="915" t="s">
        <v>1617</v>
      </c>
      <c r="K58" s="915" t="s">
        <v>1618</v>
      </c>
      <c r="L58" s="919" t="s">
        <v>2124</v>
      </c>
      <c r="M58" s="919"/>
      <c r="N58" s="919" t="s">
        <v>2125</v>
      </c>
      <c r="O58" s="940">
        <v>42795</v>
      </c>
      <c r="P58" s="919" t="s">
        <v>2268</v>
      </c>
      <c r="Q58" s="919">
        <v>13332</v>
      </c>
      <c r="R58" s="915" t="s">
        <v>2269</v>
      </c>
      <c r="U58" s="915" t="s">
        <v>2270</v>
      </c>
      <c r="V58" s="915" t="s">
        <v>2271</v>
      </c>
      <c r="W58" s="915">
        <v>2000</v>
      </c>
      <c r="X58" s="952">
        <v>42804</v>
      </c>
      <c r="Y58" s="952">
        <v>42808</v>
      </c>
      <c r="Z58" s="915">
        <v>8400</v>
      </c>
      <c r="AA58" s="952">
        <v>42860</v>
      </c>
      <c r="AB58" s="915" t="s">
        <v>1626</v>
      </c>
      <c r="AC58" s="915">
        <v>0</v>
      </c>
      <c r="AD58" s="915">
        <v>0</v>
      </c>
      <c r="AE58" s="915">
        <v>0</v>
      </c>
      <c r="AF58" s="915">
        <v>0</v>
      </c>
      <c r="AG58" s="915">
        <v>0</v>
      </c>
      <c r="AH58" s="915">
        <v>1</v>
      </c>
      <c r="AI58" s="915">
        <v>70195</v>
      </c>
      <c r="AJ58" s="915">
        <v>2010</v>
      </c>
      <c r="AK58" s="915">
        <v>0</v>
      </c>
      <c r="AL58" s="915">
        <v>0</v>
      </c>
      <c r="AO58" s="955"/>
      <c r="AP58" s="955"/>
      <c r="AQ58" s="915" t="str">
        <f t="shared" si="0"/>
        <v>VO04226137</v>
      </c>
      <c r="AS58" s="915" t="str">
        <f t="shared" si="1"/>
        <v>wci_corp</v>
      </c>
    </row>
    <row r="59" spans="2:45">
      <c r="B59" s="915" t="s">
        <v>2122</v>
      </c>
      <c r="C59" s="952">
        <v>42825</v>
      </c>
      <c r="D59" s="953">
        <v>208.32</v>
      </c>
      <c r="E59" s="953">
        <v>0</v>
      </c>
      <c r="F59" s="954" t="s">
        <v>1613</v>
      </c>
      <c r="G59" s="915" t="s">
        <v>1680</v>
      </c>
      <c r="H59" s="955" t="s">
        <v>1615</v>
      </c>
      <c r="I59" s="915" t="s">
        <v>1671</v>
      </c>
      <c r="J59" s="915" t="s">
        <v>1672</v>
      </c>
      <c r="K59" s="915" t="s">
        <v>1630</v>
      </c>
      <c r="L59" s="919"/>
      <c r="M59" s="919"/>
      <c r="N59" s="919" t="s">
        <v>2157</v>
      </c>
      <c r="O59" s="940"/>
      <c r="P59" s="919"/>
      <c r="Q59" s="919"/>
      <c r="U59" s="915" t="s">
        <v>1680</v>
      </c>
      <c r="X59" s="952">
        <v>42831</v>
      </c>
      <c r="Y59" s="952">
        <v>42831</v>
      </c>
      <c r="AA59" s="952"/>
      <c r="AB59" s="915" t="s">
        <v>1626</v>
      </c>
      <c r="AC59" s="915">
        <v>0</v>
      </c>
      <c r="AD59" s="915">
        <v>0</v>
      </c>
      <c r="AE59" s="915">
        <v>0</v>
      </c>
      <c r="AF59" s="915">
        <v>0</v>
      </c>
      <c r="AG59" s="915">
        <v>0</v>
      </c>
      <c r="AH59" s="915">
        <v>1</v>
      </c>
      <c r="AI59" s="915">
        <v>70195</v>
      </c>
      <c r="AJ59" s="915">
        <v>2010</v>
      </c>
      <c r="AK59" s="915">
        <v>0</v>
      </c>
      <c r="AL59" s="915">
        <v>0</v>
      </c>
      <c r="AO59" s="955"/>
      <c r="AP59" s="955"/>
      <c r="AQ59" s="915" t="str">
        <f t="shared" si="0"/>
        <v/>
      </c>
      <c r="AS59" s="915" t="str">
        <f t="shared" si="1"/>
        <v>wci_wa</v>
      </c>
    </row>
    <row r="60" spans="2:45">
      <c r="B60" s="915" t="s">
        <v>2130</v>
      </c>
      <c r="C60" s="952">
        <v>42825</v>
      </c>
      <c r="D60" s="953">
        <v>10</v>
      </c>
      <c r="E60" s="953">
        <v>0</v>
      </c>
      <c r="F60" s="954" t="s">
        <v>1613</v>
      </c>
      <c r="G60" s="915" t="s">
        <v>2272</v>
      </c>
      <c r="H60" s="955" t="s">
        <v>1615</v>
      </c>
      <c r="I60" s="915" t="s">
        <v>2151</v>
      </c>
      <c r="J60" s="915" t="s">
        <v>2000</v>
      </c>
      <c r="K60" s="915" t="s">
        <v>1618</v>
      </c>
      <c r="L60" s="919"/>
      <c r="M60" s="919"/>
      <c r="N60" s="919" t="s">
        <v>305</v>
      </c>
      <c r="O60" s="940"/>
      <c r="P60" s="919"/>
      <c r="Q60" s="919"/>
      <c r="U60" s="915" t="s">
        <v>2273</v>
      </c>
      <c r="V60" s="915" t="s">
        <v>2273</v>
      </c>
      <c r="X60" s="952">
        <v>42831</v>
      </c>
      <c r="Y60" s="952">
        <v>42832</v>
      </c>
      <c r="AA60" s="952"/>
      <c r="AB60" s="915" t="s">
        <v>1626</v>
      </c>
      <c r="AC60" s="915">
        <v>0</v>
      </c>
      <c r="AD60" s="915">
        <v>0</v>
      </c>
      <c r="AE60" s="915">
        <v>0</v>
      </c>
      <c r="AF60" s="915">
        <v>0</v>
      </c>
      <c r="AG60" s="915">
        <v>0</v>
      </c>
      <c r="AH60" s="915">
        <v>1</v>
      </c>
      <c r="AI60" s="915">
        <v>70195</v>
      </c>
      <c r="AJ60" s="915">
        <v>2010</v>
      </c>
      <c r="AK60" s="915">
        <v>100</v>
      </c>
      <c r="AL60" s="915">
        <v>0</v>
      </c>
      <c r="AO60" s="955"/>
      <c r="AP60" s="955"/>
      <c r="AQ60" s="915" t="str">
        <f t="shared" si="0"/>
        <v/>
      </c>
      <c r="AS60" s="915" t="str">
        <f t="shared" si="1"/>
        <v>wci_corp</v>
      </c>
    </row>
    <row r="61" spans="2:45">
      <c r="B61" s="915" t="s">
        <v>2122</v>
      </c>
      <c r="C61" s="952">
        <v>42832</v>
      </c>
      <c r="D61" s="953">
        <v>103.5</v>
      </c>
      <c r="E61" s="953">
        <v>0</v>
      </c>
      <c r="F61" s="954" t="s">
        <v>1613</v>
      </c>
      <c r="G61" s="915" t="s">
        <v>2274</v>
      </c>
      <c r="H61" s="955" t="s">
        <v>1615</v>
      </c>
      <c r="I61" s="915" t="s">
        <v>1616</v>
      </c>
      <c r="J61" s="915" t="s">
        <v>1617</v>
      </c>
      <c r="K61" s="915" t="s">
        <v>1618</v>
      </c>
      <c r="L61" s="919" t="s">
        <v>2029</v>
      </c>
      <c r="M61" s="919"/>
      <c r="N61" s="919" t="s">
        <v>1993</v>
      </c>
      <c r="O61" s="940">
        <v>42826</v>
      </c>
      <c r="P61" s="919" t="s">
        <v>2275</v>
      </c>
      <c r="Q61" s="919" t="s">
        <v>2276</v>
      </c>
      <c r="R61" s="915" t="s">
        <v>2277</v>
      </c>
      <c r="U61" s="915" t="s">
        <v>2278</v>
      </c>
      <c r="V61" s="915" t="s">
        <v>2279</v>
      </c>
      <c r="W61" s="915">
        <v>2010</v>
      </c>
      <c r="X61" s="952">
        <v>42832</v>
      </c>
      <c r="Y61" s="952">
        <v>42832</v>
      </c>
      <c r="Z61" s="915">
        <v>103.5</v>
      </c>
      <c r="AA61" s="952">
        <v>42836</v>
      </c>
      <c r="AB61" s="915" t="s">
        <v>1626</v>
      </c>
      <c r="AC61" s="915">
        <v>0</v>
      </c>
      <c r="AD61" s="915">
        <v>0</v>
      </c>
      <c r="AE61" s="915">
        <v>0</v>
      </c>
      <c r="AF61" s="915">
        <v>0</v>
      </c>
      <c r="AG61" s="915">
        <v>0</v>
      </c>
      <c r="AH61" s="915">
        <v>1</v>
      </c>
      <c r="AI61" s="915">
        <v>70195</v>
      </c>
      <c r="AJ61" s="915">
        <v>2010</v>
      </c>
      <c r="AK61" s="915">
        <v>0</v>
      </c>
      <c r="AL61" s="915">
        <v>0</v>
      </c>
      <c r="AO61" s="955"/>
      <c r="AP61" s="955"/>
      <c r="AQ61" s="915" t="str">
        <f t="shared" si="0"/>
        <v>VO04252712</v>
      </c>
      <c r="AS61" s="915" t="str">
        <f t="shared" si="1"/>
        <v>wci_corp</v>
      </c>
    </row>
    <row r="62" spans="2:45">
      <c r="B62" s="915" t="s">
        <v>2122</v>
      </c>
      <c r="C62" s="952">
        <v>42837</v>
      </c>
      <c r="D62" s="953">
        <v>1951.11</v>
      </c>
      <c r="E62" s="953">
        <v>0</v>
      </c>
      <c r="F62" s="954" t="s">
        <v>1613</v>
      </c>
      <c r="G62" s="915" t="s">
        <v>2280</v>
      </c>
      <c r="H62" s="955" t="s">
        <v>1615</v>
      </c>
      <c r="I62" s="915" t="s">
        <v>1616</v>
      </c>
      <c r="J62" s="915" t="s">
        <v>1712</v>
      </c>
      <c r="K62" s="915" t="s">
        <v>1618</v>
      </c>
      <c r="L62" s="919" t="s">
        <v>2124</v>
      </c>
      <c r="M62" s="919"/>
      <c r="N62" s="919" t="s">
        <v>2125</v>
      </c>
      <c r="O62" s="940">
        <v>42826</v>
      </c>
      <c r="P62" s="919" t="s">
        <v>2281</v>
      </c>
      <c r="Q62" s="919">
        <v>13359</v>
      </c>
      <c r="R62" s="915" t="s">
        <v>2282</v>
      </c>
      <c r="U62" s="915" t="s">
        <v>2283</v>
      </c>
      <c r="V62" s="915" t="s">
        <v>2284</v>
      </c>
      <c r="W62" s="915">
        <v>2000</v>
      </c>
      <c r="X62" s="952">
        <v>42837</v>
      </c>
      <c r="Y62" s="952">
        <v>42843</v>
      </c>
      <c r="Z62" s="915">
        <v>8400</v>
      </c>
      <c r="AA62" s="952">
        <v>42891</v>
      </c>
      <c r="AB62" s="915" t="s">
        <v>1626</v>
      </c>
      <c r="AC62" s="915">
        <v>0</v>
      </c>
      <c r="AD62" s="915">
        <v>0</v>
      </c>
      <c r="AE62" s="915">
        <v>0</v>
      </c>
      <c r="AF62" s="915">
        <v>0</v>
      </c>
      <c r="AG62" s="915">
        <v>0</v>
      </c>
      <c r="AH62" s="915">
        <v>1</v>
      </c>
      <c r="AI62" s="915">
        <v>70195</v>
      </c>
      <c r="AJ62" s="915">
        <v>2010</v>
      </c>
      <c r="AK62" s="915">
        <v>0</v>
      </c>
      <c r="AL62" s="915">
        <v>0</v>
      </c>
      <c r="AO62" s="955"/>
      <c r="AP62" s="955"/>
      <c r="AQ62" s="915" t="str">
        <f t="shared" si="0"/>
        <v>VO04255529</v>
      </c>
      <c r="AS62" s="915" t="str">
        <f t="shared" si="1"/>
        <v>wci_corp</v>
      </c>
    </row>
    <row r="63" spans="2:45">
      <c r="B63" s="915" t="s">
        <v>2130</v>
      </c>
      <c r="C63" s="952">
        <v>42838</v>
      </c>
      <c r="D63" s="953">
        <v>10</v>
      </c>
      <c r="E63" s="953">
        <v>0</v>
      </c>
      <c r="F63" s="954" t="s">
        <v>1613</v>
      </c>
      <c r="G63" s="915" t="s">
        <v>2285</v>
      </c>
      <c r="H63" s="955" t="s">
        <v>1615</v>
      </c>
      <c r="I63" s="915" t="s">
        <v>1616</v>
      </c>
      <c r="J63" s="915" t="s">
        <v>1712</v>
      </c>
      <c r="K63" s="915" t="s">
        <v>1618</v>
      </c>
      <c r="L63" s="919" t="s">
        <v>2132</v>
      </c>
      <c r="M63" s="919"/>
      <c r="N63" s="919" t="s">
        <v>2133</v>
      </c>
      <c r="O63" s="940">
        <v>42825</v>
      </c>
      <c r="P63" s="919"/>
      <c r="Q63" s="919" t="s">
        <v>2286</v>
      </c>
      <c r="U63" s="915" t="s">
        <v>2287</v>
      </c>
      <c r="V63" s="915" t="s">
        <v>2288</v>
      </c>
      <c r="W63" s="915">
        <v>2010</v>
      </c>
      <c r="X63" s="952">
        <v>42838</v>
      </c>
      <c r="Y63" s="952">
        <v>42843</v>
      </c>
      <c r="Z63" s="915">
        <v>431.57</v>
      </c>
      <c r="AA63" s="952">
        <v>42826</v>
      </c>
      <c r="AB63" s="915" t="s">
        <v>1626</v>
      </c>
      <c r="AC63" s="915">
        <v>0</v>
      </c>
      <c r="AD63" s="915">
        <v>0</v>
      </c>
      <c r="AE63" s="915">
        <v>0</v>
      </c>
      <c r="AF63" s="915">
        <v>0</v>
      </c>
      <c r="AG63" s="915">
        <v>0</v>
      </c>
      <c r="AH63" s="915">
        <v>1</v>
      </c>
      <c r="AI63" s="915">
        <v>70195</v>
      </c>
      <c r="AJ63" s="915">
        <v>2010</v>
      </c>
      <c r="AK63" s="915">
        <v>100</v>
      </c>
      <c r="AL63" s="915">
        <v>0</v>
      </c>
      <c r="AO63" s="955"/>
      <c r="AP63" s="955"/>
      <c r="AQ63" s="915" t="str">
        <f t="shared" si="0"/>
        <v>VO04258000</v>
      </c>
      <c r="AS63" s="915" t="str">
        <f t="shared" si="1"/>
        <v>wci_corp</v>
      </c>
    </row>
    <row r="64" spans="2:45">
      <c r="B64" s="915" t="s">
        <v>2122</v>
      </c>
      <c r="C64" s="952">
        <v>42838</v>
      </c>
      <c r="D64" s="953">
        <v>170</v>
      </c>
      <c r="E64" s="953">
        <v>0</v>
      </c>
      <c r="F64" s="954" t="s">
        <v>1613</v>
      </c>
      <c r="G64" s="915" t="s">
        <v>2042</v>
      </c>
      <c r="H64" s="955" t="s">
        <v>1615</v>
      </c>
      <c r="I64" s="915" t="s">
        <v>1616</v>
      </c>
      <c r="J64" s="915" t="s">
        <v>1712</v>
      </c>
      <c r="K64" s="915" t="s">
        <v>1618</v>
      </c>
      <c r="L64" s="919" t="s">
        <v>2227</v>
      </c>
      <c r="M64" s="919"/>
      <c r="N64" s="919" t="s">
        <v>2228</v>
      </c>
      <c r="O64" s="940">
        <v>42835</v>
      </c>
      <c r="P64" s="919" t="s">
        <v>2289</v>
      </c>
      <c r="Q64" s="919">
        <v>2458</v>
      </c>
      <c r="R64" s="915" t="s">
        <v>2290</v>
      </c>
      <c r="U64" s="915" t="s">
        <v>2291</v>
      </c>
      <c r="V64" s="915" t="s">
        <v>2048</v>
      </c>
      <c r="W64" s="915">
        <v>2010</v>
      </c>
      <c r="X64" s="952">
        <v>42838</v>
      </c>
      <c r="Y64" s="952">
        <v>42843</v>
      </c>
      <c r="Z64" s="915">
        <v>170</v>
      </c>
      <c r="AA64" s="952">
        <v>42845</v>
      </c>
      <c r="AB64" s="915" t="s">
        <v>1626</v>
      </c>
      <c r="AC64" s="915">
        <v>0</v>
      </c>
      <c r="AD64" s="915">
        <v>0</v>
      </c>
      <c r="AE64" s="915">
        <v>0</v>
      </c>
      <c r="AF64" s="915">
        <v>0</v>
      </c>
      <c r="AG64" s="915">
        <v>0</v>
      </c>
      <c r="AH64" s="915">
        <v>1</v>
      </c>
      <c r="AI64" s="915">
        <v>70195</v>
      </c>
      <c r="AJ64" s="915">
        <v>2010</v>
      </c>
      <c r="AK64" s="915">
        <v>0</v>
      </c>
      <c r="AL64" s="915">
        <v>0</v>
      </c>
      <c r="AO64" s="955"/>
      <c r="AP64" s="955"/>
      <c r="AQ64" s="915" t="str">
        <f t="shared" si="0"/>
        <v>VO04258986</v>
      </c>
      <c r="AS64" s="915" t="str">
        <f t="shared" si="1"/>
        <v>wci_corp</v>
      </c>
    </row>
    <row r="65" spans="2:45">
      <c r="B65" s="915" t="s">
        <v>2130</v>
      </c>
      <c r="C65" s="952">
        <v>42855</v>
      </c>
      <c r="D65" s="953">
        <v>-10</v>
      </c>
      <c r="E65" s="953">
        <v>0</v>
      </c>
      <c r="F65" s="954" t="s">
        <v>1613</v>
      </c>
      <c r="G65" s="915" t="s">
        <v>2292</v>
      </c>
      <c r="H65" s="955" t="s">
        <v>1615</v>
      </c>
      <c r="I65" s="915" t="s">
        <v>2151</v>
      </c>
      <c r="J65" s="915" t="s">
        <v>2025</v>
      </c>
      <c r="K65" s="915" t="s">
        <v>1618</v>
      </c>
      <c r="L65" s="919"/>
      <c r="M65" s="919"/>
      <c r="N65" s="919" t="s">
        <v>305</v>
      </c>
      <c r="O65" s="940"/>
      <c r="P65" s="919"/>
      <c r="Q65" s="919"/>
      <c r="U65" s="915" t="s">
        <v>2273</v>
      </c>
      <c r="V65" s="915" t="s">
        <v>2293</v>
      </c>
      <c r="X65" s="952">
        <v>42832</v>
      </c>
      <c r="Y65" s="952">
        <v>42832</v>
      </c>
      <c r="AA65" s="952"/>
      <c r="AB65" s="915" t="s">
        <v>1626</v>
      </c>
      <c r="AC65" s="915">
        <v>0</v>
      </c>
      <c r="AD65" s="915">
        <v>0</v>
      </c>
      <c r="AE65" s="915">
        <v>0</v>
      </c>
      <c r="AF65" s="915">
        <v>0</v>
      </c>
      <c r="AG65" s="915">
        <v>5</v>
      </c>
      <c r="AH65" s="915">
        <v>1</v>
      </c>
      <c r="AI65" s="915">
        <v>70195</v>
      </c>
      <c r="AJ65" s="915">
        <v>2010</v>
      </c>
      <c r="AK65" s="915">
        <v>100</v>
      </c>
      <c r="AL65" s="915">
        <v>0</v>
      </c>
      <c r="AO65" s="955"/>
      <c r="AP65" s="955"/>
      <c r="AQ65" s="915" t="str">
        <f t="shared" si="0"/>
        <v/>
      </c>
      <c r="AS65" s="915" t="str">
        <f t="shared" si="1"/>
        <v>wci_corp</v>
      </c>
    </row>
    <row r="66" spans="2:45">
      <c r="B66" s="915" t="s">
        <v>2122</v>
      </c>
      <c r="C66" s="952">
        <v>42855</v>
      </c>
      <c r="D66" s="953">
        <v>208.32</v>
      </c>
      <c r="E66" s="953">
        <v>0</v>
      </c>
      <c r="F66" s="954" t="s">
        <v>1613</v>
      </c>
      <c r="G66" s="915" t="s">
        <v>1691</v>
      </c>
      <c r="H66" s="955" t="s">
        <v>1615</v>
      </c>
      <c r="I66" s="915" t="s">
        <v>1671</v>
      </c>
      <c r="J66" s="915" t="s">
        <v>1672</v>
      </c>
      <c r="K66" s="915" t="s">
        <v>1630</v>
      </c>
      <c r="L66" s="919"/>
      <c r="M66" s="919"/>
      <c r="N66" s="919" t="s">
        <v>2157</v>
      </c>
      <c r="O66" s="940"/>
      <c r="P66" s="919"/>
      <c r="Q66" s="919"/>
      <c r="U66" s="915" t="s">
        <v>1691</v>
      </c>
      <c r="X66" s="952">
        <v>42859</v>
      </c>
      <c r="Y66" s="952">
        <v>42859</v>
      </c>
      <c r="AA66" s="952"/>
      <c r="AB66" s="915" t="s">
        <v>1626</v>
      </c>
      <c r="AC66" s="915">
        <v>0</v>
      </c>
      <c r="AD66" s="915">
        <v>0</v>
      </c>
      <c r="AE66" s="915">
        <v>0</v>
      </c>
      <c r="AF66" s="915">
        <v>0</v>
      </c>
      <c r="AG66" s="915">
        <v>0</v>
      </c>
      <c r="AH66" s="915">
        <v>1</v>
      </c>
      <c r="AI66" s="915">
        <v>70195</v>
      </c>
      <c r="AJ66" s="915">
        <v>2010</v>
      </c>
      <c r="AK66" s="915">
        <v>0</v>
      </c>
      <c r="AL66" s="915">
        <v>0</v>
      </c>
      <c r="AO66" s="955"/>
      <c r="AP66" s="955"/>
      <c r="AQ66" s="915" t="str">
        <f t="shared" si="0"/>
        <v/>
      </c>
      <c r="AS66" s="915" t="str">
        <f t="shared" si="1"/>
        <v>wci_wa</v>
      </c>
    </row>
    <row r="67" spans="2:45">
      <c r="B67" s="915" t="s">
        <v>2130</v>
      </c>
      <c r="C67" s="952">
        <v>42866</v>
      </c>
      <c r="D67" s="953">
        <v>5</v>
      </c>
      <c r="E67" s="953">
        <v>0</v>
      </c>
      <c r="F67" s="954" t="s">
        <v>1613</v>
      </c>
      <c r="G67" s="915" t="s">
        <v>2294</v>
      </c>
      <c r="H67" s="955" t="s">
        <v>1615</v>
      </c>
      <c r="I67" s="915" t="s">
        <v>1616</v>
      </c>
      <c r="J67" s="915" t="s">
        <v>1617</v>
      </c>
      <c r="K67" s="915" t="s">
        <v>1618</v>
      </c>
      <c r="L67" s="919" t="s">
        <v>2132</v>
      </c>
      <c r="M67" s="919"/>
      <c r="N67" s="919" t="s">
        <v>2133</v>
      </c>
      <c r="O67" s="940">
        <v>42855</v>
      </c>
      <c r="P67" s="919"/>
      <c r="Q67" s="919" t="s">
        <v>2295</v>
      </c>
      <c r="U67" s="915" t="s">
        <v>2296</v>
      </c>
      <c r="V67" s="915" t="s">
        <v>2297</v>
      </c>
      <c r="W67" s="915">
        <v>2010</v>
      </c>
      <c r="X67" s="952">
        <v>42866</v>
      </c>
      <c r="Y67" s="952">
        <v>42870</v>
      </c>
      <c r="Z67" s="915">
        <v>252.76</v>
      </c>
      <c r="AA67" s="952">
        <v>42856</v>
      </c>
      <c r="AB67" s="915" t="s">
        <v>1626</v>
      </c>
      <c r="AC67" s="915">
        <v>0</v>
      </c>
      <c r="AD67" s="915">
        <v>0</v>
      </c>
      <c r="AE67" s="915">
        <v>0</v>
      </c>
      <c r="AF67" s="915">
        <v>0</v>
      </c>
      <c r="AG67" s="915">
        <v>0</v>
      </c>
      <c r="AH67" s="915">
        <v>1</v>
      </c>
      <c r="AI67" s="915">
        <v>70195</v>
      </c>
      <c r="AJ67" s="915">
        <v>2010</v>
      </c>
      <c r="AK67" s="915">
        <v>100</v>
      </c>
      <c r="AL67" s="915">
        <v>0</v>
      </c>
      <c r="AO67" s="955"/>
      <c r="AP67" s="955"/>
      <c r="AQ67" s="915" t="str">
        <f t="shared" si="0"/>
        <v>VO04287566</v>
      </c>
      <c r="AS67" s="915" t="str">
        <f t="shared" si="1"/>
        <v>wci_corp</v>
      </c>
    </row>
    <row r="68" spans="2:45">
      <c r="B68" s="915" t="s">
        <v>2122</v>
      </c>
      <c r="C68" s="952">
        <v>42872</v>
      </c>
      <c r="D68" s="953">
        <v>1951.09</v>
      </c>
      <c r="E68" s="953">
        <v>0</v>
      </c>
      <c r="F68" s="954" t="s">
        <v>1613</v>
      </c>
      <c r="G68" s="915" t="s">
        <v>2298</v>
      </c>
      <c r="H68" s="955" t="s">
        <v>1615</v>
      </c>
      <c r="I68" s="915" t="s">
        <v>1616</v>
      </c>
      <c r="J68" s="915" t="s">
        <v>1617</v>
      </c>
      <c r="K68" s="915" t="s">
        <v>1618</v>
      </c>
      <c r="L68" s="919" t="s">
        <v>2124</v>
      </c>
      <c r="M68" s="919"/>
      <c r="N68" s="919" t="s">
        <v>2125</v>
      </c>
      <c r="O68" s="940">
        <v>42856</v>
      </c>
      <c r="P68" s="919" t="s">
        <v>2299</v>
      </c>
      <c r="Q68" s="919">
        <v>13423</v>
      </c>
      <c r="R68" s="915" t="s">
        <v>2300</v>
      </c>
      <c r="U68" s="915" t="s">
        <v>2301</v>
      </c>
      <c r="V68" s="915" t="s">
        <v>2302</v>
      </c>
      <c r="W68" s="915">
        <v>2000</v>
      </c>
      <c r="X68" s="952">
        <v>42872</v>
      </c>
      <c r="Y68" s="952">
        <v>42872</v>
      </c>
      <c r="Z68" s="915">
        <v>8400</v>
      </c>
      <c r="AA68" s="952">
        <v>42921</v>
      </c>
      <c r="AB68" s="915" t="s">
        <v>1626</v>
      </c>
      <c r="AC68" s="915">
        <v>0</v>
      </c>
      <c r="AD68" s="915">
        <v>0</v>
      </c>
      <c r="AE68" s="915">
        <v>0</v>
      </c>
      <c r="AF68" s="915">
        <v>0</v>
      </c>
      <c r="AG68" s="915">
        <v>0</v>
      </c>
      <c r="AH68" s="915">
        <v>1</v>
      </c>
      <c r="AI68" s="915">
        <v>70195</v>
      </c>
      <c r="AJ68" s="915">
        <v>2010</v>
      </c>
      <c r="AK68" s="915">
        <v>0</v>
      </c>
      <c r="AL68" s="915">
        <v>0</v>
      </c>
      <c r="AO68" s="955"/>
      <c r="AP68" s="955"/>
      <c r="AQ68" s="915" t="str">
        <f t="shared" si="0"/>
        <v>VO04292441</v>
      </c>
      <c r="AS68" s="915" t="str">
        <f t="shared" si="1"/>
        <v>wci_corp</v>
      </c>
    </row>
    <row r="69" spans="2:45">
      <c r="B69" s="915" t="s">
        <v>2122</v>
      </c>
      <c r="C69" s="952">
        <v>42886</v>
      </c>
      <c r="D69" s="953">
        <v>1240</v>
      </c>
      <c r="E69" s="953">
        <v>0</v>
      </c>
      <c r="F69" s="954" t="s">
        <v>1613</v>
      </c>
      <c r="G69" s="915" t="s">
        <v>2303</v>
      </c>
      <c r="H69" s="955" t="s">
        <v>1615</v>
      </c>
      <c r="I69" s="915" t="s">
        <v>1616</v>
      </c>
      <c r="J69" s="915" t="s">
        <v>1617</v>
      </c>
      <c r="K69" s="915" t="s">
        <v>1618</v>
      </c>
      <c r="L69" s="919" t="s">
        <v>2124</v>
      </c>
      <c r="M69" s="919"/>
      <c r="N69" s="919" t="s">
        <v>2125</v>
      </c>
      <c r="O69" s="940">
        <v>42879</v>
      </c>
      <c r="P69" s="919" t="s">
        <v>2304</v>
      </c>
      <c r="Q69" s="919">
        <v>13501</v>
      </c>
      <c r="R69" s="915" t="s">
        <v>2305</v>
      </c>
      <c r="U69" s="915" t="s">
        <v>2306</v>
      </c>
      <c r="V69" s="915" t="s">
        <v>2307</v>
      </c>
      <c r="W69" s="915">
        <v>2000</v>
      </c>
      <c r="X69" s="952">
        <v>42887</v>
      </c>
      <c r="Y69" s="952">
        <v>42887</v>
      </c>
      <c r="Z69" s="915">
        <v>1240</v>
      </c>
      <c r="AA69" s="952">
        <v>42944</v>
      </c>
      <c r="AB69" s="915" t="s">
        <v>1626</v>
      </c>
      <c r="AC69" s="915">
        <v>0</v>
      </c>
      <c r="AD69" s="915">
        <v>0</v>
      </c>
      <c r="AE69" s="915">
        <v>0</v>
      </c>
      <c r="AF69" s="915">
        <v>0</v>
      </c>
      <c r="AG69" s="915">
        <v>0</v>
      </c>
      <c r="AH69" s="915">
        <v>1</v>
      </c>
      <c r="AI69" s="915">
        <v>70195</v>
      </c>
      <c r="AJ69" s="915">
        <v>2010</v>
      </c>
      <c r="AK69" s="915">
        <v>0</v>
      </c>
      <c r="AL69" s="915">
        <v>0</v>
      </c>
      <c r="AO69" s="955"/>
      <c r="AP69" s="955"/>
      <c r="AQ69" s="915" t="str">
        <f t="shared" si="0"/>
        <v>VO04305736</v>
      </c>
      <c r="AS69" s="915" t="str">
        <f t="shared" si="1"/>
        <v>wci_corp</v>
      </c>
    </row>
    <row r="70" spans="2:45">
      <c r="B70" s="915" t="s">
        <v>2122</v>
      </c>
      <c r="C70" s="952">
        <v>42886</v>
      </c>
      <c r="D70" s="953">
        <v>208.32</v>
      </c>
      <c r="E70" s="953">
        <v>0</v>
      </c>
      <c r="F70" s="954" t="s">
        <v>1613</v>
      </c>
      <c r="G70" s="915" t="s">
        <v>1702</v>
      </c>
      <c r="H70" s="955" t="s">
        <v>1615</v>
      </c>
      <c r="I70" s="915" t="s">
        <v>1671</v>
      </c>
      <c r="J70" s="915" t="s">
        <v>1672</v>
      </c>
      <c r="K70" s="915" t="s">
        <v>1630</v>
      </c>
      <c r="L70" s="919"/>
      <c r="M70" s="919"/>
      <c r="N70" s="919" t="s">
        <v>2157</v>
      </c>
      <c r="O70" s="940"/>
      <c r="P70" s="919"/>
      <c r="Q70" s="919"/>
      <c r="U70" s="915" t="s">
        <v>1702</v>
      </c>
      <c r="X70" s="952">
        <v>42892</v>
      </c>
      <c r="Y70" s="952">
        <v>42892</v>
      </c>
      <c r="AA70" s="952"/>
      <c r="AB70" s="915" t="s">
        <v>1626</v>
      </c>
      <c r="AC70" s="915">
        <v>0</v>
      </c>
      <c r="AD70" s="915">
        <v>0</v>
      </c>
      <c r="AE70" s="915">
        <v>0</v>
      </c>
      <c r="AF70" s="915">
        <v>0</v>
      </c>
      <c r="AG70" s="915">
        <v>0</v>
      </c>
      <c r="AH70" s="915">
        <v>1</v>
      </c>
      <c r="AI70" s="915">
        <v>70195</v>
      </c>
      <c r="AJ70" s="915">
        <v>2010</v>
      </c>
      <c r="AK70" s="915">
        <v>0</v>
      </c>
      <c r="AL70" s="915">
        <v>0</v>
      </c>
      <c r="AO70" s="955"/>
      <c r="AP70" s="955"/>
      <c r="AQ70" s="915" t="str">
        <f t="shared" si="0"/>
        <v/>
      </c>
      <c r="AS70" s="915" t="str">
        <f t="shared" si="1"/>
        <v>wci_wa</v>
      </c>
    </row>
    <row r="71" spans="2:45">
      <c r="B71" s="915" t="s">
        <v>2122</v>
      </c>
      <c r="C71" s="952">
        <v>42886</v>
      </c>
      <c r="D71" s="953">
        <v>600</v>
      </c>
      <c r="E71" s="953">
        <v>0</v>
      </c>
      <c r="F71" s="954" t="s">
        <v>1613</v>
      </c>
      <c r="G71" s="915" t="s">
        <v>2052</v>
      </c>
      <c r="H71" s="955" t="s">
        <v>1615</v>
      </c>
      <c r="I71" s="915" t="s">
        <v>1999</v>
      </c>
      <c r="J71" s="915" t="s">
        <v>2018</v>
      </c>
      <c r="K71" s="915" t="s">
        <v>1618</v>
      </c>
      <c r="L71" s="919"/>
      <c r="M71" s="919"/>
      <c r="N71" s="919" t="s">
        <v>2308</v>
      </c>
      <c r="O71" s="940"/>
      <c r="P71" s="919"/>
      <c r="Q71" s="919"/>
      <c r="U71" s="915" t="s">
        <v>2054</v>
      </c>
      <c r="V71" s="915" t="s">
        <v>2054</v>
      </c>
      <c r="X71" s="952">
        <v>42892</v>
      </c>
      <c r="Y71" s="952">
        <v>42892</v>
      </c>
      <c r="AA71" s="952"/>
      <c r="AB71" s="915" t="s">
        <v>1626</v>
      </c>
      <c r="AC71" s="915">
        <v>0</v>
      </c>
      <c r="AD71" s="915">
        <v>0</v>
      </c>
      <c r="AE71" s="915">
        <v>0</v>
      </c>
      <c r="AF71" s="915">
        <v>0</v>
      </c>
      <c r="AG71" s="915">
        <v>0</v>
      </c>
      <c r="AH71" s="915">
        <v>1</v>
      </c>
      <c r="AI71" s="915">
        <v>70195</v>
      </c>
      <c r="AJ71" s="915">
        <v>2010</v>
      </c>
      <c r="AK71" s="915">
        <v>0</v>
      </c>
      <c r="AL71" s="915">
        <v>0</v>
      </c>
      <c r="AO71" s="955"/>
      <c r="AP71" s="955"/>
      <c r="AQ71" s="915" t="str">
        <f t="shared" si="0"/>
        <v/>
      </c>
      <c r="AS71" s="915" t="str">
        <f t="shared" si="1"/>
        <v>wci_corp</v>
      </c>
    </row>
    <row r="72" spans="2:45">
      <c r="B72" s="915" t="s">
        <v>2122</v>
      </c>
      <c r="C72" s="952">
        <v>42894</v>
      </c>
      <c r="D72" s="953">
        <v>600</v>
      </c>
      <c r="E72" s="953">
        <v>0</v>
      </c>
      <c r="F72" s="954" t="s">
        <v>1613</v>
      </c>
      <c r="G72" s="915" t="s">
        <v>2309</v>
      </c>
      <c r="H72" s="955" t="s">
        <v>1615</v>
      </c>
      <c r="I72" s="915" t="s">
        <v>1616</v>
      </c>
      <c r="J72" s="915" t="s">
        <v>1617</v>
      </c>
      <c r="K72" s="915" t="s">
        <v>1618</v>
      </c>
      <c r="L72" s="919" t="s">
        <v>2169</v>
      </c>
      <c r="M72" s="919"/>
      <c r="N72" s="919" t="s">
        <v>2170</v>
      </c>
      <c r="O72" s="940">
        <v>42826</v>
      </c>
      <c r="P72" s="919" t="s">
        <v>2308</v>
      </c>
      <c r="Q72" s="919" t="s">
        <v>2310</v>
      </c>
      <c r="R72" s="915" t="s">
        <v>2311</v>
      </c>
      <c r="U72" s="915" t="s">
        <v>2312</v>
      </c>
      <c r="V72" s="915" t="s">
        <v>2313</v>
      </c>
      <c r="W72" s="915">
        <v>2010</v>
      </c>
      <c r="X72" s="952">
        <v>42894</v>
      </c>
      <c r="Y72" s="952">
        <v>42894</v>
      </c>
      <c r="Z72" s="915">
        <v>600</v>
      </c>
      <c r="AA72" s="952">
        <v>42891</v>
      </c>
      <c r="AB72" s="915" t="s">
        <v>1626</v>
      </c>
      <c r="AC72" s="915">
        <v>0</v>
      </c>
      <c r="AD72" s="915">
        <v>0</v>
      </c>
      <c r="AE72" s="915">
        <v>0</v>
      </c>
      <c r="AF72" s="915">
        <v>0</v>
      </c>
      <c r="AG72" s="915">
        <v>0</v>
      </c>
      <c r="AH72" s="915">
        <v>1</v>
      </c>
      <c r="AI72" s="915">
        <v>70195</v>
      </c>
      <c r="AJ72" s="915">
        <v>2010</v>
      </c>
      <c r="AK72" s="915">
        <v>0</v>
      </c>
      <c r="AL72" s="915">
        <v>0</v>
      </c>
      <c r="AO72" s="955"/>
      <c r="AP72" s="955"/>
      <c r="AQ72" s="915" t="str">
        <f t="shared" si="0"/>
        <v>VO04311888</v>
      </c>
      <c r="AS72" s="915" t="str">
        <f t="shared" si="1"/>
        <v>wci_corp</v>
      </c>
    </row>
    <row r="73" spans="2:45">
      <c r="B73" s="915" t="s">
        <v>2122</v>
      </c>
      <c r="C73" s="952">
        <v>42916</v>
      </c>
      <c r="D73" s="953">
        <v>-600</v>
      </c>
      <c r="E73" s="953">
        <v>0</v>
      </c>
      <c r="F73" s="954" t="s">
        <v>1613</v>
      </c>
      <c r="G73" s="915" t="s">
        <v>2075</v>
      </c>
      <c r="H73" s="955" t="s">
        <v>1615</v>
      </c>
      <c r="I73" s="915" t="s">
        <v>1999</v>
      </c>
      <c r="J73" s="915" t="s">
        <v>2018</v>
      </c>
      <c r="K73" s="915" t="s">
        <v>1618</v>
      </c>
      <c r="L73" s="919"/>
      <c r="M73" s="919"/>
      <c r="N73" s="919" t="s">
        <v>2308</v>
      </c>
      <c r="O73" s="940"/>
      <c r="P73" s="919"/>
      <c r="Q73" s="919"/>
      <c r="U73" s="915" t="s">
        <v>2054</v>
      </c>
      <c r="V73" s="915" t="s">
        <v>2076</v>
      </c>
      <c r="X73" s="952">
        <v>42892</v>
      </c>
      <c r="Y73" s="952">
        <v>42893</v>
      </c>
      <c r="AA73" s="952"/>
      <c r="AB73" s="915" t="s">
        <v>1626</v>
      </c>
      <c r="AC73" s="915">
        <v>0</v>
      </c>
      <c r="AD73" s="915">
        <v>0</v>
      </c>
      <c r="AE73" s="915">
        <v>0</v>
      </c>
      <c r="AF73" s="915">
        <v>0</v>
      </c>
      <c r="AG73" s="915">
        <v>5</v>
      </c>
      <c r="AH73" s="915">
        <v>1</v>
      </c>
      <c r="AI73" s="915">
        <v>70195</v>
      </c>
      <c r="AJ73" s="915">
        <v>2010</v>
      </c>
      <c r="AK73" s="915">
        <v>0</v>
      </c>
      <c r="AL73" s="915">
        <v>0</v>
      </c>
      <c r="AO73" s="955"/>
      <c r="AP73" s="955"/>
      <c r="AQ73" s="915" t="str">
        <f t="shared" si="0"/>
        <v/>
      </c>
      <c r="AS73" s="915" t="str">
        <f t="shared" si="1"/>
        <v>wci_corp</v>
      </c>
    </row>
    <row r="74" spans="2:45">
      <c r="B74" s="915" t="s">
        <v>2122</v>
      </c>
      <c r="C74" s="952">
        <v>42916</v>
      </c>
      <c r="D74" s="953">
        <v>62</v>
      </c>
      <c r="E74" s="953">
        <v>0</v>
      </c>
      <c r="F74" s="954" t="s">
        <v>1613</v>
      </c>
      <c r="G74" s="915" t="s">
        <v>2082</v>
      </c>
      <c r="H74" s="955" t="s">
        <v>1615</v>
      </c>
      <c r="I74" s="915" t="s">
        <v>2083</v>
      </c>
      <c r="J74" s="915" t="s">
        <v>2018</v>
      </c>
      <c r="K74" s="915" t="s">
        <v>1618</v>
      </c>
      <c r="L74" s="919"/>
      <c r="M74" s="919"/>
      <c r="N74" s="919" t="s">
        <v>2314</v>
      </c>
      <c r="O74" s="940"/>
      <c r="P74" s="919"/>
      <c r="Q74" s="919"/>
      <c r="U74" s="915" t="s">
        <v>2084</v>
      </c>
      <c r="V74" s="915" t="s">
        <v>2084</v>
      </c>
      <c r="X74" s="952">
        <v>42921</v>
      </c>
      <c r="Y74" s="952">
        <v>42922</v>
      </c>
      <c r="AA74" s="952"/>
      <c r="AB74" s="915" t="s">
        <v>1626</v>
      </c>
      <c r="AC74" s="915">
        <v>0</v>
      </c>
      <c r="AD74" s="915">
        <v>0</v>
      </c>
      <c r="AE74" s="915">
        <v>0</v>
      </c>
      <c r="AF74" s="915">
        <v>0</v>
      </c>
      <c r="AG74" s="915">
        <v>0</v>
      </c>
      <c r="AH74" s="915">
        <v>1</v>
      </c>
      <c r="AI74" s="915">
        <v>70195</v>
      </c>
      <c r="AJ74" s="915">
        <v>2010</v>
      </c>
      <c r="AK74" s="915">
        <v>0</v>
      </c>
      <c r="AL74" s="915">
        <v>0</v>
      </c>
      <c r="AO74" s="955"/>
      <c r="AP74" s="955"/>
      <c r="AQ74" s="915" t="str">
        <f t="shared" si="0"/>
        <v/>
      </c>
      <c r="AS74" s="915" t="str">
        <f t="shared" si="1"/>
        <v>wci_corp</v>
      </c>
    </row>
    <row r="75" spans="2:45">
      <c r="B75" s="915" t="s">
        <v>2122</v>
      </c>
      <c r="C75" s="952">
        <v>42916</v>
      </c>
      <c r="D75" s="953">
        <v>300</v>
      </c>
      <c r="E75" s="953">
        <v>0</v>
      </c>
      <c r="F75" s="954" t="s">
        <v>1613</v>
      </c>
      <c r="G75" s="915" t="s">
        <v>2082</v>
      </c>
      <c r="H75" s="955" t="s">
        <v>1615</v>
      </c>
      <c r="I75" s="915" t="s">
        <v>2083</v>
      </c>
      <c r="J75" s="915" t="s">
        <v>2018</v>
      </c>
      <c r="K75" s="915" t="s">
        <v>1618</v>
      </c>
      <c r="L75" s="919"/>
      <c r="M75" s="919"/>
      <c r="N75" s="919" t="s">
        <v>2315</v>
      </c>
      <c r="O75" s="940"/>
      <c r="P75" s="919"/>
      <c r="Q75" s="919"/>
      <c r="U75" s="915" t="s">
        <v>2084</v>
      </c>
      <c r="V75" s="915" t="s">
        <v>2084</v>
      </c>
      <c r="X75" s="952">
        <v>42921</v>
      </c>
      <c r="Y75" s="952">
        <v>42922</v>
      </c>
      <c r="AA75" s="952"/>
      <c r="AB75" s="915" t="s">
        <v>1626</v>
      </c>
      <c r="AC75" s="915">
        <v>0</v>
      </c>
      <c r="AD75" s="915">
        <v>0</v>
      </c>
      <c r="AE75" s="915">
        <v>0</v>
      </c>
      <c r="AF75" s="915">
        <v>0</v>
      </c>
      <c r="AG75" s="915">
        <v>0</v>
      </c>
      <c r="AH75" s="915">
        <v>1</v>
      </c>
      <c r="AI75" s="915">
        <v>70195</v>
      </c>
      <c r="AJ75" s="915">
        <v>2010</v>
      </c>
      <c r="AK75" s="915">
        <v>0</v>
      </c>
      <c r="AL75" s="915">
        <v>0</v>
      </c>
      <c r="AO75" s="955"/>
      <c r="AP75" s="955"/>
      <c r="AQ75" s="915" t="str">
        <f t="shared" si="0"/>
        <v/>
      </c>
      <c r="AS75" s="915" t="str">
        <f t="shared" si="1"/>
        <v>wci_corp</v>
      </c>
    </row>
    <row r="76" spans="2:45">
      <c r="B76" s="915" t="s">
        <v>2122</v>
      </c>
      <c r="C76" s="952">
        <v>42916</v>
      </c>
      <c r="D76" s="953">
        <v>208.36</v>
      </c>
      <c r="E76" s="953">
        <v>0</v>
      </c>
      <c r="F76" s="954" t="s">
        <v>1613</v>
      </c>
      <c r="G76" s="915" t="s">
        <v>1709</v>
      </c>
      <c r="H76" s="955" t="s">
        <v>1615</v>
      </c>
      <c r="I76" s="915" t="s">
        <v>1671</v>
      </c>
      <c r="J76" s="915" t="s">
        <v>1672</v>
      </c>
      <c r="K76" s="915" t="s">
        <v>1630</v>
      </c>
      <c r="L76" s="919"/>
      <c r="M76" s="919"/>
      <c r="N76" s="919" t="s">
        <v>2157</v>
      </c>
      <c r="O76" s="940"/>
      <c r="P76" s="919"/>
      <c r="Q76" s="919"/>
      <c r="U76" s="915" t="s">
        <v>1709</v>
      </c>
      <c r="X76" s="952">
        <v>42926</v>
      </c>
      <c r="Y76" s="952">
        <v>42926</v>
      </c>
      <c r="AA76" s="952"/>
      <c r="AB76" s="915" t="s">
        <v>1626</v>
      </c>
      <c r="AC76" s="915">
        <v>0</v>
      </c>
      <c r="AD76" s="915">
        <v>0</v>
      </c>
      <c r="AE76" s="915">
        <v>0</v>
      </c>
      <c r="AF76" s="915">
        <v>0</v>
      </c>
      <c r="AG76" s="915">
        <v>0</v>
      </c>
      <c r="AH76" s="915">
        <v>1</v>
      </c>
      <c r="AI76" s="915">
        <v>70195</v>
      </c>
      <c r="AJ76" s="915">
        <v>2010</v>
      </c>
      <c r="AK76" s="915">
        <v>0</v>
      </c>
      <c r="AL76" s="915">
        <v>0</v>
      </c>
      <c r="AO76" s="955"/>
      <c r="AP76" s="955"/>
      <c r="AQ76" s="915" t="str">
        <f t="shared" si="0"/>
        <v/>
      </c>
      <c r="AS76" s="915" t="str">
        <f t="shared" si="1"/>
        <v>wci_wa</v>
      </c>
    </row>
    <row r="77" spans="2:45">
      <c r="B77" s="915" t="s">
        <v>2122</v>
      </c>
      <c r="C77" s="952">
        <v>42916</v>
      </c>
      <c r="D77" s="953">
        <v>1951.09</v>
      </c>
      <c r="E77" s="953">
        <v>0</v>
      </c>
      <c r="F77" s="954" t="s">
        <v>1613</v>
      </c>
      <c r="G77" s="915" t="s">
        <v>2316</v>
      </c>
      <c r="H77" s="955" t="s">
        <v>1615</v>
      </c>
      <c r="I77" s="915" t="s">
        <v>2317</v>
      </c>
      <c r="J77" s="915" t="s">
        <v>2018</v>
      </c>
      <c r="K77" s="915" t="s">
        <v>1618</v>
      </c>
      <c r="L77" s="919"/>
      <c r="M77" s="919"/>
      <c r="N77" s="919" t="s">
        <v>2318</v>
      </c>
      <c r="O77" s="940"/>
      <c r="P77" s="919"/>
      <c r="Q77" s="919"/>
      <c r="U77" s="915" t="s">
        <v>2319</v>
      </c>
      <c r="V77" s="915" t="s">
        <v>2319</v>
      </c>
      <c r="X77" s="952">
        <v>42926</v>
      </c>
      <c r="Y77" s="952">
        <v>42926</v>
      </c>
      <c r="AA77" s="952"/>
      <c r="AB77" s="915" t="s">
        <v>1626</v>
      </c>
      <c r="AC77" s="915">
        <v>0</v>
      </c>
      <c r="AD77" s="915">
        <v>0</v>
      </c>
      <c r="AE77" s="915">
        <v>0</v>
      </c>
      <c r="AF77" s="915">
        <v>0</v>
      </c>
      <c r="AG77" s="915">
        <v>0</v>
      </c>
      <c r="AH77" s="915">
        <v>1</v>
      </c>
      <c r="AI77" s="915">
        <v>70195</v>
      </c>
      <c r="AJ77" s="915">
        <v>2010</v>
      </c>
      <c r="AK77" s="915">
        <v>0</v>
      </c>
      <c r="AL77" s="915">
        <v>0</v>
      </c>
      <c r="AO77" s="955"/>
      <c r="AP77" s="955"/>
      <c r="AQ77" s="915" t="str">
        <f t="shared" si="0"/>
        <v/>
      </c>
      <c r="AS77" s="915" t="str">
        <f t="shared" si="1"/>
        <v>wci_corp</v>
      </c>
    </row>
    <row r="78" spans="2:45">
      <c r="B78" s="915" t="s">
        <v>2122</v>
      </c>
      <c r="C78" s="952">
        <v>42922</v>
      </c>
      <c r="D78" s="953">
        <v>103.5</v>
      </c>
      <c r="E78" s="953">
        <v>0</v>
      </c>
      <c r="F78" s="954" t="s">
        <v>1613</v>
      </c>
      <c r="G78" s="915" t="s">
        <v>2091</v>
      </c>
      <c r="H78" s="955" t="s">
        <v>1615</v>
      </c>
      <c r="I78" s="915" t="s">
        <v>1616</v>
      </c>
      <c r="J78" s="915" t="s">
        <v>1617</v>
      </c>
      <c r="K78" s="915" t="s">
        <v>1618</v>
      </c>
      <c r="L78" s="919" t="s">
        <v>2029</v>
      </c>
      <c r="M78" s="919"/>
      <c r="N78" s="919" t="s">
        <v>1993</v>
      </c>
      <c r="O78" s="940">
        <v>42917</v>
      </c>
      <c r="P78" s="919" t="s">
        <v>2320</v>
      </c>
      <c r="Q78" s="919" t="s">
        <v>2321</v>
      </c>
      <c r="R78" s="915" t="s">
        <v>2322</v>
      </c>
      <c r="U78" s="915" t="s">
        <v>2323</v>
      </c>
      <c r="V78" s="915" t="s">
        <v>2093</v>
      </c>
      <c r="W78" s="915">
        <v>2010</v>
      </c>
      <c r="X78" s="952">
        <v>42922</v>
      </c>
      <c r="Y78" s="952">
        <v>42922</v>
      </c>
      <c r="Z78" s="915">
        <v>103.5</v>
      </c>
      <c r="AA78" s="952">
        <v>42927</v>
      </c>
      <c r="AB78" s="915" t="s">
        <v>1626</v>
      </c>
      <c r="AC78" s="915">
        <v>0</v>
      </c>
      <c r="AD78" s="915">
        <v>0</v>
      </c>
      <c r="AE78" s="915">
        <v>0</v>
      </c>
      <c r="AF78" s="915">
        <v>0</v>
      </c>
      <c r="AG78" s="915">
        <v>0</v>
      </c>
      <c r="AH78" s="915">
        <v>1</v>
      </c>
      <c r="AI78" s="915">
        <v>70195</v>
      </c>
      <c r="AJ78" s="915">
        <v>2010</v>
      </c>
      <c r="AK78" s="915">
        <v>0</v>
      </c>
      <c r="AL78" s="915">
        <v>0</v>
      </c>
      <c r="AO78" s="955"/>
      <c r="AP78" s="955"/>
      <c r="AQ78" s="915" t="str">
        <f t="shared" si="0"/>
        <v>VO04339799</v>
      </c>
      <c r="AS78" s="915" t="str">
        <f t="shared" si="1"/>
        <v>wci_corp</v>
      </c>
    </row>
    <row r="79" spans="2:45">
      <c r="B79" s="915" t="s">
        <v>2122</v>
      </c>
      <c r="C79" s="952">
        <v>42923</v>
      </c>
      <c r="D79" s="953">
        <v>1951.09</v>
      </c>
      <c r="E79" s="953">
        <v>0</v>
      </c>
      <c r="F79" s="954" t="s">
        <v>1613</v>
      </c>
      <c r="G79" s="915" t="s">
        <v>2324</v>
      </c>
      <c r="H79" s="955" t="s">
        <v>1615</v>
      </c>
      <c r="I79" s="915" t="s">
        <v>1616</v>
      </c>
      <c r="J79" s="915" t="s">
        <v>1617</v>
      </c>
      <c r="K79" s="915" t="s">
        <v>1618</v>
      </c>
      <c r="L79" s="919" t="s">
        <v>2124</v>
      </c>
      <c r="M79" s="919"/>
      <c r="N79" s="919" t="s">
        <v>2125</v>
      </c>
      <c r="O79" s="940">
        <v>42856</v>
      </c>
      <c r="P79" s="919" t="s">
        <v>2325</v>
      </c>
      <c r="Q79" s="919">
        <v>13486</v>
      </c>
      <c r="R79" s="915" t="s">
        <v>2326</v>
      </c>
      <c r="U79" s="915" t="s">
        <v>2327</v>
      </c>
      <c r="V79" s="915" t="s">
        <v>2328</v>
      </c>
      <c r="W79" s="915">
        <v>2000</v>
      </c>
      <c r="X79" s="952">
        <v>42923</v>
      </c>
      <c r="Y79" s="952">
        <v>42923</v>
      </c>
      <c r="Z79" s="915">
        <v>8400</v>
      </c>
      <c r="AA79" s="952">
        <v>42921</v>
      </c>
      <c r="AB79" s="915" t="s">
        <v>1626</v>
      </c>
      <c r="AC79" s="915">
        <v>0</v>
      </c>
      <c r="AD79" s="915">
        <v>0</v>
      </c>
      <c r="AE79" s="915">
        <v>0</v>
      </c>
      <c r="AF79" s="915">
        <v>0</v>
      </c>
      <c r="AG79" s="915">
        <v>0</v>
      </c>
      <c r="AH79" s="915">
        <v>1</v>
      </c>
      <c r="AI79" s="915">
        <v>70195</v>
      </c>
      <c r="AJ79" s="915">
        <v>2010</v>
      </c>
      <c r="AK79" s="915">
        <v>0</v>
      </c>
      <c r="AL79" s="915">
        <v>0</v>
      </c>
      <c r="AO79" s="955"/>
      <c r="AP79" s="955"/>
      <c r="AQ79" s="915" t="str">
        <f t="shared" si="0"/>
        <v>VO04340580</v>
      </c>
      <c r="AS79" s="915" t="str">
        <f t="shared" si="1"/>
        <v>wci_corp</v>
      </c>
    </row>
    <row r="80" spans="2:45">
      <c r="B80" s="915" t="s">
        <v>2122</v>
      </c>
      <c r="C80" s="952">
        <v>42929</v>
      </c>
      <c r="D80" s="953">
        <v>600</v>
      </c>
      <c r="E80" s="953">
        <v>0</v>
      </c>
      <c r="F80" s="954" t="s">
        <v>1613</v>
      </c>
      <c r="G80" s="915" t="s">
        <v>2329</v>
      </c>
      <c r="H80" s="955" t="s">
        <v>1615</v>
      </c>
      <c r="I80" s="915" t="s">
        <v>1616</v>
      </c>
      <c r="J80" s="915" t="s">
        <v>1617</v>
      </c>
      <c r="K80" s="915" t="s">
        <v>1618</v>
      </c>
      <c r="L80" s="919" t="s">
        <v>2169</v>
      </c>
      <c r="M80" s="919"/>
      <c r="N80" s="919" t="s">
        <v>2170</v>
      </c>
      <c r="O80" s="940">
        <v>42917</v>
      </c>
      <c r="P80" s="919" t="s">
        <v>2308</v>
      </c>
      <c r="Q80" s="919" t="s">
        <v>2330</v>
      </c>
      <c r="R80" s="915" t="s">
        <v>2311</v>
      </c>
      <c r="U80" s="915" t="s">
        <v>2331</v>
      </c>
      <c r="V80" s="915" t="s">
        <v>2332</v>
      </c>
      <c r="W80" s="915">
        <v>2010</v>
      </c>
      <c r="X80" s="952">
        <v>42929</v>
      </c>
      <c r="Y80" s="952">
        <v>42934</v>
      </c>
      <c r="Z80" s="915">
        <v>600</v>
      </c>
      <c r="AA80" s="952">
        <v>42982</v>
      </c>
      <c r="AB80" s="915" t="s">
        <v>1626</v>
      </c>
      <c r="AC80" s="915">
        <v>0</v>
      </c>
      <c r="AD80" s="915">
        <v>0</v>
      </c>
      <c r="AE80" s="915">
        <v>0</v>
      </c>
      <c r="AF80" s="915">
        <v>0</v>
      </c>
      <c r="AG80" s="915">
        <v>0</v>
      </c>
      <c r="AH80" s="915">
        <v>1</v>
      </c>
      <c r="AI80" s="915">
        <v>70195</v>
      </c>
      <c r="AJ80" s="915">
        <v>2010</v>
      </c>
      <c r="AK80" s="915">
        <v>0</v>
      </c>
      <c r="AL80" s="915">
        <v>0</v>
      </c>
      <c r="AO80" s="955"/>
      <c r="AP80" s="955"/>
      <c r="AQ80" s="915" t="str">
        <f t="shared" si="0"/>
        <v>VO04345734</v>
      </c>
      <c r="AS80" s="915" t="str">
        <f t="shared" si="1"/>
        <v>wci_corp</v>
      </c>
    </row>
    <row r="81" spans="2:45">
      <c r="B81" s="915" t="s">
        <v>2122</v>
      </c>
      <c r="C81" s="952">
        <v>42935</v>
      </c>
      <c r="D81" s="953">
        <v>40</v>
      </c>
      <c r="E81" s="953">
        <v>0</v>
      </c>
      <c r="F81" s="954" t="s">
        <v>1613</v>
      </c>
      <c r="G81" s="915" t="s">
        <v>2333</v>
      </c>
      <c r="H81" s="955" t="s">
        <v>1615</v>
      </c>
      <c r="I81" s="915" t="s">
        <v>1616</v>
      </c>
      <c r="J81" s="915" t="s">
        <v>1617</v>
      </c>
      <c r="K81" s="915" t="s">
        <v>1618</v>
      </c>
      <c r="L81" s="919" t="s">
        <v>2334</v>
      </c>
      <c r="M81" s="919"/>
      <c r="N81" s="919" t="s">
        <v>2217</v>
      </c>
      <c r="O81" s="940">
        <v>42927</v>
      </c>
      <c r="P81" s="919" t="s">
        <v>2335</v>
      </c>
      <c r="Q81" s="919">
        <v>4847</v>
      </c>
      <c r="R81" s="915" t="s">
        <v>2336</v>
      </c>
      <c r="U81" s="915" t="s">
        <v>2337</v>
      </c>
      <c r="V81" s="915" t="s">
        <v>2338</v>
      </c>
      <c r="W81" s="915">
        <v>2010</v>
      </c>
      <c r="X81" s="952">
        <v>42935</v>
      </c>
      <c r="Y81" s="952">
        <v>42937</v>
      </c>
      <c r="Z81" s="915">
        <v>40</v>
      </c>
      <c r="AA81" s="952">
        <v>42937</v>
      </c>
      <c r="AB81" s="915" t="s">
        <v>1626</v>
      </c>
      <c r="AC81" s="915">
        <v>0</v>
      </c>
      <c r="AD81" s="915">
        <v>0</v>
      </c>
      <c r="AE81" s="915">
        <v>0</v>
      </c>
      <c r="AF81" s="915">
        <v>0</v>
      </c>
      <c r="AG81" s="915">
        <v>0</v>
      </c>
      <c r="AH81" s="915">
        <v>1</v>
      </c>
      <c r="AI81" s="915">
        <v>70195</v>
      </c>
      <c r="AJ81" s="915">
        <v>2010</v>
      </c>
      <c r="AK81" s="915">
        <v>0</v>
      </c>
      <c r="AL81" s="915">
        <v>0</v>
      </c>
      <c r="AO81" s="955"/>
      <c r="AP81" s="955"/>
      <c r="AQ81" s="915" t="str">
        <f t="shared" si="0"/>
        <v>VO04352643</v>
      </c>
      <c r="AS81" s="915" t="str">
        <f t="shared" si="1"/>
        <v>wci_corp</v>
      </c>
    </row>
    <row r="82" spans="2:45">
      <c r="B82" s="915" t="s">
        <v>2122</v>
      </c>
      <c r="C82" s="952">
        <v>42947</v>
      </c>
      <c r="D82" s="953">
        <v>-1951.09</v>
      </c>
      <c r="E82" s="953">
        <v>0</v>
      </c>
      <c r="F82" s="954" t="s">
        <v>1613</v>
      </c>
      <c r="G82" s="915" t="s">
        <v>2339</v>
      </c>
      <c r="H82" s="955" t="s">
        <v>1615</v>
      </c>
      <c r="I82" s="915" t="s">
        <v>2317</v>
      </c>
      <c r="J82" s="915" t="s">
        <v>2025</v>
      </c>
      <c r="K82" s="915" t="s">
        <v>1618</v>
      </c>
      <c r="L82" s="919"/>
      <c r="M82" s="919"/>
      <c r="N82" s="919" t="s">
        <v>2318</v>
      </c>
      <c r="O82" s="940"/>
      <c r="P82" s="919"/>
      <c r="Q82" s="919"/>
      <c r="U82" s="915" t="s">
        <v>2319</v>
      </c>
      <c r="V82" s="915" t="s">
        <v>2340</v>
      </c>
      <c r="X82" s="952">
        <v>42926</v>
      </c>
      <c r="Y82" s="952">
        <v>42927</v>
      </c>
      <c r="AA82" s="952"/>
      <c r="AB82" s="915" t="s">
        <v>1626</v>
      </c>
      <c r="AC82" s="915">
        <v>0</v>
      </c>
      <c r="AD82" s="915">
        <v>0</v>
      </c>
      <c r="AE82" s="915">
        <v>0</v>
      </c>
      <c r="AF82" s="915">
        <v>0</v>
      </c>
      <c r="AG82" s="915">
        <v>5</v>
      </c>
      <c r="AH82" s="915">
        <v>1</v>
      </c>
      <c r="AI82" s="915">
        <v>70195</v>
      </c>
      <c r="AJ82" s="915">
        <v>2010</v>
      </c>
      <c r="AK82" s="915">
        <v>0</v>
      </c>
      <c r="AL82" s="915">
        <v>0</v>
      </c>
      <c r="AO82" s="955"/>
      <c r="AP82" s="955"/>
      <c r="AQ82" s="915" t="str">
        <f t="shared" si="0"/>
        <v/>
      </c>
      <c r="AS82" s="915" t="str">
        <f t="shared" si="1"/>
        <v>wci_corp</v>
      </c>
    </row>
    <row r="83" spans="2:45">
      <c r="B83" s="915" t="s">
        <v>2122</v>
      </c>
      <c r="C83" s="952">
        <v>42947</v>
      </c>
      <c r="D83" s="953">
        <v>450</v>
      </c>
      <c r="E83" s="953">
        <v>0</v>
      </c>
      <c r="F83" s="954" t="s">
        <v>1613</v>
      </c>
      <c r="G83" s="915" t="s">
        <v>2096</v>
      </c>
      <c r="H83" s="955" t="s">
        <v>1615</v>
      </c>
      <c r="I83" s="915" t="s">
        <v>2097</v>
      </c>
      <c r="J83" s="915" t="s">
        <v>2018</v>
      </c>
      <c r="K83" s="915" t="s">
        <v>1618</v>
      </c>
      <c r="L83" s="919"/>
      <c r="M83" s="919"/>
      <c r="N83" s="919" t="s">
        <v>2341</v>
      </c>
      <c r="O83" s="940"/>
      <c r="P83" s="919"/>
      <c r="Q83" s="919"/>
      <c r="U83" s="915" t="s">
        <v>2098</v>
      </c>
      <c r="V83" s="915" t="s">
        <v>2098</v>
      </c>
      <c r="X83" s="952">
        <v>42948</v>
      </c>
      <c r="Y83" s="952">
        <v>42949</v>
      </c>
      <c r="AA83" s="952"/>
      <c r="AB83" s="915" t="s">
        <v>1626</v>
      </c>
      <c r="AC83" s="915">
        <v>0</v>
      </c>
      <c r="AD83" s="915">
        <v>0</v>
      </c>
      <c r="AE83" s="915">
        <v>0</v>
      </c>
      <c r="AF83" s="915">
        <v>0</v>
      </c>
      <c r="AG83" s="915">
        <v>0</v>
      </c>
      <c r="AH83" s="915">
        <v>1</v>
      </c>
      <c r="AI83" s="915">
        <v>70195</v>
      </c>
      <c r="AJ83" s="915">
        <v>2010</v>
      </c>
      <c r="AK83" s="915">
        <v>0</v>
      </c>
      <c r="AL83" s="915">
        <v>0</v>
      </c>
      <c r="AO83" s="955"/>
      <c r="AP83" s="955"/>
      <c r="AQ83" s="915" t="str">
        <f t="shared" si="0"/>
        <v/>
      </c>
      <c r="AS83" s="915" t="str">
        <f t="shared" si="1"/>
        <v>wci_corp</v>
      </c>
    </row>
    <row r="84" spans="2:45">
      <c r="B84" s="915" t="s">
        <v>2122</v>
      </c>
      <c r="C84" s="952">
        <v>42947</v>
      </c>
      <c r="D84" s="953">
        <v>208.33</v>
      </c>
      <c r="E84" s="953">
        <v>0</v>
      </c>
      <c r="F84" s="954" t="s">
        <v>1613</v>
      </c>
      <c r="G84" s="915" t="s">
        <v>1725</v>
      </c>
      <c r="H84" s="955" t="s">
        <v>1615</v>
      </c>
      <c r="I84" s="915" t="s">
        <v>1671</v>
      </c>
      <c r="J84" s="915" t="s">
        <v>1672</v>
      </c>
      <c r="K84" s="915" t="s">
        <v>1630</v>
      </c>
      <c r="L84" s="919"/>
      <c r="M84" s="919"/>
      <c r="N84" s="919" t="s">
        <v>2157</v>
      </c>
      <c r="O84" s="940"/>
      <c r="P84" s="919"/>
      <c r="Q84" s="919"/>
      <c r="U84" s="915" t="s">
        <v>1725</v>
      </c>
      <c r="X84" s="952">
        <v>42951</v>
      </c>
      <c r="Y84" s="952">
        <v>42951</v>
      </c>
      <c r="AA84" s="952"/>
      <c r="AB84" s="915" t="s">
        <v>1626</v>
      </c>
      <c r="AC84" s="915">
        <v>0</v>
      </c>
      <c r="AD84" s="915">
        <v>0</v>
      </c>
      <c r="AE84" s="915">
        <v>0</v>
      </c>
      <c r="AF84" s="915">
        <v>0</v>
      </c>
      <c r="AG84" s="915">
        <v>0</v>
      </c>
      <c r="AH84" s="915">
        <v>1</v>
      </c>
      <c r="AI84" s="915">
        <v>70195</v>
      </c>
      <c r="AJ84" s="915">
        <v>2010</v>
      </c>
      <c r="AK84" s="915">
        <v>0</v>
      </c>
      <c r="AL84" s="915">
        <v>0</v>
      </c>
      <c r="AO84" s="955"/>
      <c r="AP84" s="955"/>
      <c r="AQ84" s="915" t="str">
        <f t="shared" si="0"/>
        <v/>
      </c>
      <c r="AS84" s="915" t="str">
        <f t="shared" si="1"/>
        <v>wci_wa</v>
      </c>
    </row>
    <row r="85" spans="2:45">
      <c r="B85" s="915" t="s">
        <v>2122</v>
      </c>
      <c r="C85" s="952">
        <v>42947</v>
      </c>
      <c r="D85" s="953">
        <v>1951.09</v>
      </c>
      <c r="E85" s="953">
        <v>0</v>
      </c>
      <c r="F85" s="954" t="s">
        <v>1613</v>
      </c>
      <c r="G85" s="915" t="s">
        <v>2342</v>
      </c>
      <c r="H85" s="955" t="s">
        <v>1615</v>
      </c>
      <c r="I85" s="915" t="s">
        <v>2317</v>
      </c>
      <c r="J85" s="915" t="s">
        <v>2018</v>
      </c>
      <c r="K85" s="915" t="s">
        <v>1618</v>
      </c>
      <c r="L85" s="919"/>
      <c r="M85" s="919"/>
      <c r="N85" s="919" t="s">
        <v>2343</v>
      </c>
      <c r="O85" s="940"/>
      <c r="P85" s="919"/>
      <c r="Q85" s="919"/>
      <c r="U85" s="915" t="s">
        <v>2344</v>
      </c>
      <c r="V85" s="915" t="s">
        <v>2344</v>
      </c>
      <c r="X85" s="952">
        <v>42954</v>
      </c>
      <c r="Y85" s="952">
        <v>42954</v>
      </c>
      <c r="AA85" s="952"/>
      <c r="AB85" s="915" t="s">
        <v>1626</v>
      </c>
      <c r="AC85" s="915">
        <v>0</v>
      </c>
      <c r="AD85" s="915">
        <v>0</v>
      </c>
      <c r="AE85" s="915">
        <v>0</v>
      </c>
      <c r="AF85" s="915">
        <v>0</v>
      </c>
      <c r="AG85" s="915">
        <v>0</v>
      </c>
      <c r="AH85" s="915">
        <v>1</v>
      </c>
      <c r="AI85" s="915">
        <v>70195</v>
      </c>
      <c r="AJ85" s="915">
        <v>2010</v>
      </c>
      <c r="AK85" s="915">
        <v>0</v>
      </c>
      <c r="AL85" s="915">
        <v>0</v>
      </c>
      <c r="AO85" s="955"/>
      <c r="AP85" s="955"/>
      <c r="AQ85" s="915" t="str">
        <f t="shared" ref="AQ85:AQ93" si="2">IF(LEFT(U85,2)="VO",U85,"")</f>
        <v/>
      </c>
      <c r="AS85" s="915" t="str">
        <f t="shared" ref="AS85:AS93" si="3">IF(RIGHT(K85,2)="IC",IF(OR(AB85="wci_canada",AB85="wci_can_corp"),"wci_can_Corp","wci_corp"),AB85)</f>
        <v>wci_corp</v>
      </c>
    </row>
    <row r="86" spans="2:45">
      <c r="B86" s="915" t="s">
        <v>2122</v>
      </c>
      <c r="C86" s="952">
        <v>42958</v>
      </c>
      <c r="D86" s="953">
        <v>1951.09</v>
      </c>
      <c r="E86" s="953">
        <v>0</v>
      </c>
      <c r="F86" s="954" t="s">
        <v>1613</v>
      </c>
      <c r="G86" s="915" t="s">
        <v>2345</v>
      </c>
      <c r="H86" s="955" t="s">
        <v>1615</v>
      </c>
      <c r="I86" s="915" t="s">
        <v>1616</v>
      </c>
      <c r="J86" s="915" t="s">
        <v>1617</v>
      </c>
      <c r="K86" s="915" t="s">
        <v>1618</v>
      </c>
      <c r="L86" s="919" t="s">
        <v>2124</v>
      </c>
      <c r="M86" s="919"/>
      <c r="N86" s="919" t="s">
        <v>2125</v>
      </c>
      <c r="O86" s="940">
        <v>42948</v>
      </c>
      <c r="P86" s="919" t="s">
        <v>2346</v>
      </c>
      <c r="Q86" s="919">
        <v>13600</v>
      </c>
      <c r="R86" s="915" t="s">
        <v>2347</v>
      </c>
      <c r="U86" s="915" t="s">
        <v>2348</v>
      </c>
      <c r="V86" s="915" t="s">
        <v>2349</v>
      </c>
      <c r="W86" s="915">
        <v>2000</v>
      </c>
      <c r="X86" s="952">
        <v>42958</v>
      </c>
      <c r="Y86" s="952">
        <v>42963</v>
      </c>
      <c r="Z86" s="915">
        <v>8400</v>
      </c>
      <c r="AA86" s="952">
        <v>43013</v>
      </c>
      <c r="AB86" s="915" t="s">
        <v>1626</v>
      </c>
      <c r="AC86" s="915">
        <v>0</v>
      </c>
      <c r="AD86" s="915">
        <v>0</v>
      </c>
      <c r="AE86" s="915">
        <v>0</v>
      </c>
      <c r="AF86" s="915">
        <v>0</v>
      </c>
      <c r="AG86" s="915">
        <v>0</v>
      </c>
      <c r="AH86" s="915">
        <v>1</v>
      </c>
      <c r="AI86" s="915">
        <v>70195</v>
      </c>
      <c r="AJ86" s="915">
        <v>2010</v>
      </c>
      <c r="AK86" s="915">
        <v>0</v>
      </c>
      <c r="AL86" s="915">
        <v>0</v>
      </c>
      <c r="AO86" s="955"/>
      <c r="AP86" s="955"/>
      <c r="AQ86" s="915" t="str">
        <f t="shared" si="2"/>
        <v>VO04377418</v>
      </c>
      <c r="AS86" s="915" t="str">
        <f t="shared" si="3"/>
        <v>wci_corp</v>
      </c>
    </row>
    <row r="87" spans="2:45">
      <c r="B87" s="915" t="s">
        <v>2122</v>
      </c>
      <c r="C87" s="952">
        <v>42978</v>
      </c>
      <c r="D87" s="953">
        <v>-1951.09</v>
      </c>
      <c r="E87" s="953">
        <v>0</v>
      </c>
      <c r="F87" s="954" t="s">
        <v>1613</v>
      </c>
      <c r="G87" s="915" t="s">
        <v>2350</v>
      </c>
      <c r="H87" s="955" t="s">
        <v>1615</v>
      </c>
      <c r="I87" s="915" t="s">
        <v>2317</v>
      </c>
      <c r="J87" s="915" t="s">
        <v>2018</v>
      </c>
      <c r="K87" s="915" t="s">
        <v>1618</v>
      </c>
      <c r="L87" s="919"/>
      <c r="M87" s="919"/>
      <c r="N87" s="919" t="s">
        <v>2343</v>
      </c>
      <c r="O87" s="940"/>
      <c r="P87" s="919"/>
      <c r="Q87" s="919"/>
      <c r="U87" s="915" t="s">
        <v>2344</v>
      </c>
      <c r="V87" s="915" t="s">
        <v>2351</v>
      </c>
      <c r="X87" s="952">
        <v>42954</v>
      </c>
      <c r="Y87" s="952">
        <v>42954</v>
      </c>
      <c r="AA87" s="952"/>
      <c r="AB87" s="915" t="s">
        <v>1626</v>
      </c>
      <c r="AC87" s="915">
        <v>0</v>
      </c>
      <c r="AD87" s="915">
        <v>0</v>
      </c>
      <c r="AE87" s="915">
        <v>0</v>
      </c>
      <c r="AF87" s="915">
        <v>0</v>
      </c>
      <c r="AG87" s="915">
        <v>5</v>
      </c>
      <c r="AH87" s="915">
        <v>1</v>
      </c>
      <c r="AI87" s="915">
        <v>70195</v>
      </c>
      <c r="AJ87" s="915">
        <v>2010</v>
      </c>
      <c r="AK87" s="915">
        <v>0</v>
      </c>
      <c r="AL87" s="915">
        <v>0</v>
      </c>
      <c r="AO87" s="955"/>
      <c r="AP87" s="955"/>
      <c r="AQ87" s="915" t="str">
        <f t="shared" si="2"/>
        <v/>
      </c>
      <c r="AS87" s="915" t="str">
        <f t="shared" si="3"/>
        <v>wci_corp</v>
      </c>
    </row>
    <row r="88" spans="2:45">
      <c r="B88" s="915" t="s">
        <v>2122</v>
      </c>
      <c r="C88" s="952">
        <v>42978</v>
      </c>
      <c r="D88" s="953">
        <v>75</v>
      </c>
      <c r="E88" s="953">
        <v>0</v>
      </c>
      <c r="F88" s="954" t="s">
        <v>1613</v>
      </c>
      <c r="G88" s="915" t="s">
        <v>2102</v>
      </c>
      <c r="H88" s="955" t="s">
        <v>1615</v>
      </c>
      <c r="I88" s="915" t="s">
        <v>2103</v>
      </c>
      <c r="J88" s="915" t="s">
        <v>2018</v>
      </c>
      <c r="K88" s="915" t="s">
        <v>1618</v>
      </c>
      <c r="L88" s="919"/>
      <c r="M88" s="919"/>
      <c r="N88" s="919" t="s">
        <v>2352</v>
      </c>
      <c r="O88" s="940"/>
      <c r="P88" s="919"/>
      <c r="Q88" s="919"/>
      <c r="U88" s="915" t="s">
        <v>2104</v>
      </c>
      <c r="V88" s="915" t="s">
        <v>2104</v>
      </c>
      <c r="X88" s="952">
        <v>42985</v>
      </c>
      <c r="Y88" s="952">
        <v>42985</v>
      </c>
      <c r="AA88" s="952"/>
      <c r="AB88" s="915" t="s">
        <v>1626</v>
      </c>
      <c r="AC88" s="915">
        <v>0</v>
      </c>
      <c r="AD88" s="915">
        <v>0</v>
      </c>
      <c r="AE88" s="915">
        <v>0</v>
      </c>
      <c r="AF88" s="915">
        <v>0</v>
      </c>
      <c r="AG88" s="915">
        <v>0</v>
      </c>
      <c r="AH88" s="915">
        <v>1</v>
      </c>
      <c r="AI88" s="915">
        <v>70195</v>
      </c>
      <c r="AJ88" s="915">
        <v>2010</v>
      </c>
      <c r="AK88" s="915">
        <v>0</v>
      </c>
      <c r="AL88" s="915">
        <v>0</v>
      </c>
      <c r="AO88" s="955"/>
      <c r="AP88" s="955"/>
      <c r="AQ88" s="915" t="str">
        <f t="shared" si="2"/>
        <v/>
      </c>
      <c r="AS88" s="915" t="str">
        <f t="shared" si="3"/>
        <v>wci_corp</v>
      </c>
    </row>
    <row r="89" spans="2:45">
      <c r="B89" s="915" t="s">
        <v>2122</v>
      </c>
      <c r="C89" s="952">
        <v>42978</v>
      </c>
      <c r="D89" s="953">
        <v>208.33</v>
      </c>
      <c r="E89" s="953">
        <v>0</v>
      </c>
      <c r="F89" s="954" t="s">
        <v>1613</v>
      </c>
      <c r="G89" s="915" t="s">
        <v>1733</v>
      </c>
      <c r="H89" s="955" t="s">
        <v>1615</v>
      </c>
      <c r="I89" s="915" t="s">
        <v>1671</v>
      </c>
      <c r="J89" s="915" t="s">
        <v>1672</v>
      </c>
      <c r="K89" s="915" t="s">
        <v>1630</v>
      </c>
      <c r="L89" s="919"/>
      <c r="M89" s="919"/>
      <c r="N89" s="919" t="s">
        <v>2157</v>
      </c>
      <c r="O89" s="940"/>
      <c r="P89" s="919"/>
      <c r="Q89" s="919"/>
      <c r="U89" s="915" t="s">
        <v>1733</v>
      </c>
      <c r="X89" s="952">
        <v>42985</v>
      </c>
      <c r="Y89" s="952">
        <v>42985</v>
      </c>
      <c r="AA89" s="952"/>
      <c r="AB89" s="915" t="s">
        <v>1626</v>
      </c>
      <c r="AC89" s="915">
        <v>0</v>
      </c>
      <c r="AD89" s="915">
        <v>0</v>
      </c>
      <c r="AE89" s="915">
        <v>0</v>
      </c>
      <c r="AF89" s="915">
        <v>0</v>
      </c>
      <c r="AG89" s="915">
        <v>0</v>
      </c>
      <c r="AH89" s="915">
        <v>1</v>
      </c>
      <c r="AI89" s="915">
        <v>70195</v>
      </c>
      <c r="AJ89" s="915">
        <v>2010</v>
      </c>
      <c r="AK89" s="915">
        <v>0</v>
      </c>
      <c r="AL89" s="915">
        <v>0</v>
      </c>
      <c r="AO89" s="955"/>
      <c r="AP89" s="955"/>
      <c r="AQ89" s="915" t="str">
        <f t="shared" si="2"/>
        <v/>
      </c>
      <c r="AS89" s="915" t="str">
        <f t="shared" si="3"/>
        <v>wci_wa</v>
      </c>
    </row>
    <row r="90" spans="2:45">
      <c r="B90" s="915" t="s">
        <v>2122</v>
      </c>
      <c r="C90" s="952">
        <v>42992</v>
      </c>
      <c r="D90" s="953">
        <v>1951.09</v>
      </c>
      <c r="E90" s="953">
        <v>0</v>
      </c>
      <c r="F90" s="954" t="s">
        <v>1613</v>
      </c>
      <c r="G90" s="915" t="s">
        <v>2353</v>
      </c>
      <c r="H90" s="955" t="s">
        <v>1615</v>
      </c>
      <c r="I90" s="915" t="s">
        <v>1616</v>
      </c>
      <c r="J90" s="915" t="s">
        <v>1617</v>
      </c>
      <c r="K90" s="915" t="s">
        <v>1618</v>
      </c>
      <c r="L90" s="919" t="s">
        <v>2124</v>
      </c>
      <c r="M90" s="919"/>
      <c r="N90" s="919" t="s">
        <v>2125</v>
      </c>
      <c r="O90" s="940">
        <v>42979</v>
      </c>
      <c r="P90" s="919" t="s">
        <v>2346</v>
      </c>
      <c r="Q90" s="919">
        <v>13627</v>
      </c>
      <c r="R90" s="915" t="s">
        <v>2354</v>
      </c>
      <c r="U90" s="915" t="s">
        <v>2355</v>
      </c>
      <c r="V90" s="915" t="s">
        <v>2356</v>
      </c>
      <c r="W90" s="915">
        <v>2000</v>
      </c>
      <c r="X90" s="952">
        <v>42992</v>
      </c>
      <c r="Y90" s="952">
        <v>42992</v>
      </c>
      <c r="Z90" s="915">
        <v>8400</v>
      </c>
      <c r="AA90" s="952">
        <v>43044</v>
      </c>
      <c r="AB90" s="915" t="s">
        <v>1626</v>
      </c>
      <c r="AC90" s="915">
        <v>0</v>
      </c>
      <c r="AD90" s="915">
        <v>0</v>
      </c>
      <c r="AE90" s="915">
        <v>0</v>
      </c>
      <c r="AF90" s="915">
        <v>0</v>
      </c>
      <c r="AG90" s="915">
        <v>0</v>
      </c>
      <c r="AH90" s="915">
        <v>1</v>
      </c>
      <c r="AI90" s="915">
        <v>70195</v>
      </c>
      <c r="AJ90" s="915">
        <v>2010</v>
      </c>
      <c r="AK90" s="915">
        <v>0</v>
      </c>
      <c r="AL90" s="915">
        <v>0</v>
      </c>
      <c r="AO90" s="955"/>
      <c r="AP90" s="955"/>
      <c r="AQ90" s="915" t="str">
        <f t="shared" si="2"/>
        <v>VO04409164</v>
      </c>
      <c r="AS90" s="915" t="str">
        <f t="shared" si="3"/>
        <v>wci_corp</v>
      </c>
    </row>
    <row r="91" spans="2:45">
      <c r="B91" s="915" t="s">
        <v>2122</v>
      </c>
      <c r="C91" s="952">
        <v>43008</v>
      </c>
      <c r="D91" s="953">
        <v>-75</v>
      </c>
      <c r="E91" s="953">
        <v>0</v>
      </c>
      <c r="F91" s="954" t="s">
        <v>1613</v>
      </c>
      <c r="G91" s="915" t="s">
        <v>2108</v>
      </c>
      <c r="H91" s="955" t="s">
        <v>1615</v>
      </c>
      <c r="I91" s="915" t="s">
        <v>2103</v>
      </c>
      <c r="J91" s="915" t="s">
        <v>2018</v>
      </c>
      <c r="K91" s="915" t="s">
        <v>1618</v>
      </c>
      <c r="L91" s="919"/>
      <c r="M91" s="919"/>
      <c r="N91" s="919" t="s">
        <v>2352</v>
      </c>
      <c r="O91" s="940"/>
      <c r="P91" s="919"/>
      <c r="Q91" s="919"/>
      <c r="U91" s="915" t="s">
        <v>2104</v>
      </c>
      <c r="V91" s="915" t="s">
        <v>2109</v>
      </c>
      <c r="X91" s="952">
        <v>42985</v>
      </c>
      <c r="Y91" s="952">
        <v>42985</v>
      </c>
      <c r="AA91" s="952"/>
      <c r="AB91" s="915" t="s">
        <v>1626</v>
      </c>
      <c r="AC91" s="915">
        <v>0</v>
      </c>
      <c r="AD91" s="915">
        <v>0</v>
      </c>
      <c r="AE91" s="915">
        <v>0</v>
      </c>
      <c r="AF91" s="915">
        <v>0</v>
      </c>
      <c r="AG91" s="915">
        <v>5</v>
      </c>
      <c r="AH91" s="915">
        <v>1</v>
      </c>
      <c r="AI91" s="915">
        <v>70195</v>
      </c>
      <c r="AJ91" s="915">
        <v>2010</v>
      </c>
      <c r="AK91" s="915">
        <v>0</v>
      </c>
      <c r="AL91" s="915">
        <v>0</v>
      </c>
      <c r="AO91" s="955"/>
      <c r="AP91" s="955"/>
      <c r="AQ91" s="915" t="str">
        <f t="shared" si="2"/>
        <v/>
      </c>
      <c r="AS91" s="915" t="str">
        <f t="shared" si="3"/>
        <v>wci_corp</v>
      </c>
    </row>
    <row r="92" spans="2:45">
      <c r="B92" s="915" t="s">
        <v>2122</v>
      </c>
      <c r="C92" s="952">
        <v>43008</v>
      </c>
      <c r="D92" s="953">
        <v>1954</v>
      </c>
      <c r="E92" s="953">
        <v>0</v>
      </c>
      <c r="F92" s="954" t="s">
        <v>1613</v>
      </c>
      <c r="G92" s="915" t="s">
        <v>2110</v>
      </c>
      <c r="H92" s="955" t="s">
        <v>1615</v>
      </c>
      <c r="I92" s="915" t="s">
        <v>2111</v>
      </c>
      <c r="J92" s="915" t="s">
        <v>2018</v>
      </c>
      <c r="K92" s="915" t="s">
        <v>1618</v>
      </c>
      <c r="L92" s="919"/>
      <c r="M92" s="919"/>
      <c r="N92" s="919" t="s">
        <v>2357</v>
      </c>
      <c r="O92" s="940"/>
      <c r="P92" s="919"/>
      <c r="Q92" s="919"/>
      <c r="U92" s="915" t="s">
        <v>2112</v>
      </c>
      <c r="V92" s="915" t="s">
        <v>2112</v>
      </c>
      <c r="X92" s="952">
        <v>43011</v>
      </c>
      <c r="Y92" s="952">
        <v>43011</v>
      </c>
      <c r="AA92" s="952"/>
      <c r="AB92" s="915" t="s">
        <v>1626</v>
      </c>
      <c r="AC92" s="915">
        <v>0</v>
      </c>
      <c r="AD92" s="915">
        <v>0</v>
      </c>
      <c r="AE92" s="915">
        <v>0</v>
      </c>
      <c r="AF92" s="915">
        <v>0</v>
      </c>
      <c r="AG92" s="915">
        <v>0</v>
      </c>
      <c r="AH92" s="915">
        <v>1</v>
      </c>
      <c r="AI92" s="915">
        <v>70195</v>
      </c>
      <c r="AJ92" s="915">
        <v>2010</v>
      </c>
      <c r="AK92" s="915">
        <v>0</v>
      </c>
      <c r="AL92" s="915">
        <v>0</v>
      </c>
      <c r="AO92" s="955"/>
      <c r="AP92" s="955"/>
      <c r="AQ92" s="915" t="str">
        <f t="shared" si="2"/>
        <v/>
      </c>
      <c r="AS92" s="915" t="str">
        <f t="shared" si="3"/>
        <v>wci_corp</v>
      </c>
    </row>
    <row r="93" spans="2:45">
      <c r="B93" s="915" t="s">
        <v>2122</v>
      </c>
      <c r="C93" s="952">
        <v>43008</v>
      </c>
      <c r="D93" s="953">
        <v>208.33</v>
      </c>
      <c r="E93" s="953">
        <v>0</v>
      </c>
      <c r="F93" s="954" t="s">
        <v>1613</v>
      </c>
      <c r="G93" s="915" t="s">
        <v>1742</v>
      </c>
      <c r="H93" s="955" t="s">
        <v>1615</v>
      </c>
      <c r="I93" s="915" t="s">
        <v>1671</v>
      </c>
      <c r="J93" s="915" t="s">
        <v>1672</v>
      </c>
      <c r="K93" s="915" t="s">
        <v>1630</v>
      </c>
      <c r="L93" s="919"/>
      <c r="M93" s="919"/>
      <c r="N93" s="919" t="s">
        <v>2157</v>
      </c>
      <c r="O93" s="940"/>
      <c r="P93" s="919"/>
      <c r="Q93" s="919"/>
      <c r="U93" s="915" t="s">
        <v>1742</v>
      </c>
      <c r="X93" s="952">
        <v>43013</v>
      </c>
      <c r="Y93" s="952">
        <v>43013</v>
      </c>
      <c r="AA93" s="952"/>
      <c r="AB93" s="915" t="s">
        <v>1626</v>
      </c>
      <c r="AC93" s="915">
        <v>0</v>
      </c>
      <c r="AD93" s="915">
        <v>0</v>
      </c>
      <c r="AE93" s="915">
        <v>0</v>
      </c>
      <c r="AF93" s="915">
        <v>0</v>
      </c>
      <c r="AG93" s="915">
        <v>0</v>
      </c>
      <c r="AH93" s="915">
        <v>1</v>
      </c>
      <c r="AI93" s="915">
        <v>70195</v>
      </c>
      <c r="AJ93" s="915">
        <v>2010</v>
      </c>
      <c r="AK93" s="915">
        <v>0</v>
      </c>
      <c r="AL93" s="915">
        <v>0</v>
      </c>
      <c r="AO93" s="955"/>
      <c r="AP93" s="955"/>
      <c r="AQ93" s="915" t="str">
        <f t="shared" si="2"/>
        <v/>
      </c>
      <c r="AS93" s="915" t="str">
        <f t="shared" si="3"/>
        <v>wci_wa</v>
      </c>
    </row>
    <row r="94" spans="2:45">
      <c r="C94" s="952"/>
      <c r="D94" s="957"/>
      <c r="E94" s="957"/>
      <c r="F94" s="957"/>
      <c r="H94" s="918"/>
    </row>
    <row r="95" spans="2:45">
      <c r="B95" s="958" t="s">
        <v>1743</v>
      </c>
      <c r="C95" s="958"/>
      <c r="D95" s="959"/>
      <c r="E95" s="959"/>
      <c r="F95" s="959"/>
      <c r="G95" s="958"/>
      <c r="H95" s="960"/>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c r="AL95" s="958"/>
      <c r="AM95" s="958"/>
      <c r="AN95" s="958"/>
      <c r="AO95" s="958"/>
      <c r="AP95" s="961"/>
    </row>
    <row r="96" spans="2:45">
      <c r="H96" s="918"/>
    </row>
    <row r="97" spans="2:8">
      <c r="H97" s="918"/>
    </row>
    <row r="98" spans="2:8">
      <c r="H98" s="918"/>
    </row>
    <row r="104" spans="2:8" ht="15">
      <c r="B104" s="1132" t="s">
        <v>1434</v>
      </c>
      <c r="C104" t="s">
        <v>1744</v>
      </c>
      <c r="D104" s="915" t="s">
        <v>1744</v>
      </c>
    </row>
    <row r="105" spans="2:8" ht="15">
      <c r="B105" s="1133" t="s">
        <v>2308</v>
      </c>
      <c r="C105" s="1134">
        <v>0</v>
      </c>
      <c r="D105" s="626">
        <v>0</v>
      </c>
    </row>
    <row r="106" spans="2:8" ht="15">
      <c r="B106" s="1133" t="s">
        <v>2343</v>
      </c>
      <c r="C106" s="1134">
        <v>0</v>
      </c>
      <c r="D106" s="626">
        <v>0</v>
      </c>
    </row>
    <row r="107" spans="2:8" ht="15">
      <c r="B107" s="1133" t="s">
        <v>2318</v>
      </c>
      <c r="C107" s="1134">
        <v>0</v>
      </c>
      <c r="D107" s="626">
        <v>0</v>
      </c>
    </row>
    <row r="108" spans="2:8" ht="15">
      <c r="B108" s="1133" t="s">
        <v>2157</v>
      </c>
      <c r="C108" s="1134">
        <v>2500.0099999999998</v>
      </c>
      <c r="D108" s="1124">
        <v>2500.0099999999998</v>
      </c>
      <c r="E108" s="916" t="s">
        <v>1745</v>
      </c>
    </row>
    <row r="109" spans="2:8" ht="15">
      <c r="B109" s="1133" t="s">
        <v>2235</v>
      </c>
      <c r="C109" s="1134">
        <v>250</v>
      </c>
      <c r="D109" s="1124">
        <v>250</v>
      </c>
      <c r="E109" s="916" t="s">
        <v>1745</v>
      </c>
    </row>
    <row r="110" spans="2:8" ht="15">
      <c r="B110" s="1133" t="s">
        <v>2192</v>
      </c>
      <c r="C110" s="1134">
        <v>256.7</v>
      </c>
      <c r="D110" s="1124">
        <v>256.7</v>
      </c>
      <c r="E110" s="916" t="s">
        <v>1745</v>
      </c>
    </row>
    <row r="111" spans="2:8" ht="15">
      <c r="B111" s="1133" t="s">
        <v>2341</v>
      </c>
      <c r="C111" s="1134">
        <v>450</v>
      </c>
      <c r="D111" s="1124">
        <v>450</v>
      </c>
      <c r="E111" s="916" t="s">
        <v>1745</v>
      </c>
    </row>
    <row r="112" spans="2:8" ht="15">
      <c r="B112" s="1133" t="s">
        <v>2240</v>
      </c>
      <c r="C112" s="1134">
        <v>605</v>
      </c>
      <c r="D112" s="1124">
        <v>605</v>
      </c>
      <c r="E112" s="916" t="s">
        <v>1745</v>
      </c>
    </row>
    <row r="113" spans="2:5" ht="15">
      <c r="B113" s="1133" t="s">
        <v>2241</v>
      </c>
      <c r="C113" s="1134">
        <v>516</v>
      </c>
      <c r="D113" s="1124">
        <v>516</v>
      </c>
      <c r="E113" s="916" t="s">
        <v>1745</v>
      </c>
    </row>
    <row r="114" spans="2:5" ht="15">
      <c r="B114" s="1133" t="s">
        <v>2228</v>
      </c>
      <c r="C114" s="1134">
        <v>340</v>
      </c>
      <c r="D114" s="1124">
        <v>340</v>
      </c>
      <c r="E114" s="916" t="s">
        <v>1745</v>
      </c>
    </row>
    <row r="115" spans="2:5" ht="15">
      <c r="B115" s="1133" t="s">
        <v>2145</v>
      </c>
      <c r="C115" s="1134">
        <v>170</v>
      </c>
      <c r="D115" s="1124">
        <v>170</v>
      </c>
      <c r="E115" s="916" t="s">
        <v>1745</v>
      </c>
    </row>
    <row r="116" spans="2:5" ht="15">
      <c r="B116" s="1133" t="s">
        <v>2170</v>
      </c>
      <c r="C116" s="1134">
        <v>2400</v>
      </c>
      <c r="D116" s="1124">
        <v>2400</v>
      </c>
      <c r="E116" s="916" t="s">
        <v>1745</v>
      </c>
    </row>
    <row r="117" spans="2:5" ht="15">
      <c r="B117" s="1133" t="s">
        <v>2133</v>
      </c>
      <c r="C117" s="1134">
        <v>35</v>
      </c>
      <c r="D117" s="1124">
        <v>35</v>
      </c>
      <c r="E117" s="916" t="s">
        <v>1745</v>
      </c>
    </row>
    <row r="118" spans="2:5" ht="15">
      <c r="B118" s="1133" t="s">
        <v>305</v>
      </c>
      <c r="C118" s="1134">
        <v>0</v>
      </c>
      <c r="D118" s="626">
        <v>0</v>
      </c>
    </row>
    <row r="119" spans="2:5" ht="15">
      <c r="B119" s="1133" t="s">
        <v>2152</v>
      </c>
      <c r="C119" s="1134">
        <v>-5</v>
      </c>
      <c r="D119" s="1124">
        <v>-5</v>
      </c>
      <c r="E119" s="916" t="s">
        <v>1745</v>
      </c>
    </row>
    <row r="120" spans="2:5" ht="15">
      <c r="B120" s="1133" t="s">
        <v>2180</v>
      </c>
      <c r="C120" s="1134">
        <v>1916</v>
      </c>
      <c r="D120" s="1124">
        <v>1916</v>
      </c>
      <c r="E120" s="916" t="s">
        <v>1745</v>
      </c>
    </row>
    <row r="121" spans="2:5" ht="15">
      <c r="B121" s="1133" t="s">
        <v>2357</v>
      </c>
      <c r="C121" s="1134">
        <v>1954</v>
      </c>
      <c r="D121" s="1124">
        <v>1954</v>
      </c>
      <c r="E121" s="916" t="s">
        <v>1745</v>
      </c>
    </row>
    <row r="122" spans="2:5" ht="15">
      <c r="B122" s="1133" t="s">
        <v>2245</v>
      </c>
      <c r="C122" s="1134">
        <v>0</v>
      </c>
      <c r="D122" s="626">
        <v>0</v>
      </c>
    </row>
    <row r="123" spans="2:5" ht="15">
      <c r="B123" s="1133" t="s">
        <v>2199</v>
      </c>
      <c r="C123" s="1134">
        <v>175.74</v>
      </c>
      <c r="D123" s="1124">
        <v>175.74</v>
      </c>
      <c r="E123" s="916" t="s">
        <v>1745</v>
      </c>
    </row>
    <row r="124" spans="2:5" ht="15">
      <c r="B124" s="1133" t="s">
        <v>2242</v>
      </c>
      <c r="C124" s="1134">
        <v>279</v>
      </c>
      <c r="D124" s="1124">
        <v>279</v>
      </c>
      <c r="E124" s="916" t="s">
        <v>1745</v>
      </c>
    </row>
    <row r="125" spans="2:5" ht="15">
      <c r="B125" s="1133" t="s">
        <v>2352</v>
      </c>
      <c r="C125" s="1134">
        <v>0</v>
      </c>
      <c r="D125" s="626">
        <v>0</v>
      </c>
    </row>
    <row r="126" spans="2:5" ht="15">
      <c r="B126" s="1133" t="s">
        <v>2155</v>
      </c>
      <c r="C126" s="1134">
        <v>-1916</v>
      </c>
      <c r="D126" s="626">
        <v>-1916</v>
      </c>
      <c r="E126" s="916" t="s">
        <v>1745</v>
      </c>
    </row>
    <row r="127" spans="2:5" ht="15">
      <c r="B127" s="1133" t="s">
        <v>2160</v>
      </c>
      <c r="C127" s="1134">
        <v>0</v>
      </c>
      <c r="D127" s="626">
        <v>0</v>
      </c>
    </row>
    <row r="128" spans="2:5" ht="15">
      <c r="B128" s="1133" t="s">
        <v>2163</v>
      </c>
      <c r="C128" s="1134">
        <v>1000</v>
      </c>
      <c r="D128" s="1124">
        <v>1000</v>
      </c>
      <c r="E128" s="916" t="s">
        <v>1745</v>
      </c>
    </row>
    <row r="129" spans="2:5" ht="15">
      <c r="B129" s="1133" t="s">
        <v>2315</v>
      </c>
      <c r="C129" s="1134">
        <v>300</v>
      </c>
      <c r="D129" s="626">
        <v>300</v>
      </c>
    </row>
    <row r="130" spans="2:5" ht="15">
      <c r="B130" s="1133" t="s">
        <v>2182</v>
      </c>
      <c r="C130" s="1134">
        <v>395</v>
      </c>
      <c r="D130" s="1124">
        <v>395</v>
      </c>
      <c r="E130" s="916" t="s">
        <v>1745</v>
      </c>
    </row>
    <row r="131" spans="2:5" ht="15">
      <c r="B131" s="1133" t="s">
        <v>2314</v>
      </c>
      <c r="C131" s="1134">
        <v>62</v>
      </c>
      <c r="D131" s="626">
        <v>62</v>
      </c>
    </row>
    <row r="132" spans="2:5" ht="15">
      <c r="B132" s="1133" t="s">
        <v>1993</v>
      </c>
      <c r="C132" s="1134">
        <v>414</v>
      </c>
      <c r="D132" s="626">
        <v>414</v>
      </c>
    </row>
    <row r="133" spans="2:5" ht="15">
      <c r="B133" s="1133" t="s">
        <v>2217</v>
      </c>
      <c r="C133" s="1134">
        <v>600</v>
      </c>
      <c r="D133" s="1124">
        <v>600</v>
      </c>
      <c r="E133" s="916" t="s">
        <v>1745</v>
      </c>
    </row>
    <row r="134" spans="2:5" ht="15">
      <c r="B134" s="1133" t="s">
        <v>2125</v>
      </c>
      <c r="C134" s="1134">
        <v>22682.66</v>
      </c>
      <c r="D134" s="626">
        <v>22682.66</v>
      </c>
    </row>
    <row r="135" spans="2:5" ht="15">
      <c r="B135" s="1133" t="s">
        <v>343</v>
      </c>
      <c r="C135" s="1134">
        <v>35380.11</v>
      </c>
      <c r="D135" s="1125">
        <f>SUM(D105:D134)</f>
        <v>35380.11</v>
      </c>
    </row>
    <row r="138" spans="2:5">
      <c r="C138" s="929" t="s">
        <v>347</v>
      </c>
      <c r="D138" s="963">
        <f>SUM(D108:D128,D130,D133)</f>
        <v>11921.449999999999</v>
      </c>
    </row>
    <row r="139" spans="2:5">
      <c r="C139" s="929" t="s">
        <v>2358</v>
      </c>
      <c r="D139" s="1126">
        <f>D134*0.15</f>
        <v>3402.3989999999999</v>
      </c>
    </row>
    <row r="140" spans="2:5">
      <c r="D140" s="1111">
        <f>SUM(D138:D139)</f>
        <v>15323.848999999998</v>
      </c>
    </row>
  </sheetData>
  <dataValidations disablePrompts="1" count="1">
    <dataValidation type="list" allowBlank="1" showInputMessage="1" showErrorMessage="1" sqref="P15">
      <formula1>"All,Posted/Unposted,Posted,Unposted,Staged"</formula1>
    </dataValidation>
  </dataValidations>
  <pageMargins left="0.27" right="0.28999999999999998" top="0.37" bottom="0.43" header="0.25" footer="0.25"/>
  <pageSetup scale="38" fitToHeight="0" orientation="landscape" r:id="rId2"/>
  <headerFooter alignWithMargins="0">
    <oddHeader>&amp;L&amp;8 &amp;R&amp;8 &amp;D-&amp;T-Jeff Honsowetz</oddHeader>
    <oddFooter xml:space="preserve">&amp;L&amp;8&amp;F - &amp;A
&amp;R&amp;8Page &amp;P of &amp;N
</oddFooter>
  </headerFooter>
  <rowBreaks count="1" manualBreakCount="1">
    <brk id="100" max="14" man="1"/>
  </rowBreaks>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B343"/>
  <sheetViews>
    <sheetView showGridLines="0" view="pageBreakPreview" topLeftCell="A256" zoomScale="110" zoomScaleNormal="100" zoomScaleSheetLayoutView="110" workbookViewId="0">
      <selection activeCell="AI26" sqref="AI26"/>
    </sheetView>
  </sheetViews>
  <sheetFormatPr defaultRowHeight="12" outlineLevelCol="1"/>
  <cols>
    <col min="1" max="1" width="6.28515625" style="836" customWidth="1"/>
    <col min="2" max="2" width="28.140625" style="799" bestFit="1" customWidth="1"/>
    <col min="3" max="3" width="14.28515625" style="795" customWidth="1"/>
    <col min="4" max="5" width="14.28515625" style="796" customWidth="1"/>
    <col min="6" max="6" width="9.5703125" style="797" bestFit="1" customWidth="1" outlineLevel="1"/>
    <col min="7" max="7" width="11.85546875" style="796" bestFit="1" customWidth="1"/>
    <col min="8" max="8" width="14.28515625" style="796" customWidth="1"/>
    <col min="9" max="9" width="4.42578125" style="796" bestFit="1" customWidth="1"/>
    <col min="10" max="10" width="10.7109375" style="798" bestFit="1" customWidth="1"/>
    <col min="11" max="11" width="14.28515625" style="798" customWidth="1"/>
    <col min="12" max="12" width="15" style="799" customWidth="1" outlineLevel="1"/>
    <col min="13" max="13" width="4.42578125" style="799" bestFit="1" customWidth="1"/>
    <col min="14" max="14" width="12.140625" style="799" bestFit="1" customWidth="1"/>
    <col min="15" max="232" width="9.140625" style="799"/>
    <col min="233" max="233" width="6.28515625" style="799" customWidth="1"/>
    <col min="234" max="234" width="20.7109375" style="799" customWidth="1"/>
    <col min="235" max="235" width="10" style="799" customWidth="1"/>
    <col min="236" max="236" width="1" style="799" customWidth="1"/>
    <col min="237" max="237" width="10" style="799" customWidth="1"/>
    <col min="238" max="238" width="1.28515625" style="799" customWidth="1"/>
    <col min="239" max="239" width="9.7109375" style="799" customWidth="1"/>
    <col min="240" max="240" width="1.140625" style="799" customWidth="1"/>
    <col min="241" max="241" width="12.5703125" style="799" customWidth="1"/>
    <col min="242" max="242" width="4.7109375" style="799" customWidth="1"/>
    <col min="243" max="243" width="10.7109375" style="799" customWidth="1"/>
    <col min="244" max="244" width="4.5703125" style="799" customWidth="1"/>
    <col min="245" max="245" width="12.28515625" style="799" customWidth="1"/>
    <col min="246" max="246" width="1.42578125" style="799" customWidth="1"/>
    <col min="247" max="247" width="14.140625" style="799" customWidth="1"/>
    <col min="248" max="248" width="13.7109375" style="799" customWidth="1"/>
    <col min="249" max="249" width="8" style="799" customWidth="1"/>
    <col min="250" max="250" width="1.42578125" style="799" customWidth="1"/>
    <col min="251" max="251" width="11.28515625" style="799" customWidth="1"/>
    <col min="252" max="252" width="12.85546875" style="799" customWidth="1"/>
    <col min="253" max="253" width="10.5703125" style="799" customWidth="1"/>
    <col min="254" max="254" width="12" style="799" customWidth="1"/>
    <col min="255" max="255" width="11.140625" style="799" customWidth="1"/>
    <col min="256" max="256" width="9.28515625" style="799" customWidth="1"/>
    <col min="257" max="257" width="1.42578125" style="799" customWidth="1"/>
    <col min="258" max="258" width="17.28515625" style="799" customWidth="1"/>
    <col min="259" max="259" width="11.140625" style="799" customWidth="1"/>
    <col min="260" max="260" width="12.42578125" style="799" customWidth="1"/>
    <col min="261" max="262" width="11.28515625" style="799" customWidth="1"/>
    <col min="263" max="263" width="10.5703125" style="799" customWidth="1"/>
    <col min="264" max="264" width="16.42578125" style="799" customWidth="1"/>
    <col min="265" max="265" width="12.140625" style="799" customWidth="1"/>
    <col min="266" max="266" width="10.85546875" style="799" customWidth="1"/>
    <col min="267" max="267" width="11.7109375" style="799" customWidth="1"/>
    <col min="268" max="488" width="9.140625" style="799"/>
    <col min="489" max="489" width="6.28515625" style="799" customWidth="1"/>
    <col min="490" max="490" width="20.7109375" style="799" customWidth="1"/>
    <col min="491" max="491" width="10" style="799" customWidth="1"/>
    <col min="492" max="492" width="1" style="799" customWidth="1"/>
    <col min="493" max="493" width="10" style="799" customWidth="1"/>
    <col min="494" max="494" width="1.28515625" style="799" customWidth="1"/>
    <col min="495" max="495" width="9.7109375" style="799" customWidth="1"/>
    <col min="496" max="496" width="1.140625" style="799" customWidth="1"/>
    <col min="497" max="497" width="12.5703125" style="799" customWidth="1"/>
    <col min="498" max="498" width="4.7109375" style="799" customWidth="1"/>
    <col min="499" max="499" width="10.7109375" style="799" customWidth="1"/>
    <col min="500" max="500" width="4.5703125" style="799" customWidth="1"/>
    <col min="501" max="501" width="12.28515625" style="799" customWidth="1"/>
    <col min="502" max="502" width="1.42578125" style="799" customWidth="1"/>
    <col min="503" max="503" width="14.140625" style="799" customWidth="1"/>
    <col min="504" max="504" width="13.7109375" style="799" customWidth="1"/>
    <col min="505" max="505" width="8" style="799" customWidth="1"/>
    <col min="506" max="506" width="1.42578125" style="799" customWidth="1"/>
    <col min="507" max="507" width="11.28515625" style="799" customWidth="1"/>
    <col min="508" max="508" width="12.85546875" style="799" customWidth="1"/>
    <col min="509" max="509" width="10.5703125" style="799" customWidth="1"/>
    <col min="510" max="510" width="12" style="799" customWidth="1"/>
    <col min="511" max="511" width="11.140625" style="799" customWidth="1"/>
    <col min="512" max="512" width="9.28515625" style="799" customWidth="1"/>
    <col min="513" max="513" width="1.42578125" style="799" customWidth="1"/>
    <col min="514" max="514" width="17.28515625" style="799" customWidth="1"/>
    <col min="515" max="515" width="11.140625" style="799" customWidth="1"/>
    <col min="516" max="516" width="12.42578125" style="799" customWidth="1"/>
    <col min="517" max="518" width="11.28515625" style="799" customWidth="1"/>
    <col min="519" max="519" width="10.5703125" style="799" customWidth="1"/>
    <col min="520" max="520" width="16.42578125" style="799" customWidth="1"/>
    <col min="521" max="521" width="12.140625" style="799" customWidth="1"/>
    <col min="522" max="522" width="10.85546875" style="799" customWidth="1"/>
    <col min="523" max="523" width="11.7109375" style="799" customWidth="1"/>
    <col min="524" max="744" width="9.140625" style="799"/>
    <col min="745" max="745" width="6.28515625" style="799" customWidth="1"/>
    <col min="746" max="746" width="20.7109375" style="799" customWidth="1"/>
    <col min="747" max="747" width="10" style="799" customWidth="1"/>
    <col min="748" max="748" width="1" style="799" customWidth="1"/>
    <col min="749" max="749" width="10" style="799" customWidth="1"/>
    <col min="750" max="750" width="1.28515625" style="799" customWidth="1"/>
    <col min="751" max="751" width="9.7109375" style="799" customWidth="1"/>
    <col min="752" max="752" width="1.140625" style="799" customWidth="1"/>
    <col min="753" max="753" width="12.5703125" style="799" customWidth="1"/>
    <col min="754" max="754" width="4.7109375" style="799" customWidth="1"/>
    <col min="755" max="755" width="10.7109375" style="799" customWidth="1"/>
    <col min="756" max="756" width="4.5703125" style="799" customWidth="1"/>
    <col min="757" max="757" width="12.28515625" style="799" customWidth="1"/>
    <col min="758" max="758" width="1.42578125" style="799" customWidth="1"/>
    <col min="759" max="759" width="14.140625" style="799" customWidth="1"/>
    <col min="760" max="760" width="13.7109375" style="799" customWidth="1"/>
    <col min="761" max="761" width="8" style="799" customWidth="1"/>
    <col min="762" max="762" width="1.42578125" style="799" customWidth="1"/>
    <col min="763" max="763" width="11.28515625" style="799" customWidth="1"/>
    <col min="764" max="764" width="12.85546875" style="799" customWidth="1"/>
    <col min="765" max="765" width="10.5703125" style="799" customWidth="1"/>
    <col min="766" max="766" width="12" style="799" customWidth="1"/>
    <col min="767" max="767" width="11.140625" style="799" customWidth="1"/>
    <col min="768" max="768" width="9.28515625" style="799" customWidth="1"/>
    <col min="769" max="769" width="1.42578125" style="799" customWidth="1"/>
    <col min="770" max="770" width="17.28515625" style="799" customWidth="1"/>
    <col min="771" max="771" width="11.140625" style="799" customWidth="1"/>
    <col min="772" max="772" width="12.42578125" style="799" customWidth="1"/>
    <col min="773" max="774" width="11.28515625" style="799" customWidth="1"/>
    <col min="775" max="775" width="10.5703125" style="799" customWidth="1"/>
    <col min="776" max="776" width="16.42578125" style="799" customWidth="1"/>
    <col min="777" max="777" width="12.140625" style="799" customWidth="1"/>
    <col min="778" max="778" width="10.85546875" style="799" customWidth="1"/>
    <col min="779" max="779" width="11.7109375" style="799" customWidth="1"/>
    <col min="780" max="1000" width="9.140625" style="799"/>
    <col min="1001" max="1001" width="6.28515625" style="799" customWidth="1"/>
    <col min="1002" max="1002" width="20.7109375" style="799" customWidth="1"/>
    <col min="1003" max="1003" width="10" style="799" customWidth="1"/>
    <col min="1004" max="1004" width="1" style="799" customWidth="1"/>
    <col min="1005" max="1005" width="10" style="799" customWidth="1"/>
    <col min="1006" max="1006" width="1.28515625" style="799" customWidth="1"/>
    <col min="1007" max="1007" width="9.7109375" style="799" customWidth="1"/>
    <col min="1008" max="1008" width="1.140625" style="799" customWidth="1"/>
    <col min="1009" max="1009" width="12.5703125" style="799" customWidth="1"/>
    <col min="1010" max="1010" width="4.7109375" style="799" customWidth="1"/>
    <col min="1011" max="1011" width="10.7109375" style="799" customWidth="1"/>
    <col min="1012" max="1012" width="4.5703125" style="799" customWidth="1"/>
    <col min="1013" max="1013" width="12.28515625" style="799" customWidth="1"/>
    <col min="1014" max="1014" width="1.42578125" style="799" customWidth="1"/>
    <col min="1015" max="1015" width="14.140625" style="799" customWidth="1"/>
    <col min="1016" max="1016" width="13.7109375" style="799" customWidth="1"/>
    <col min="1017" max="1017" width="8" style="799" customWidth="1"/>
    <col min="1018" max="1018" width="1.42578125" style="799" customWidth="1"/>
    <col min="1019" max="1019" width="11.28515625" style="799" customWidth="1"/>
    <col min="1020" max="1020" width="12.85546875" style="799" customWidth="1"/>
    <col min="1021" max="1021" width="10.5703125" style="799" customWidth="1"/>
    <col min="1022" max="1022" width="12" style="799" customWidth="1"/>
    <col min="1023" max="1023" width="11.140625" style="799" customWidth="1"/>
    <col min="1024" max="1024" width="9.28515625" style="799" customWidth="1"/>
    <col min="1025" max="1025" width="1.42578125" style="799" customWidth="1"/>
    <col min="1026" max="1026" width="17.28515625" style="799" customWidth="1"/>
    <col min="1027" max="1027" width="11.140625" style="799" customWidth="1"/>
    <col min="1028" max="1028" width="12.42578125" style="799" customWidth="1"/>
    <col min="1029" max="1030" width="11.28515625" style="799" customWidth="1"/>
    <col min="1031" max="1031" width="10.5703125" style="799" customWidth="1"/>
    <col min="1032" max="1032" width="16.42578125" style="799" customWidth="1"/>
    <col min="1033" max="1033" width="12.140625" style="799" customWidth="1"/>
    <col min="1034" max="1034" width="10.85546875" style="799" customWidth="1"/>
    <col min="1035" max="1035" width="11.7109375" style="799" customWidth="1"/>
    <col min="1036" max="1256" width="9.140625" style="799"/>
    <col min="1257" max="1257" width="6.28515625" style="799" customWidth="1"/>
    <col min="1258" max="1258" width="20.7109375" style="799" customWidth="1"/>
    <col min="1259" max="1259" width="10" style="799" customWidth="1"/>
    <col min="1260" max="1260" width="1" style="799" customWidth="1"/>
    <col min="1261" max="1261" width="10" style="799" customWidth="1"/>
    <col min="1262" max="1262" width="1.28515625" style="799" customWidth="1"/>
    <col min="1263" max="1263" width="9.7109375" style="799" customWidth="1"/>
    <col min="1264" max="1264" width="1.140625" style="799" customWidth="1"/>
    <col min="1265" max="1265" width="12.5703125" style="799" customWidth="1"/>
    <col min="1266" max="1266" width="4.7109375" style="799" customWidth="1"/>
    <col min="1267" max="1267" width="10.7109375" style="799" customWidth="1"/>
    <col min="1268" max="1268" width="4.5703125" style="799" customWidth="1"/>
    <col min="1269" max="1269" width="12.28515625" style="799" customWidth="1"/>
    <col min="1270" max="1270" width="1.42578125" style="799" customWidth="1"/>
    <col min="1271" max="1271" width="14.140625" style="799" customWidth="1"/>
    <col min="1272" max="1272" width="13.7109375" style="799" customWidth="1"/>
    <col min="1273" max="1273" width="8" style="799" customWidth="1"/>
    <col min="1274" max="1274" width="1.42578125" style="799" customWidth="1"/>
    <col min="1275" max="1275" width="11.28515625" style="799" customWidth="1"/>
    <col min="1276" max="1276" width="12.85546875" style="799" customWidth="1"/>
    <col min="1277" max="1277" width="10.5703125" style="799" customWidth="1"/>
    <col min="1278" max="1278" width="12" style="799" customWidth="1"/>
    <col min="1279" max="1279" width="11.140625" style="799" customWidth="1"/>
    <col min="1280" max="1280" width="9.28515625" style="799" customWidth="1"/>
    <col min="1281" max="1281" width="1.42578125" style="799" customWidth="1"/>
    <col min="1282" max="1282" width="17.28515625" style="799" customWidth="1"/>
    <col min="1283" max="1283" width="11.140625" style="799" customWidth="1"/>
    <col min="1284" max="1284" width="12.42578125" style="799" customWidth="1"/>
    <col min="1285" max="1286" width="11.28515625" style="799" customWidth="1"/>
    <col min="1287" max="1287" width="10.5703125" style="799" customWidth="1"/>
    <col min="1288" max="1288" width="16.42578125" style="799" customWidth="1"/>
    <col min="1289" max="1289" width="12.140625" style="799" customWidth="1"/>
    <col min="1290" max="1290" width="10.85546875" style="799" customWidth="1"/>
    <col min="1291" max="1291" width="11.7109375" style="799" customWidth="1"/>
    <col min="1292" max="1512" width="9.140625" style="799"/>
    <col min="1513" max="1513" width="6.28515625" style="799" customWidth="1"/>
    <col min="1514" max="1514" width="20.7109375" style="799" customWidth="1"/>
    <col min="1515" max="1515" width="10" style="799" customWidth="1"/>
    <col min="1516" max="1516" width="1" style="799" customWidth="1"/>
    <col min="1517" max="1517" width="10" style="799" customWidth="1"/>
    <col min="1518" max="1518" width="1.28515625" style="799" customWidth="1"/>
    <col min="1519" max="1519" width="9.7109375" style="799" customWidth="1"/>
    <col min="1520" max="1520" width="1.140625" style="799" customWidth="1"/>
    <col min="1521" max="1521" width="12.5703125" style="799" customWidth="1"/>
    <col min="1522" max="1522" width="4.7109375" style="799" customWidth="1"/>
    <col min="1523" max="1523" width="10.7109375" style="799" customWidth="1"/>
    <col min="1524" max="1524" width="4.5703125" style="799" customWidth="1"/>
    <col min="1525" max="1525" width="12.28515625" style="799" customWidth="1"/>
    <col min="1526" max="1526" width="1.42578125" style="799" customWidth="1"/>
    <col min="1527" max="1527" width="14.140625" style="799" customWidth="1"/>
    <col min="1528" max="1528" width="13.7109375" style="799" customWidth="1"/>
    <col min="1529" max="1529" width="8" style="799" customWidth="1"/>
    <col min="1530" max="1530" width="1.42578125" style="799" customWidth="1"/>
    <col min="1531" max="1531" width="11.28515625" style="799" customWidth="1"/>
    <col min="1532" max="1532" width="12.85546875" style="799" customWidth="1"/>
    <col min="1533" max="1533" width="10.5703125" style="799" customWidth="1"/>
    <col min="1534" max="1534" width="12" style="799" customWidth="1"/>
    <col min="1535" max="1535" width="11.140625" style="799" customWidth="1"/>
    <col min="1536" max="1536" width="9.28515625" style="799" customWidth="1"/>
    <col min="1537" max="1537" width="1.42578125" style="799" customWidth="1"/>
    <col min="1538" max="1538" width="17.28515625" style="799" customWidth="1"/>
    <col min="1539" max="1539" width="11.140625" style="799" customWidth="1"/>
    <col min="1540" max="1540" width="12.42578125" style="799" customWidth="1"/>
    <col min="1541" max="1542" width="11.28515625" style="799" customWidth="1"/>
    <col min="1543" max="1543" width="10.5703125" style="799" customWidth="1"/>
    <col min="1544" max="1544" width="16.42578125" style="799" customWidth="1"/>
    <col min="1545" max="1545" width="12.140625" style="799" customWidth="1"/>
    <col min="1546" max="1546" width="10.85546875" style="799" customWidth="1"/>
    <col min="1547" max="1547" width="11.7109375" style="799" customWidth="1"/>
    <col min="1548" max="1768" width="9.140625" style="799"/>
    <col min="1769" max="1769" width="6.28515625" style="799" customWidth="1"/>
    <col min="1770" max="1770" width="20.7109375" style="799" customWidth="1"/>
    <col min="1771" max="1771" width="10" style="799" customWidth="1"/>
    <col min="1772" max="1772" width="1" style="799" customWidth="1"/>
    <col min="1773" max="1773" width="10" style="799" customWidth="1"/>
    <col min="1774" max="1774" width="1.28515625" style="799" customWidth="1"/>
    <col min="1775" max="1775" width="9.7109375" style="799" customWidth="1"/>
    <col min="1776" max="1776" width="1.140625" style="799" customWidth="1"/>
    <col min="1777" max="1777" width="12.5703125" style="799" customWidth="1"/>
    <col min="1778" max="1778" width="4.7109375" style="799" customWidth="1"/>
    <col min="1779" max="1779" width="10.7109375" style="799" customWidth="1"/>
    <col min="1780" max="1780" width="4.5703125" style="799" customWidth="1"/>
    <col min="1781" max="1781" width="12.28515625" style="799" customWidth="1"/>
    <col min="1782" max="1782" width="1.42578125" style="799" customWidth="1"/>
    <col min="1783" max="1783" width="14.140625" style="799" customWidth="1"/>
    <col min="1784" max="1784" width="13.7109375" style="799" customWidth="1"/>
    <col min="1785" max="1785" width="8" style="799" customWidth="1"/>
    <col min="1786" max="1786" width="1.42578125" style="799" customWidth="1"/>
    <col min="1787" max="1787" width="11.28515625" style="799" customWidth="1"/>
    <col min="1788" max="1788" width="12.85546875" style="799" customWidth="1"/>
    <col min="1789" max="1789" width="10.5703125" style="799" customWidth="1"/>
    <col min="1790" max="1790" width="12" style="799" customWidth="1"/>
    <col min="1791" max="1791" width="11.140625" style="799" customWidth="1"/>
    <col min="1792" max="1792" width="9.28515625" style="799" customWidth="1"/>
    <col min="1793" max="1793" width="1.42578125" style="799" customWidth="1"/>
    <col min="1794" max="1794" width="17.28515625" style="799" customWidth="1"/>
    <col min="1795" max="1795" width="11.140625" style="799" customWidth="1"/>
    <col min="1796" max="1796" width="12.42578125" style="799" customWidth="1"/>
    <col min="1797" max="1798" width="11.28515625" style="799" customWidth="1"/>
    <col min="1799" max="1799" width="10.5703125" style="799" customWidth="1"/>
    <col min="1800" max="1800" width="16.42578125" style="799" customWidth="1"/>
    <col min="1801" max="1801" width="12.140625" style="799" customWidth="1"/>
    <col min="1802" max="1802" width="10.85546875" style="799" customWidth="1"/>
    <col min="1803" max="1803" width="11.7109375" style="799" customWidth="1"/>
    <col min="1804" max="2024" width="9.140625" style="799"/>
    <col min="2025" max="2025" width="6.28515625" style="799" customWidth="1"/>
    <col min="2026" max="2026" width="20.7109375" style="799" customWidth="1"/>
    <col min="2027" max="2027" width="10" style="799" customWidth="1"/>
    <col min="2028" max="2028" width="1" style="799" customWidth="1"/>
    <col min="2029" max="2029" width="10" style="799" customWidth="1"/>
    <col min="2030" max="2030" width="1.28515625" style="799" customWidth="1"/>
    <col min="2031" max="2031" width="9.7109375" style="799" customWidth="1"/>
    <col min="2032" max="2032" width="1.140625" style="799" customWidth="1"/>
    <col min="2033" max="2033" width="12.5703125" style="799" customWidth="1"/>
    <col min="2034" max="2034" width="4.7109375" style="799" customWidth="1"/>
    <col min="2035" max="2035" width="10.7109375" style="799" customWidth="1"/>
    <col min="2036" max="2036" width="4.5703125" style="799" customWidth="1"/>
    <col min="2037" max="2037" width="12.28515625" style="799" customWidth="1"/>
    <col min="2038" max="2038" width="1.42578125" style="799" customWidth="1"/>
    <col min="2039" max="2039" width="14.140625" style="799" customWidth="1"/>
    <col min="2040" max="2040" width="13.7109375" style="799" customWidth="1"/>
    <col min="2041" max="2041" width="8" style="799" customWidth="1"/>
    <col min="2042" max="2042" width="1.42578125" style="799" customWidth="1"/>
    <col min="2043" max="2043" width="11.28515625" style="799" customWidth="1"/>
    <col min="2044" max="2044" width="12.85546875" style="799" customWidth="1"/>
    <col min="2045" max="2045" width="10.5703125" style="799" customWidth="1"/>
    <col min="2046" max="2046" width="12" style="799" customWidth="1"/>
    <col min="2047" max="2047" width="11.140625" style="799" customWidth="1"/>
    <col min="2048" max="2048" width="9.28515625" style="799" customWidth="1"/>
    <col min="2049" max="2049" width="1.42578125" style="799" customWidth="1"/>
    <col min="2050" max="2050" width="17.28515625" style="799" customWidth="1"/>
    <col min="2051" max="2051" width="11.140625" style="799" customWidth="1"/>
    <col min="2052" max="2052" width="12.42578125" style="799" customWidth="1"/>
    <col min="2053" max="2054" width="11.28515625" style="799" customWidth="1"/>
    <col min="2055" max="2055" width="10.5703125" style="799" customWidth="1"/>
    <col min="2056" max="2056" width="16.42578125" style="799" customWidth="1"/>
    <col min="2057" max="2057" width="12.140625" style="799" customWidth="1"/>
    <col min="2058" max="2058" width="10.85546875" style="799" customWidth="1"/>
    <col min="2059" max="2059" width="11.7109375" style="799" customWidth="1"/>
    <col min="2060" max="2280" width="9.140625" style="799"/>
    <col min="2281" max="2281" width="6.28515625" style="799" customWidth="1"/>
    <col min="2282" max="2282" width="20.7109375" style="799" customWidth="1"/>
    <col min="2283" max="2283" width="10" style="799" customWidth="1"/>
    <col min="2284" max="2284" width="1" style="799" customWidth="1"/>
    <col min="2285" max="2285" width="10" style="799" customWidth="1"/>
    <col min="2286" max="2286" width="1.28515625" style="799" customWidth="1"/>
    <col min="2287" max="2287" width="9.7109375" style="799" customWidth="1"/>
    <col min="2288" max="2288" width="1.140625" style="799" customWidth="1"/>
    <col min="2289" max="2289" width="12.5703125" style="799" customWidth="1"/>
    <col min="2290" max="2290" width="4.7109375" style="799" customWidth="1"/>
    <col min="2291" max="2291" width="10.7109375" style="799" customWidth="1"/>
    <col min="2292" max="2292" width="4.5703125" style="799" customWidth="1"/>
    <col min="2293" max="2293" width="12.28515625" style="799" customWidth="1"/>
    <col min="2294" max="2294" width="1.42578125" style="799" customWidth="1"/>
    <col min="2295" max="2295" width="14.140625" style="799" customWidth="1"/>
    <col min="2296" max="2296" width="13.7109375" style="799" customWidth="1"/>
    <col min="2297" max="2297" width="8" style="799" customWidth="1"/>
    <col min="2298" max="2298" width="1.42578125" style="799" customWidth="1"/>
    <col min="2299" max="2299" width="11.28515625" style="799" customWidth="1"/>
    <col min="2300" max="2300" width="12.85546875" style="799" customWidth="1"/>
    <col min="2301" max="2301" width="10.5703125" style="799" customWidth="1"/>
    <col min="2302" max="2302" width="12" style="799" customWidth="1"/>
    <col min="2303" max="2303" width="11.140625" style="799" customWidth="1"/>
    <col min="2304" max="2304" width="9.28515625" style="799" customWidth="1"/>
    <col min="2305" max="2305" width="1.42578125" style="799" customWidth="1"/>
    <col min="2306" max="2306" width="17.28515625" style="799" customWidth="1"/>
    <col min="2307" max="2307" width="11.140625" style="799" customWidth="1"/>
    <col min="2308" max="2308" width="12.42578125" style="799" customWidth="1"/>
    <col min="2309" max="2310" width="11.28515625" style="799" customWidth="1"/>
    <col min="2311" max="2311" width="10.5703125" style="799" customWidth="1"/>
    <col min="2312" max="2312" width="16.42578125" style="799" customWidth="1"/>
    <col min="2313" max="2313" width="12.140625" style="799" customWidth="1"/>
    <col min="2314" max="2314" width="10.85546875" style="799" customWidth="1"/>
    <col min="2315" max="2315" width="11.7109375" style="799" customWidth="1"/>
    <col min="2316" max="2536" width="9.140625" style="799"/>
    <col min="2537" max="2537" width="6.28515625" style="799" customWidth="1"/>
    <col min="2538" max="2538" width="20.7109375" style="799" customWidth="1"/>
    <col min="2539" max="2539" width="10" style="799" customWidth="1"/>
    <col min="2540" max="2540" width="1" style="799" customWidth="1"/>
    <col min="2541" max="2541" width="10" style="799" customWidth="1"/>
    <col min="2542" max="2542" width="1.28515625" style="799" customWidth="1"/>
    <col min="2543" max="2543" width="9.7109375" style="799" customWidth="1"/>
    <col min="2544" max="2544" width="1.140625" style="799" customWidth="1"/>
    <col min="2545" max="2545" width="12.5703125" style="799" customWidth="1"/>
    <col min="2546" max="2546" width="4.7109375" style="799" customWidth="1"/>
    <col min="2547" max="2547" width="10.7109375" style="799" customWidth="1"/>
    <col min="2548" max="2548" width="4.5703125" style="799" customWidth="1"/>
    <col min="2549" max="2549" width="12.28515625" style="799" customWidth="1"/>
    <col min="2550" max="2550" width="1.42578125" style="799" customWidth="1"/>
    <col min="2551" max="2551" width="14.140625" style="799" customWidth="1"/>
    <col min="2552" max="2552" width="13.7109375" style="799" customWidth="1"/>
    <col min="2553" max="2553" width="8" style="799" customWidth="1"/>
    <col min="2554" max="2554" width="1.42578125" style="799" customWidth="1"/>
    <col min="2555" max="2555" width="11.28515625" style="799" customWidth="1"/>
    <col min="2556" max="2556" width="12.85546875" style="799" customWidth="1"/>
    <col min="2557" max="2557" width="10.5703125" style="799" customWidth="1"/>
    <col min="2558" max="2558" width="12" style="799" customWidth="1"/>
    <col min="2559" max="2559" width="11.140625" style="799" customWidth="1"/>
    <col min="2560" max="2560" width="9.28515625" style="799" customWidth="1"/>
    <col min="2561" max="2561" width="1.42578125" style="799" customWidth="1"/>
    <col min="2562" max="2562" width="17.28515625" style="799" customWidth="1"/>
    <col min="2563" max="2563" width="11.140625" style="799" customWidth="1"/>
    <col min="2564" max="2564" width="12.42578125" style="799" customWidth="1"/>
    <col min="2565" max="2566" width="11.28515625" style="799" customWidth="1"/>
    <col min="2567" max="2567" width="10.5703125" style="799" customWidth="1"/>
    <col min="2568" max="2568" width="16.42578125" style="799" customWidth="1"/>
    <col min="2569" max="2569" width="12.140625" style="799" customWidth="1"/>
    <col min="2570" max="2570" width="10.85546875" style="799" customWidth="1"/>
    <col min="2571" max="2571" width="11.7109375" style="799" customWidth="1"/>
    <col min="2572" max="2792" width="9.140625" style="799"/>
    <col min="2793" max="2793" width="6.28515625" style="799" customWidth="1"/>
    <col min="2794" max="2794" width="20.7109375" style="799" customWidth="1"/>
    <col min="2795" max="2795" width="10" style="799" customWidth="1"/>
    <col min="2796" max="2796" width="1" style="799" customWidth="1"/>
    <col min="2797" max="2797" width="10" style="799" customWidth="1"/>
    <col min="2798" max="2798" width="1.28515625" style="799" customWidth="1"/>
    <col min="2799" max="2799" width="9.7109375" style="799" customWidth="1"/>
    <col min="2800" max="2800" width="1.140625" style="799" customWidth="1"/>
    <col min="2801" max="2801" width="12.5703125" style="799" customWidth="1"/>
    <col min="2802" max="2802" width="4.7109375" style="799" customWidth="1"/>
    <col min="2803" max="2803" width="10.7109375" style="799" customWidth="1"/>
    <col min="2804" max="2804" width="4.5703125" style="799" customWidth="1"/>
    <col min="2805" max="2805" width="12.28515625" style="799" customWidth="1"/>
    <col min="2806" max="2806" width="1.42578125" style="799" customWidth="1"/>
    <col min="2807" max="2807" width="14.140625" style="799" customWidth="1"/>
    <col min="2808" max="2808" width="13.7109375" style="799" customWidth="1"/>
    <col min="2809" max="2809" width="8" style="799" customWidth="1"/>
    <col min="2810" max="2810" width="1.42578125" style="799" customWidth="1"/>
    <col min="2811" max="2811" width="11.28515625" style="799" customWidth="1"/>
    <col min="2812" max="2812" width="12.85546875" style="799" customWidth="1"/>
    <col min="2813" max="2813" width="10.5703125" style="799" customWidth="1"/>
    <col min="2814" max="2814" width="12" style="799" customWidth="1"/>
    <col min="2815" max="2815" width="11.140625" style="799" customWidth="1"/>
    <col min="2816" max="2816" width="9.28515625" style="799" customWidth="1"/>
    <col min="2817" max="2817" width="1.42578125" style="799" customWidth="1"/>
    <col min="2818" max="2818" width="17.28515625" style="799" customWidth="1"/>
    <col min="2819" max="2819" width="11.140625" style="799" customWidth="1"/>
    <col min="2820" max="2820" width="12.42578125" style="799" customWidth="1"/>
    <col min="2821" max="2822" width="11.28515625" style="799" customWidth="1"/>
    <col min="2823" max="2823" width="10.5703125" style="799" customWidth="1"/>
    <col min="2824" max="2824" width="16.42578125" style="799" customWidth="1"/>
    <col min="2825" max="2825" width="12.140625" style="799" customWidth="1"/>
    <col min="2826" max="2826" width="10.85546875" style="799" customWidth="1"/>
    <col min="2827" max="2827" width="11.7109375" style="799" customWidth="1"/>
    <col min="2828" max="3048" width="9.140625" style="799"/>
    <col min="3049" max="3049" width="6.28515625" style="799" customWidth="1"/>
    <col min="3050" max="3050" width="20.7109375" style="799" customWidth="1"/>
    <col min="3051" max="3051" width="10" style="799" customWidth="1"/>
    <col min="3052" max="3052" width="1" style="799" customWidth="1"/>
    <col min="3053" max="3053" width="10" style="799" customWidth="1"/>
    <col min="3054" max="3054" width="1.28515625" style="799" customWidth="1"/>
    <col min="3055" max="3055" width="9.7109375" style="799" customWidth="1"/>
    <col min="3056" max="3056" width="1.140625" style="799" customWidth="1"/>
    <col min="3057" max="3057" width="12.5703125" style="799" customWidth="1"/>
    <col min="3058" max="3058" width="4.7109375" style="799" customWidth="1"/>
    <col min="3059" max="3059" width="10.7109375" style="799" customWidth="1"/>
    <col min="3060" max="3060" width="4.5703125" style="799" customWidth="1"/>
    <col min="3061" max="3061" width="12.28515625" style="799" customWidth="1"/>
    <col min="3062" max="3062" width="1.42578125" style="799" customWidth="1"/>
    <col min="3063" max="3063" width="14.140625" style="799" customWidth="1"/>
    <col min="3064" max="3064" width="13.7109375" style="799" customWidth="1"/>
    <col min="3065" max="3065" width="8" style="799" customWidth="1"/>
    <col min="3066" max="3066" width="1.42578125" style="799" customWidth="1"/>
    <col min="3067" max="3067" width="11.28515625" style="799" customWidth="1"/>
    <col min="3068" max="3068" width="12.85546875" style="799" customWidth="1"/>
    <col min="3069" max="3069" width="10.5703125" style="799" customWidth="1"/>
    <col min="3070" max="3070" width="12" style="799" customWidth="1"/>
    <col min="3071" max="3071" width="11.140625" style="799" customWidth="1"/>
    <col min="3072" max="3072" width="9.28515625" style="799" customWidth="1"/>
    <col min="3073" max="3073" width="1.42578125" style="799" customWidth="1"/>
    <col min="3074" max="3074" width="17.28515625" style="799" customWidth="1"/>
    <col min="3075" max="3075" width="11.140625" style="799" customWidth="1"/>
    <col min="3076" max="3076" width="12.42578125" style="799" customWidth="1"/>
    <col min="3077" max="3078" width="11.28515625" style="799" customWidth="1"/>
    <col min="3079" max="3079" width="10.5703125" style="799" customWidth="1"/>
    <col min="3080" max="3080" width="16.42578125" style="799" customWidth="1"/>
    <col min="3081" max="3081" width="12.140625" style="799" customWidth="1"/>
    <col min="3082" max="3082" width="10.85546875" style="799" customWidth="1"/>
    <col min="3083" max="3083" width="11.7109375" style="799" customWidth="1"/>
    <col min="3084" max="3304" width="9.140625" style="799"/>
    <col min="3305" max="3305" width="6.28515625" style="799" customWidth="1"/>
    <col min="3306" max="3306" width="20.7109375" style="799" customWidth="1"/>
    <col min="3307" max="3307" width="10" style="799" customWidth="1"/>
    <col min="3308" max="3308" width="1" style="799" customWidth="1"/>
    <col min="3309" max="3309" width="10" style="799" customWidth="1"/>
    <col min="3310" max="3310" width="1.28515625" style="799" customWidth="1"/>
    <col min="3311" max="3311" width="9.7109375" style="799" customWidth="1"/>
    <col min="3312" max="3312" width="1.140625" style="799" customWidth="1"/>
    <col min="3313" max="3313" width="12.5703125" style="799" customWidth="1"/>
    <col min="3314" max="3314" width="4.7109375" style="799" customWidth="1"/>
    <col min="3315" max="3315" width="10.7109375" style="799" customWidth="1"/>
    <col min="3316" max="3316" width="4.5703125" style="799" customWidth="1"/>
    <col min="3317" max="3317" width="12.28515625" style="799" customWidth="1"/>
    <col min="3318" max="3318" width="1.42578125" style="799" customWidth="1"/>
    <col min="3319" max="3319" width="14.140625" style="799" customWidth="1"/>
    <col min="3320" max="3320" width="13.7109375" style="799" customWidth="1"/>
    <col min="3321" max="3321" width="8" style="799" customWidth="1"/>
    <col min="3322" max="3322" width="1.42578125" style="799" customWidth="1"/>
    <col min="3323" max="3323" width="11.28515625" style="799" customWidth="1"/>
    <col min="3324" max="3324" width="12.85546875" style="799" customWidth="1"/>
    <col min="3325" max="3325" width="10.5703125" style="799" customWidth="1"/>
    <col min="3326" max="3326" width="12" style="799" customWidth="1"/>
    <col min="3327" max="3327" width="11.140625" style="799" customWidth="1"/>
    <col min="3328" max="3328" width="9.28515625" style="799" customWidth="1"/>
    <col min="3329" max="3329" width="1.42578125" style="799" customWidth="1"/>
    <col min="3330" max="3330" width="17.28515625" style="799" customWidth="1"/>
    <col min="3331" max="3331" width="11.140625" style="799" customWidth="1"/>
    <col min="3332" max="3332" width="12.42578125" style="799" customWidth="1"/>
    <col min="3333" max="3334" width="11.28515625" style="799" customWidth="1"/>
    <col min="3335" max="3335" width="10.5703125" style="799" customWidth="1"/>
    <col min="3336" max="3336" width="16.42578125" style="799" customWidth="1"/>
    <col min="3337" max="3337" width="12.140625" style="799" customWidth="1"/>
    <col min="3338" max="3338" width="10.85546875" style="799" customWidth="1"/>
    <col min="3339" max="3339" width="11.7109375" style="799" customWidth="1"/>
    <col min="3340" max="3560" width="9.140625" style="799"/>
    <col min="3561" max="3561" width="6.28515625" style="799" customWidth="1"/>
    <col min="3562" max="3562" width="20.7109375" style="799" customWidth="1"/>
    <col min="3563" max="3563" width="10" style="799" customWidth="1"/>
    <col min="3564" max="3564" width="1" style="799" customWidth="1"/>
    <col min="3565" max="3565" width="10" style="799" customWidth="1"/>
    <col min="3566" max="3566" width="1.28515625" style="799" customWidth="1"/>
    <col min="3567" max="3567" width="9.7109375" style="799" customWidth="1"/>
    <col min="3568" max="3568" width="1.140625" style="799" customWidth="1"/>
    <col min="3569" max="3569" width="12.5703125" style="799" customWidth="1"/>
    <col min="3570" max="3570" width="4.7109375" style="799" customWidth="1"/>
    <col min="3571" max="3571" width="10.7109375" style="799" customWidth="1"/>
    <col min="3572" max="3572" width="4.5703125" style="799" customWidth="1"/>
    <col min="3573" max="3573" width="12.28515625" style="799" customWidth="1"/>
    <col min="3574" max="3574" width="1.42578125" style="799" customWidth="1"/>
    <col min="3575" max="3575" width="14.140625" style="799" customWidth="1"/>
    <col min="3576" max="3576" width="13.7109375" style="799" customWidth="1"/>
    <col min="3577" max="3577" width="8" style="799" customWidth="1"/>
    <col min="3578" max="3578" width="1.42578125" style="799" customWidth="1"/>
    <col min="3579" max="3579" width="11.28515625" style="799" customWidth="1"/>
    <col min="3580" max="3580" width="12.85546875" style="799" customWidth="1"/>
    <col min="3581" max="3581" width="10.5703125" style="799" customWidth="1"/>
    <col min="3582" max="3582" width="12" style="799" customWidth="1"/>
    <col min="3583" max="3583" width="11.140625" style="799" customWidth="1"/>
    <col min="3584" max="3584" width="9.28515625" style="799" customWidth="1"/>
    <col min="3585" max="3585" width="1.42578125" style="799" customWidth="1"/>
    <col min="3586" max="3586" width="17.28515625" style="799" customWidth="1"/>
    <col min="3587" max="3587" width="11.140625" style="799" customWidth="1"/>
    <col min="3588" max="3588" width="12.42578125" style="799" customWidth="1"/>
    <col min="3589" max="3590" width="11.28515625" style="799" customWidth="1"/>
    <col min="3591" max="3591" width="10.5703125" style="799" customWidth="1"/>
    <col min="3592" max="3592" width="16.42578125" style="799" customWidth="1"/>
    <col min="3593" max="3593" width="12.140625" style="799" customWidth="1"/>
    <col min="3594" max="3594" width="10.85546875" style="799" customWidth="1"/>
    <col min="3595" max="3595" width="11.7109375" style="799" customWidth="1"/>
    <col min="3596" max="3816" width="9.140625" style="799"/>
    <col min="3817" max="3817" width="6.28515625" style="799" customWidth="1"/>
    <col min="3818" max="3818" width="20.7109375" style="799" customWidth="1"/>
    <col min="3819" max="3819" width="10" style="799" customWidth="1"/>
    <col min="3820" max="3820" width="1" style="799" customWidth="1"/>
    <col min="3821" max="3821" width="10" style="799" customWidth="1"/>
    <col min="3822" max="3822" width="1.28515625" style="799" customWidth="1"/>
    <col min="3823" max="3823" width="9.7109375" style="799" customWidth="1"/>
    <col min="3824" max="3824" width="1.140625" style="799" customWidth="1"/>
    <col min="3825" max="3825" width="12.5703125" style="799" customWidth="1"/>
    <col min="3826" max="3826" width="4.7109375" style="799" customWidth="1"/>
    <col min="3827" max="3827" width="10.7109375" style="799" customWidth="1"/>
    <col min="3828" max="3828" width="4.5703125" style="799" customWidth="1"/>
    <col min="3829" max="3829" width="12.28515625" style="799" customWidth="1"/>
    <col min="3830" max="3830" width="1.42578125" style="799" customWidth="1"/>
    <col min="3831" max="3831" width="14.140625" style="799" customWidth="1"/>
    <col min="3832" max="3832" width="13.7109375" style="799" customWidth="1"/>
    <col min="3833" max="3833" width="8" style="799" customWidth="1"/>
    <col min="3834" max="3834" width="1.42578125" style="799" customWidth="1"/>
    <col min="3835" max="3835" width="11.28515625" style="799" customWidth="1"/>
    <col min="3836" max="3836" width="12.85546875" style="799" customWidth="1"/>
    <col min="3837" max="3837" width="10.5703125" style="799" customWidth="1"/>
    <col min="3838" max="3838" width="12" style="799" customWidth="1"/>
    <col min="3839" max="3839" width="11.140625" style="799" customWidth="1"/>
    <col min="3840" max="3840" width="9.28515625" style="799" customWidth="1"/>
    <col min="3841" max="3841" width="1.42578125" style="799" customWidth="1"/>
    <col min="3842" max="3842" width="17.28515625" style="799" customWidth="1"/>
    <col min="3843" max="3843" width="11.140625" style="799" customWidth="1"/>
    <col min="3844" max="3844" width="12.42578125" style="799" customWidth="1"/>
    <col min="3845" max="3846" width="11.28515625" style="799" customWidth="1"/>
    <col min="3847" max="3847" width="10.5703125" style="799" customWidth="1"/>
    <col min="3848" max="3848" width="16.42578125" style="799" customWidth="1"/>
    <col min="3849" max="3849" width="12.140625" style="799" customWidth="1"/>
    <col min="3850" max="3850" width="10.85546875" style="799" customWidth="1"/>
    <col min="3851" max="3851" width="11.7109375" style="799" customWidth="1"/>
    <col min="3852" max="4072" width="9.140625" style="799"/>
    <col min="4073" max="4073" width="6.28515625" style="799" customWidth="1"/>
    <col min="4074" max="4074" width="20.7109375" style="799" customWidth="1"/>
    <col min="4075" max="4075" width="10" style="799" customWidth="1"/>
    <col min="4076" max="4076" width="1" style="799" customWidth="1"/>
    <col min="4077" max="4077" width="10" style="799" customWidth="1"/>
    <col min="4078" max="4078" width="1.28515625" style="799" customWidth="1"/>
    <col min="4079" max="4079" width="9.7109375" style="799" customWidth="1"/>
    <col min="4080" max="4080" width="1.140625" style="799" customWidth="1"/>
    <col min="4081" max="4081" width="12.5703125" style="799" customWidth="1"/>
    <col min="4082" max="4082" width="4.7109375" style="799" customWidth="1"/>
    <col min="4083" max="4083" width="10.7109375" style="799" customWidth="1"/>
    <col min="4084" max="4084" width="4.5703125" style="799" customWidth="1"/>
    <col min="4085" max="4085" width="12.28515625" style="799" customWidth="1"/>
    <col min="4086" max="4086" width="1.42578125" style="799" customWidth="1"/>
    <col min="4087" max="4087" width="14.140625" style="799" customWidth="1"/>
    <col min="4088" max="4088" width="13.7109375" style="799" customWidth="1"/>
    <col min="4089" max="4089" width="8" style="799" customWidth="1"/>
    <col min="4090" max="4090" width="1.42578125" style="799" customWidth="1"/>
    <col min="4091" max="4091" width="11.28515625" style="799" customWidth="1"/>
    <col min="4092" max="4092" width="12.85546875" style="799" customWidth="1"/>
    <col min="4093" max="4093" width="10.5703125" style="799" customWidth="1"/>
    <col min="4094" max="4094" width="12" style="799" customWidth="1"/>
    <col min="4095" max="4095" width="11.140625" style="799" customWidth="1"/>
    <col min="4096" max="4096" width="9.28515625" style="799" customWidth="1"/>
    <col min="4097" max="4097" width="1.42578125" style="799" customWidth="1"/>
    <col min="4098" max="4098" width="17.28515625" style="799" customWidth="1"/>
    <col min="4099" max="4099" width="11.140625" style="799" customWidth="1"/>
    <col min="4100" max="4100" width="12.42578125" style="799" customWidth="1"/>
    <col min="4101" max="4102" width="11.28515625" style="799" customWidth="1"/>
    <col min="4103" max="4103" width="10.5703125" style="799" customWidth="1"/>
    <col min="4104" max="4104" width="16.42578125" style="799" customWidth="1"/>
    <col min="4105" max="4105" width="12.140625" style="799" customWidth="1"/>
    <col min="4106" max="4106" width="10.85546875" style="799" customWidth="1"/>
    <col min="4107" max="4107" width="11.7109375" style="799" customWidth="1"/>
    <col min="4108" max="4328" width="9.140625" style="799"/>
    <col min="4329" max="4329" width="6.28515625" style="799" customWidth="1"/>
    <col min="4330" max="4330" width="20.7109375" style="799" customWidth="1"/>
    <col min="4331" max="4331" width="10" style="799" customWidth="1"/>
    <col min="4332" max="4332" width="1" style="799" customWidth="1"/>
    <col min="4333" max="4333" width="10" style="799" customWidth="1"/>
    <col min="4334" max="4334" width="1.28515625" style="799" customWidth="1"/>
    <col min="4335" max="4335" width="9.7109375" style="799" customWidth="1"/>
    <col min="4336" max="4336" width="1.140625" style="799" customWidth="1"/>
    <col min="4337" max="4337" width="12.5703125" style="799" customWidth="1"/>
    <col min="4338" max="4338" width="4.7109375" style="799" customWidth="1"/>
    <col min="4339" max="4339" width="10.7109375" style="799" customWidth="1"/>
    <col min="4340" max="4340" width="4.5703125" style="799" customWidth="1"/>
    <col min="4341" max="4341" width="12.28515625" style="799" customWidth="1"/>
    <col min="4342" max="4342" width="1.42578125" style="799" customWidth="1"/>
    <col min="4343" max="4343" width="14.140625" style="799" customWidth="1"/>
    <col min="4344" max="4344" width="13.7109375" style="799" customWidth="1"/>
    <col min="4345" max="4345" width="8" style="799" customWidth="1"/>
    <col min="4346" max="4346" width="1.42578125" style="799" customWidth="1"/>
    <col min="4347" max="4347" width="11.28515625" style="799" customWidth="1"/>
    <col min="4348" max="4348" width="12.85546875" style="799" customWidth="1"/>
    <col min="4349" max="4349" width="10.5703125" style="799" customWidth="1"/>
    <col min="4350" max="4350" width="12" style="799" customWidth="1"/>
    <col min="4351" max="4351" width="11.140625" style="799" customWidth="1"/>
    <col min="4352" max="4352" width="9.28515625" style="799" customWidth="1"/>
    <col min="4353" max="4353" width="1.42578125" style="799" customWidth="1"/>
    <col min="4354" max="4354" width="17.28515625" style="799" customWidth="1"/>
    <col min="4355" max="4355" width="11.140625" style="799" customWidth="1"/>
    <col min="4356" max="4356" width="12.42578125" style="799" customWidth="1"/>
    <col min="4357" max="4358" width="11.28515625" style="799" customWidth="1"/>
    <col min="4359" max="4359" width="10.5703125" style="799" customWidth="1"/>
    <col min="4360" max="4360" width="16.42578125" style="799" customWidth="1"/>
    <col min="4361" max="4361" width="12.140625" style="799" customWidth="1"/>
    <col min="4362" max="4362" width="10.85546875" style="799" customWidth="1"/>
    <col min="4363" max="4363" width="11.7109375" style="799" customWidth="1"/>
    <col min="4364" max="4584" width="9.140625" style="799"/>
    <col min="4585" max="4585" width="6.28515625" style="799" customWidth="1"/>
    <col min="4586" max="4586" width="20.7109375" style="799" customWidth="1"/>
    <col min="4587" max="4587" width="10" style="799" customWidth="1"/>
    <col min="4588" max="4588" width="1" style="799" customWidth="1"/>
    <col min="4589" max="4589" width="10" style="799" customWidth="1"/>
    <col min="4590" max="4590" width="1.28515625" style="799" customWidth="1"/>
    <col min="4591" max="4591" width="9.7109375" style="799" customWidth="1"/>
    <col min="4592" max="4592" width="1.140625" style="799" customWidth="1"/>
    <col min="4593" max="4593" width="12.5703125" style="799" customWidth="1"/>
    <col min="4594" max="4594" width="4.7109375" style="799" customWidth="1"/>
    <col min="4595" max="4595" width="10.7109375" style="799" customWidth="1"/>
    <col min="4596" max="4596" width="4.5703125" style="799" customWidth="1"/>
    <col min="4597" max="4597" width="12.28515625" style="799" customWidth="1"/>
    <col min="4598" max="4598" width="1.42578125" style="799" customWidth="1"/>
    <col min="4599" max="4599" width="14.140625" style="799" customWidth="1"/>
    <col min="4600" max="4600" width="13.7109375" style="799" customWidth="1"/>
    <col min="4601" max="4601" width="8" style="799" customWidth="1"/>
    <col min="4602" max="4602" width="1.42578125" style="799" customWidth="1"/>
    <col min="4603" max="4603" width="11.28515625" style="799" customWidth="1"/>
    <col min="4604" max="4604" width="12.85546875" style="799" customWidth="1"/>
    <col min="4605" max="4605" width="10.5703125" style="799" customWidth="1"/>
    <col min="4606" max="4606" width="12" style="799" customWidth="1"/>
    <col min="4607" max="4607" width="11.140625" style="799" customWidth="1"/>
    <col min="4608" max="4608" width="9.28515625" style="799" customWidth="1"/>
    <col min="4609" max="4609" width="1.42578125" style="799" customWidth="1"/>
    <col min="4610" max="4610" width="17.28515625" style="799" customWidth="1"/>
    <col min="4611" max="4611" width="11.140625" style="799" customWidth="1"/>
    <col min="4612" max="4612" width="12.42578125" style="799" customWidth="1"/>
    <col min="4613" max="4614" width="11.28515625" style="799" customWidth="1"/>
    <col min="4615" max="4615" width="10.5703125" style="799" customWidth="1"/>
    <col min="4616" max="4616" width="16.42578125" style="799" customWidth="1"/>
    <col min="4617" max="4617" width="12.140625" style="799" customWidth="1"/>
    <col min="4618" max="4618" width="10.85546875" style="799" customWidth="1"/>
    <col min="4619" max="4619" width="11.7109375" style="799" customWidth="1"/>
    <col min="4620" max="4840" width="9.140625" style="799"/>
    <col min="4841" max="4841" width="6.28515625" style="799" customWidth="1"/>
    <col min="4842" max="4842" width="20.7109375" style="799" customWidth="1"/>
    <col min="4843" max="4843" width="10" style="799" customWidth="1"/>
    <col min="4844" max="4844" width="1" style="799" customWidth="1"/>
    <col min="4845" max="4845" width="10" style="799" customWidth="1"/>
    <col min="4846" max="4846" width="1.28515625" style="799" customWidth="1"/>
    <col min="4847" max="4847" width="9.7109375" style="799" customWidth="1"/>
    <col min="4848" max="4848" width="1.140625" style="799" customWidth="1"/>
    <col min="4849" max="4849" width="12.5703125" style="799" customWidth="1"/>
    <col min="4850" max="4850" width="4.7109375" style="799" customWidth="1"/>
    <col min="4851" max="4851" width="10.7109375" style="799" customWidth="1"/>
    <col min="4852" max="4852" width="4.5703125" style="799" customWidth="1"/>
    <col min="4853" max="4853" width="12.28515625" style="799" customWidth="1"/>
    <col min="4854" max="4854" width="1.42578125" style="799" customWidth="1"/>
    <col min="4855" max="4855" width="14.140625" style="799" customWidth="1"/>
    <col min="4856" max="4856" width="13.7109375" style="799" customWidth="1"/>
    <col min="4857" max="4857" width="8" style="799" customWidth="1"/>
    <col min="4858" max="4858" width="1.42578125" style="799" customWidth="1"/>
    <col min="4859" max="4859" width="11.28515625" style="799" customWidth="1"/>
    <col min="4860" max="4860" width="12.85546875" style="799" customWidth="1"/>
    <col min="4861" max="4861" width="10.5703125" style="799" customWidth="1"/>
    <col min="4862" max="4862" width="12" style="799" customWidth="1"/>
    <col min="4863" max="4863" width="11.140625" style="799" customWidth="1"/>
    <col min="4864" max="4864" width="9.28515625" style="799" customWidth="1"/>
    <col min="4865" max="4865" width="1.42578125" style="799" customWidth="1"/>
    <col min="4866" max="4866" width="17.28515625" style="799" customWidth="1"/>
    <col min="4867" max="4867" width="11.140625" style="799" customWidth="1"/>
    <col min="4868" max="4868" width="12.42578125" style="799" customWidth="1"/>
    <col min="4869" max="4870" width="11.28515625" style="799" customWidth="1"/>
    <col min="4871" max="4871" width="10.5703125" style="799" customWidth="1"/>
    <col min="4872" max="4872" width="16.42578125" style="799" customWidth="1"/>
    <col min="4873" max="4873" width="12.140625" style="799" customWidth="1"/>
    <col min="4874" max="4874" width="10.85546875" style="799" customWidth="1"/>
    <col min="4875" max="4875" width="11.7109375" style="799" customWidth="1"/>
    <col min="4876" max="5096" width="9.140625" style="799"/>
    <col min="5097" max="5097" width="6.28515625" style="799" customWidth="1"/>
    <col min="5098" max="5098" width="20.7109375" style="799" customWidth="1"/>
    <col min="5099" max="5099" width="10" style="799" customWidth="1"/>
    <col min="5100" max="5100" width="1" style="799" customWidth="1"/>
    <col min="5101" max="5101" width="10" style="799" customWidth="1"/>
    <col min="5102" max="5102" width="1.28515625" style="799" customWidth="1"/>
    <col min="5103" max="5103" width="9.7109375" style="799" customWidth="1"/>
    <col min="5104" max="5104" width="1.140625" style="799" customWidth="1"/>
    <col min="5105" max="5105" width="12.5703125" style="799" customWidth="1"/>
    <col min="5106" max="5106" width="4.7109375" style="799" customWidth="1"/>
    <col min="5107" max="5107" width="10.7109375" style="799" customWidth="1"/>
    <col min="5108" max="5108" width="4.5703125" style="799" customWidth="1"/>
    <col min="5109" max="5109" width="12.28515625" style="799" customWidth="1"/>
    <col min="5110" max="5110" width="1.42578125" style="799" customWidth="1"/>
    <col min="5111" max="5111" width="14.140625" style="799" customWidth="1"/>
    <col min="5112" max="5112" width="13.7109375" style="799" customWidth="1"/>
    <col min="5113" max="5113" width="8" style="799" customWidth="1"/>
    <col min="5114" max="5114" width="1.42578125" style="799" customWidth="1"/>
    <col min="5115" max="5115" width="11.28515625" style="799" customWidth="1"/>
    <col min="5116" max="5116" width="12.85546875" style="799" customWidth="1"/>
    <col min="5117" max="5117" width="10.5703125" style="799" customWidth="1"/>
    <col min="5118" max="5118" width="12" style="799" customWidth="1"/>
    <col min="5119" max="5119" width="11.140625" style="799" customWidth="1"/>
    <col min="5120" max="5120" width="9.28515625" style="799" customWidth="1"/>
    <col min="5121" max="5121" width="1.42578125" style="799" customWidth="1"/>
    <col min="5122" max="5122" width="17.28515625" style="799" customWidth="1"/>
    <col min="5123" max="5123" width="11.140625" style="799" customWidth="1"/>
    <col min="5124" max="5124" width="12.42578125" style="799" customWidth="1"/>
    <col min="5125" max="5126" width="11.28515625" style="799" customWidth="1"/>
    <col min="5127" max="5127" width="10.5703125" style="799" customWidth="1"/>
    <col min="5128" max="5128" width="16.42578125" style="799" customWidth="1"/>
    <col min="5129" max="5129" width="12.140625" style="799" customWidth="1"/>
    <col min="5130" max="5130" width="10.85546875" style="799" customWidth="1"/>
    <col min="5131" max="5131" width="11.7109375" style="799" customWidth="1"/>
    <col min="5132" max="5352" width="9.140625" style="799"/>
    <col min="5353" max="5353" width="6.28515625" style="799" customWidth="1"/>
    <col min="5354" max="5354" width="20.7109375" style="799" customWidth="1"/>
    <col min="5355" max="5355" width="10" style="799" customWidth="1"/>
    <col min="5356" max="5356" width="1" style="799" customWidth="1"/>
    <col min="5357" max="5357" width="10" style="799" customWidth="1"/>
    <col min="5358" max="5358" width="1.28515625" style="799" customWidth="1"/>
    <col min="5359" max="5359" width="9.7109375" style="799" customWidth="1"/>
    <col min="5360" max="5360" width="1.140625" style="799" customWidth="1"/>
    <col min="5361" max="5361" width="12.5703125" style="799" customWidth="1"/>
    <col min="5362" max="5362" width="4.7109375" style="799" customWidth="1"/>
    <col min="5363" max="5363" width="10.7109375" style="799" customWidth="1"/>
    <col min="5364" max="5364" width="4.5703125" style="799" customWidth="1"/>
    <col min="5365" max="5365" width="12.28515625" style="799" customWidth="1"/>
    <col min="5366" max="5366" width="1.42578125" style="799" customWidth="1"/>
    <col min="5367" max="5367" width="14.140625" style="799" customWidth="1"/>
    <col min="5368" max="5368" width="13.7109375" style="799" customWidth="1"/>
    <col min="5369" max="5369" width="8" style="799" customWidth="1"/>
    <col min="5370" max="5370" width="1.42578125" style="799" customWidth="1"/>
    <col min="5371" max="5371" width="11.28515625" style="799" customWidth="1"/>
    <col min="5372" max="5372" width="12.85546875" style="799" customWidth="1"/>
    <col min="5373" max="5373" width="10.5703125" style="799" customWidth="1"/>
    <col min="5374" max="5374" width="12" style="799" customWidth="1"/>
    <col min="5375" max="5375" width="11.140625" style="799" customWidth="1"/>
    <col min="5376" max="5376" width="9.28515625" style="799" customWidth="1"/>
    <col min="5377" max="5377" width="1.42578125" style="799" customWidth="1"/>
    <col min="5378" max="5378" width="17.28515625" style="799" customWidth="1"/>
    <col min="5379" max="5379" width="11.140625" style="799" customWidth="1"/>
    <col min="5380" max="5380" width="12.42578125" style="799" customWidth="1"/>
    <col min="5381" max="5382" width="11.28515625" style="799" customWidth="1"/>
    <col min="5383" max="5383" width="10.5703125" style="799" customWidth="1"/>
    <col min="5384" max="5384" width="16.42578125" style="799" customWidth="1"/>
    <col min="5385" max="5385" width="12.140625" style="799" customWidth="1"/>
    <col min="5386" max="5386" width="10.85546875" style="799" customWidth="1"/>
    <col min="5387" max="5387" width="11.7109375" style="799" customWidth="1"/>
    <col min="5388" max="5608" width="9.140625" style="799"/>
    <col min="5609" max="5609" width="6.28515625" style="799" customWidth="1"/>
    <col min="5610" max="5610" width="20.7109375" style="799" customWidth="1"/>
    <col min="5611" max="5611" width="10" style="799" customWidth="1"/>
    <col min="5612" max="5612" width="1" style="799" customWidth="1"/>
    <col min="5613" max="5613" width="10" style="799" customWidth="1"/>
    <col min="5614" max="5614" width="1.28515625" style="799" customWidth="1"/>
    <col min="5615" max="5615" width="9.7109375" style="799" customWidth="1"/>
    <col min="5616" max="5616" width="1.140625" style="799" customWidth="1"/>
    <col min="5617" max="5617" width="12.5703125" style="799" customWidth="1"/>
    <col min="5618" max="5618" width="4.7109375" style="799" customWidth="1"/>
    <col min="5619" max="5619" width="10.7109375" style="799" customWidth="1"/>
    <col min="5620" max="5620" width="4.5703125" style="799" customWidth="1"/>
    <col min="5621" max="5621" width="12.28515625" style="799" customWidth="1"/>
    <col min="5622" max="5622" width="1.42578125" style="799" customWidth="1"/>
    <col min="5623" max="5623" width="14.140625" style="799" customWidth="1"/>
    <col min="5624" max="5624" width="13.7109375" style="799" customWidth="1"/>
    <col min="5625" max="5625" width="8" style="799" customWidth="1"/>
    <col min="5626" max="5626" width="1.42578125" style="799" customWidth="1"/>
    <col min="5627" max="5627" width="11.28515625" style="799" customWidth="1"/>
    <col min="5628" max="5628" width="12.85546875" style="799" customWidth="1"/>
    <col min="5629" max="5629" width="10.5703125" style="799" customWidth="1"/>
    <col min="5630" max="5630" width="12" style="799" customWidth="1"/>
    <col min="5631" max="5631" width="11.140625" style="799" customWidth="1"/>
    <col min="5632" max="5632" width="9.28515625" style="799" customWidth="1"/>
    <col min="5633" max="5633" width="1.42578125" style="799" customWidth="1"/>
    <col min="5634" max="5634" width="17.28515625" style="799" customWidth="1"/>
    <col min="5635" max="5635" width="11.140625" style="799" customWidth="1"/>
    <col min="5636" max="5636" width="12.42578125" style="799" customWidth="1"/>
    <col min="5637" max="5638" width="11.28515625" style="799" customWidth="1"/>
    <col min="5639" max="5639" width="10.5703125" style="799" customWidth="1"/>
    <col min="5640" max="5640" width="16.42578125" style="799" customWidth="1"/>
    <col min="5641" max="5641" width="12.140625" style="799" customWidth="1"/>
    <col min="5642" max="5642" width="10.85546875" style="799" customWidth="1"/>
    <col min="5643" max="5643" width="11.7109375" style="799" customWidth="1"/>
    <col min="5644" max="5864" width="9.140625" style="799"/>
    <col min="5865" max="5865" width="6.28515625" style="799" customWidth="1"/>
    <col min="5866" max="5866" width="20.7109375" style="799" customWidth="1"/>
    <col min="5867" max="5867" width="10" style="799" customWidth="1"/>
    <col min="5868" max="5868" width="1" style="799" customWidth="1"/>
    <col min="5869" max="5869" width="10" style="799" customWidth="1"/>
    <col min="5870" max="5870" width="1.28515625" style="799" customWidth="1"/>
    <col min="5871" max="5871" width="9.7109375" style="799" customWidth="1"/>
    <col min="5872" max="5872" width="1.140625" style="799" customWidth="1"/>
    <col min="5873" max="5873" width="12.5703125" style="799" customWidth="1"/>
    <col min="5874" max="5874" width="4.7109375" style="799" customWidth="1"/>
    <col min="5875" max="5875" width="10.7109375" style="799" customWidth="1"/>
    <col min="5876" max="5876" width="4.5703125" style="799" customWidth="1"/>
    <col min="5877" max="5877" width="12.28515625" style="799" customWidth="1"/>
    <col min="5878" max="5878" width="1.42578125" style="799" customWidth="1"/>
    <col min="5879" max="5879" width="14.140625" style="799" customWidth="1"/>
    <col min="5880" max="5880" width="13.7109375" style="799" customWidth="1"/>
    <col min="5881" max="5881" width="8" style="799" customWidth="1"/>
    <col min="5882" max="5882" width="1.42578125" style="799" customWidth="1"/>
    <col min="5883" max="5883" width="11.28515625" style="799" customWidth="1"/>
    <col min="5884" max="5884" width="12.85546875" style="799" customWidth="1"/>
    <col min="5885" max="5885" width="10.5703125" style="799" customWidth="1"/>
    <col min="5886" max="5886" width="12" style="799" customWidth="1"/>
    <col min="5887" max="5887" width="11.140625" style="799" customWidth="1"/>
    <col min="5888" max="5888" width="9.28515625" style="799" customWidth="1"/>
    <col min="5889" max="5889" width="1.42578125" style="799" customWidth="1"/>
    <col min="5890" max="5890" width="17.28515625" style="799" customWidth="1"/>
    <col min="5891" max="5891" width="11.140625" style="799" customWidth="1"/>
    <col min="5892" max="5892" width="12.42578125" style="799" customWidth="1"/>
    <col min="5893" max="5894" width="11.28515625" style="799" customWidth="1"/>
    <col min="5895" max="5895" width="10.5703125" style="799" customWidth="1"/>
    <col min="5896" max="5896" width="16.42578125" style="799" customWidth="1"/>
    <col min="5897" max="5897" width="12.140625" style="799" customWidth="1"/>
    <col min="5898" max="5898" width="10.85546875" style="799" customWidth="1"/>
    <col min="5899" max="5899" width="11.7109375" style="799" customWidth="1"/>
    <col min="5900" max="6120" width="9.140625" style="799"/>
    <col min="6121" max="6121" width="6.28515625" style="799" customWidth="1"/>
    <col min="6122" max="6122" width="20.7109375" style="799" customWidth="1"/>
    <col min="6123" max="6123" width="10" style="799" customWidth="1"/>
    <col min="6124" max="6124" width="1" style="799" customWidth="1"/>
    <col min="6125" max="6125" width="10" style="799" customWidth="1"/>
    <col min="6126" max="6126" width="1.28515625" style="799" customWidth="1"/>
    <col min="6127" max="6127" width="9.7109375" style="799" customWidth="1"/>
    <col min="6128" max="6128" width="1.140625" style="799" customWidth="1"/>
    <col min="6129" max="6129" width="12.5703125" style="799" customWidth="1"/>
    <col min="6130" max="6130" width="4.7109375" style="799" customWidth="1"/>
    <col min="6131" max="6131" width="10.7109375" style="799" customWidth="1"/>
    <col min="6132" max="6132" width="4.5703125" style="799" customWidth="1"/>
    <col min="6133" max="6133" width="12.28515625" style="799" customWidth="1"/>
    <col min="6134" max="6134" width="1.42578125" style="799" customWidth="1"/>
    <col min="6135" max="6135" width="14.140625" style="799" customWidth="1"/>
    <col min="6136" max="6136" width="13.7109375" style="799" customWidth="1"/>
    <col min="6137" max="6137" width="8" style="799" customWidth="1"/>
    <col min="6138" max="6138" width="1.42578125" style="799" customWidth="1"/>
    <col min="6139" max="6139" width="11.28515625" style="799" customWidth="1"/>
    <col min="6140" max="6140" width="12.85546875" style="799" customWidth="1"/>
    <col min="6141" max="6141" width="10.5703125" style="799" customWidth="1"/>
    <col min="6142" max="6142" width="12" style="799" customWidth="1"/>
    <col min="6143" max="6143" width="11.140625" style="799" customWidth="1"/>
    <col min="6144" max="6144" width="9.28515625" style="799" customWidth="1"/>
    <col min="6145" max="6145" width="1.42578125" style="799" customWidth="1"/>
    <col min="6146" max="6146" width="17.28515625" style="799" customWidth="1"/>
    <col min="6147" max="6147" width="11.140625" style="799" customWidth="1"/>
    <col min="6148" max="6148" width="12.42578125" style="799" customWidth="1"/>
    <col min="6149" max="6150" width="11.28515625" style="799" customWidth="1"/>
    <col min="6151" max="6151" width="10.5703125" style="799" customWidth="1"/>
    <col min="6152" max="6152" width="16.42578125" style="799" customWidth="1"/>
    <col min="6153" max="6153" width="12.140625" style="799" customWidth="1"/>
    <col min="6154" max="6154" width="10.85546875" style="799" customWidth="1"/>
    <col min="6155" max="6155" width="11.7109375" style="799" customWidth="1"/>
    <col min="6156" max="6376" width="9.140625" style="799"/>
    <col min="6377" max="6377" width="6.28515625" style="799" customWidth="1"/>
    <col min="6378" max="6378" width="20.7109375" style="799" customWidth="1"/>
    <col min="6379" max="6379" width="10" style="799" customWidth="1"/>
    <col min="6380" max="6380" width="1" style="799" customWidth="1"/>
    <col min="6381" max="6381" width="10" style="799" customWidth="1"/>
    <col min="6382" max="6382" width="1.28515625" style="799" customWidth="1"/>
    <col min="6383" max="6383" width="9.7109375" style="799" customWidth="1"/>
    <col min="6384" max="6384" width="1.140625" style="799" customWidth="1"/>
    <col min="6385" max="6385" width="12.5703125" style="799" customWidth="1"/>
    <col min="6386" max="6386" width="4.7109375" style="799" customWidth="1"/>
    <col min="6387" max="6387" width="10.7109375" style="799" customWidth="1"/>
    <col min="6388" max="6388" width="4.5703125" style="799" customWidth="1"/>
    <col min="6389" max="6389" width="12.28515625" style="799" customWidth="1"/>
    <col min="6390" max="6390" width="1.42578125" style="799" customWidth="1"/>
    <col min="6391" max="6391" width="14.140625" style="799" customWidth="1"/>
    <col min="6392" max="6392" width="13.7109375" style="799" customWidth="1"/>
    <col min="6393" max="6393" width="8" style="799" customWidth="1"/>
    <col min="6394" max="6394" width="1.42578125" style="799" customWidth="1"/>
    <col min="6395" max="6395" width="11.28515625" style="799" customWidth="1"/>
    <col min="6396" max="6396" width="12.85546875" style="799" customWidth="1"/>
    <col min="6397" max="6397" width="10.5703125" style="799" customWidth="1"/>
    <col min="6398" max="6398" width="12" style="799" customWidth="1"/>
    <col min="6399" max="6399" width="11.140625" style="799" customWidth="1"/>
    <col min="6400" max="6400" width="9.28515625" style="799" customWidth="1"/>
    <col min="6401" max="6401" width="1.42578125" style="799" customWidth="1"/>
    <col min="6402" max="6402" width="17.28515625" style="799" customWidth="1"/>
    <col min="6403" max="6403" width="11.140625" style="799" customWidth="1"/>
    <col min="6404" max="6404" width="12.42578125" style="799" customWidth="1"/>
    <col min="6405" max="6406" width="11.28515625" style="799" customWidth="1"/>
    <col min="6407" max="6407" width="10.5703125" style="799" customWidth="1"/>
    <col min="6408" max="6408" width="16.42578125" style="799" customWidth="1"/>
    <col min="6409" max="6409" width="12.140625" style="799" customWidth="1"/>
    <col min="6410" max="6410" width="10.85546875" style="799" customWidth="1"/>
    <col min="6411" max="6411" width="11.7109375" style="799" customWidth="1"/>
    <col min="6412" max="6632" width="9.140625" style="799"/>
    <col min="6633" max="6633" width="6.28515625" style="799" customWidth="1"/>
    <col min="6634" max="6634" width="20.7109375" style="799" customWidth="1"/>
    <col min="6635" max="6635" width="10" style="799" customWidth="1"/>
    <col min="6636" max="6636" width="1" style="799" customWidth="1"/>
    <col min="6637" max="6637" width="10" style="799" customWidth="1"/>
    <col min="6638" max="6638" width="1.28515625" style="799" customWidth="1"/>
    <col min="6639" max="6639" width="9.7109375" style="799" customWidth="1"/>
    <col min="6640" max="6640" width="1.140625" style="799" customWidth="1"/>
    <col min="6641" max="6641" width="12.5703125" style="799" customWidth="1"/>
    <col min="6642" max="6642" width="4.7109375" style="799" customWidth="1"/>
    <col min="6643" max="6643" width="10.7109375" style="799" customWidth="1"/>
    <col min="6644" max="6644" width="4.5703125" style="799" customWidth="1"/>
    <col min="6645" max="6645" width="12.28515625" style="799" customWidth="1"/>
    <col min="6646" max="6646" width="1.42578125" style="799" customWidth="1"/>
    <col min="6647" max="6647" width="14.140625" style="799" customWidth="1"/>
    <col min="6648" max="6648" width="13.7109375" style="799" customWidth="1"/>
    <col min="6649" max="6649" width="8" style="799" customWidth="1"/>
    <col min="6650" max="6650" width="1.42578125" style="799" customWidth="1"/>
    <col min="6651" max="6651" width="11.28515625" style="799" customWidth="1"/>
    <col min="6652" max="6652" width="12.85546875" style="799" customWidth="1"/>
    <col min="6653" max="6653" width="10.5703125" style="799" customWidth="1"/>
    <col min="6654" max="6654" width="12" style="799" customWidth="1"/>
    <col min="6655" max="6655" width="11.140625" style="799" customWidth="1"/>
    <col min="6656" max="6656" width="9.28515625" style="799" customWidth="1"/>
    <col min="6657" max="6657" width="1.42578125" style="799" customWidth="1"/>
    <col min="6658" max="6658" width="17.28515625" style="799" customWidth="1"/>
    <col min="6659" max="6659" width="11.140625" style="799" customWidth="1"/>
    <col min="6660" max="6660" width="12.42578125" style="799" customWidth="1"/>
    <col min="6661" max="6662" width="11.28515625" style="799" customWidth="1"/>
    <col min="6663" max="6663" width="10.5703125" style="799" customWidth="1"/>
    <col min="6664" max="6664" width="16.42578125" style="799" customWidth="1"/>
    <col min="6665" max="6665" width="12.140625" style="799" customWidth="1"/>
    <col min="6666" max="6666" width="10.85546875" style="799" customWidth="1"/>
    <col min="6667" max="6667" width="11.7109375" style="799" customWidth="1"/>
    <col min="6668" max="6888" width="9.140625" style="799"/>
    <col min="6889" max="6889" width="6.28515625" style="799" customWidth="1"/>
    <col min="6890" max="6890" width="20.7109375" style="799" customWidth="1"/>
    <col min="6891" max="6891" width="10" style="799" customWidth="1"/>
    <col min="6892" max="6892" width="1" style="799" customWidth="1"/>
    <col min="6893" max="6893" width="10" style="799" customWidth="1"/>
    <col min="6894" max="6894" width="1.28515625" style="799" customWidth="1"/>
    <col min="6895" max="6895" width="9.7109375" style="799" customWidth="1"/>
    <col min="6896" max="6896" width="1.140625" style="799" customWidth="1"/>
    <col min="6897" max="6897" width="12.5703125" style="799" customWidth="1"/>
    <col min="6898" max="6898" width="4.7109375" style="799" customWidth="1"/>
    <col min="6899" max="6899" width="10.7109375" style="799" customWidth="1"/>
    <col min="6900" max="6900" width="4.5703125" style="799" customWidth="1"/>
    <col min="6901" max="6901" width="12.28515625" style="799" customWidth="1"/>
    <col min="6902" max="6902" width="1.42578125" style="799" customWidth="1"/>
    <col min="6903" max="6903" width="14.140625" style="799" customWidth="1"/>
    <col min="6904" max="6904" width="13.7109375" style="799" customWidth="1"/>
    <col min="6905" max="6905" width="8" style="799" customWidth="1"/>
    <col min="6906" max="6906" width="1.42578125" style="799" customWidth="1"/>
    <col min="6907" max="6907" width="11.28515625" style="799" customWidth="1"/>
    <col min="6908" max="6908" width="12.85546875" style="799" customWidth="1"/>
    <col min="6909" max="6909" width="10.5703125" style="799" customWidth="1"/>
    <col min="6910" max="6910" width="12" style="799" customWidth="1"/>
    <col min="6911" max="6911" width="11.140625" style="799" customWidth="1"/>
    <col min="6912" max="6912" width="9.28515625" style="799" customWidth="1"/>
    <col min="6913" max="6913" width="1.42578125" style="799" customWidth="1"/>
    <col min="6914" max="6914" width="17.28515625" style="799" customWidth="1"/>
    <col min="6915" max="6915" width="11.140625" style="799" customWidth="1"/>
    <col min="6916" max="6916" width="12.42578125" style="799" customWidth="1"/>
    <col min="6917" max="6918" width="11.28515625" style="799" customWidth="1"/>
    <col min="6919" max="6919" width="10.5703125" style="799" customWidth="1"/>
    <col min="6920" max="6920" width="16.42578125" style="799" customWidth="1"/>
    <col min="6921" max="6921" width="12.140625" style="799" customWidth="1"/>
    <col min="6922" max="6922" width="10.85546875" style="799" customWidth="1"/>
    <col min="6923" max="6923" width="11.7109375" style="799" customWidth="1"/>
    <col min="6924" max="7144" width="9.140625" style="799"/>
    <col min="7145" max="7145" width="6.28515625" style="799" customWidth="1"/>
    <col min="7146" max="7146" width="20.7109375" style="799" customWidth="1"/>
    <col min="7147" max="7147" width="10" style="799" customWidth="1"/>
    <col min="7148" max="7148" width="1" style="799" customWidth="1"/>
    <col min="7149" max="7149" width="10" style="799" customWidth="1"/>
    <col min="7150" max="7150" width="1.28515625" style="799" customWidth="1"/>
    <col min="7151" max="7151" width="9.7109375" style="799" customWidth="1"/>
    <col min="7152" max="7152" width="1.140625" style="799" customWidth="1"/>
    <col min="7153" max="7153" width="12.5703125" style="799" customWidth="1"/>
    <col min="7154" max="7154" width="4.7109375" style="799" customWidth="1"/>
    <col min="7155" max="7155" width="10.7109375" style="799" customWidth="1"/>
    <col min="7156" max="7156" width="4.5703125" style="799" customWidth="1"/>
    <col min="7157" max="7157" width="12.28515625" style="799" customWidth="1"/>
    <col min="7158" max="7158" width="1.42578125" style="799" customWidth="1"/>
    <col min="7159" max="7159" width="14.140625" style="799" customWidth="1"/>
    <col min="7160" max="7160" width="13.7109375" style="799" customWidth="1"/>
    <col min="7161" max="7161" width="8" style="799" customWidth="1"/>
    <col min="7162" max="7162" width="1.42578125" style="799" customWidth="1"/>
    <col min="7163" max="7163" width="11.28515625" style="799" customWidth="1"/>
    <col min="7164" max="7164" width="12.85546875" style="799" customWidth="1"/>
    <col min="7165" max="7165" width="10.5703125" style="799" customWidth="1"/>
    <col min="7166" max="7166" width="12" style="799" customWidth="1"/>
    <col min="7167" max="7167" width="11.140625" style="799" customWidth="1"/>
    <col min="7168" max="7168" width="9.28515625" style="799" customWidth="1"/>
    <col min="7169" max="7169" width="1.42578125" style="799" customWidth="1"/>
    <col min="7170" max="7170" width="17.28515625" style="799" customWidth="1"/>
    <col min="7171" max="7171" width="11.140625" style="799" customWidth="1"/>
    <col min="7172" max="7172" width="12.42578125" style="799" customWidth="1"/>
    <col min="7173" max="7174" width="11.28515625" style="799" customWidth="1"/>
    <col min="7175" max="7175" width="10.5703125" style="799" customWidth="1"/>
    <col min="7176" max="7176" width="16.42578125" style="799" customWidth="1"/>
    <col min="7177" max="7177" width="12.140625" style="799" customWidth="1"/>
    <col min="7178" max="7178" width="10.85546875" style="799" customWidth="1"/>
    <col min="7179" max="7179" width="11.7109375" style="799" customWidth="1"/>
    <col min="7180" max="7400" width="9.140625" style="799"/>
    <col min="7401" max="7401" width="6.28515625" style="799" customWidth="1"/>
    <col min="7402" max="7402" width="20.7109375" style="799" customWidth="1"/>
    <col min="7403" max="7403" width="10" style="799" customWidth="1"/>
    <col min="7404" max="7404" width="1" style="799" customWidth="1"/>
    <col min="7405" max="7405" width="10" style="799" customWidth="1"/>
    <col min="7406" max="7406" width="1.28515625" style="799" customWidth="1"/>
    <col min="7407" max="7407" width="9.7109375" style="799" customWidth="1"/>
    <col min="7408" max="7408" width="1.140625" style="799" customWidth="1"/>
    <col min="7409" max="7409" width="12.5703125" style="799" customWidth="1"/>
    <col min="7410" max="7410" width="4.7109375" style="799" customWidth="1"/>
    <col min="7411" max="7411" width="10.7109375" style="799" customWidth="1"/>
    <col min="7412" max="7412" width="4.5703125" style="799" customWidth="1"/>
    <col min="7413" max="7413" width="12.28515625" style="799" customWidth="1"/>
    <col min="7414" max="7414" width="1.42578125" style="799" customWidth="1"/>
    <col min="7415" max="7415" width="14.140625" style="799" customWidth="1"/>
    <col min="7416" max="7416" width="13.7109375" style="799" customWidth="1"/>
    <col min="7417" max="7417" width="8" style="799" customWidth="1"/>
    <col min="7418" max="7418" width="1.42578125" style="799" customWidth="1"/>
    <col min="7419" max="7419" width="11.28515625" style="799" customWidth="1"/>
    <col min="7420" max="7420" width="12.85546875" style="799" customWidth="1"/>
    <col min="7421" max="7421" width="10.5703125" style="799" customWidth="1"/>
    <col min="7422" max="7422" width="12" style="799" customWidth="1"/>
    <col min="7423" max="7423" width="11.140625" style="799" customWidth="1"/>
    <col min="7424" max="7424" width="9.28515625" style="799" customWidth="1"/>
    <col min="7425" max="7425" width="1.42578125" style="799" customWidth="1"/>
    <col min="7426" max="7426" width="17.28515625" style="799" customWidth="1"/>
    <col min="7427" max="7427" width="11.140625" style="799" customWidth="1"/>
    <col min="7428" max="7428" width="12.42578125" style="799" customWidth="1"/>
    <col min="7429" max="7430" width="11.28515625" style="799" customWidth="1"/>
    <col min="7431" max="7431" width="10.5703125" style="799" customWidth="1"/>
    <col min="7432" max="7432" width="16.42578125" style="799" customWidth="1"/>
    <col min="7433" max="7433" width="12.140625" style="799" customWidth="1"/>
    <col min="7434" max="7434" width="10.85546875" style="799" customWidth="1"/>
    <col min="7435" max="7435" width="11.7109375" style="799" customWidth="1"/>
    <col min="7436" max="7656" width="9.140625" style="799"/>
    <col min="7657" max="7657" width="6.28515625" style="799" customWidth="1"/>
    <col min="7658" max="7658" width="20.7109375" style="799" customWidth="1"/>
    <col min="7659" max="7659" width="10" style="799" customWidth="1"/>
    <col min="7660" max="7660" width="1" style="799" customWidth="1"/>
    <col min="7661" max="7661" width="10" style="799" customWidth="1"/>
    <col min="7662" max="7662" width="1.28515625" style="799" customWidth="1"/>
    <col min="7663" max="7663" width="9.7109375" style="799" customWidth="1"/>
    <col min="7664" max="7664" width="1.140625" style="799" customWidth="1"/>
    <col min="7665" max="7665" width="12.5703125" style="799" customWidth="1"/>
    <col min="7666" max="7666" width="4.7109375" style="799" customWidth="1"/>
    <col min="7667" max="7667" width="10.7109375" style="799" customWidth="1"/>
    <col min="7668" max="7668" width="4.5703125" style="799" customWidth="1"/>
    <col min="7669" max="7669" width="12.28515625" style="799" customWidth="1"/>
    <col min="7670" max="7670" width="1.42578125" style="799" customWidth="1"/>
    <col min="7671" max="7671" width="14.140625" style="799" customWidth="1"/>
    <col min="7672" max="7672" width="13.7109375" style="799" customWidth="1"/>
    <col min="7673" max="7673" width="8" style="799" customWidth="1"/>
    <col min="7674" max="7674" width="1.42578125" style="799" customWidth="1"/>
    <col min="7675" max="7675" width="11.28515625" style="799" customWidth="1"/>
    <col min="7676" max="7676" width="12.85546875" style="799" customWidth="1"/>
    <col min="7677" max="7677" width="10.5703125" style="799" customWidth="1"/>
    <col min="7678" max="7678" width="12" style="799" customWidth="1"/>
    <col min="7679" max="7679" width="11.140625" style="799" customWidth="1"/>
    <col min="7680" max="7680" width="9.28515625" style="799" customWidth="1"/>
    <col min="7681" max="7681" width="1.42578125" style="799" customWidth="1"/>
    <col min="7682" max="7682" width="17.28515625" style="799" customWidth="1"/>
    <col min="7683" max="7683" width="11.140625" style="799" customWidth="1"/>
    <col min="7684" max="7684" width="12.42578125" style="799" customWidth="1"/>
    <col min="7685" max="7686" width="11.28515625" style="799" customWidth="1"/>
    <col min="7687" max="7687" width="10.5703125" style="799" customWidth="1"/>
    <col min="7688" max="7688" width="16.42578125" style="799" customWidth="1"/>
    <col min="7689" max="7689" width="12.140625" style="799" customWidth="1"/>
    <col min="7690" max="7690" width="10.85546875" style="799" customWidth="1"/>
    <col min="7691" max="7691" width="11.7109375" style="799" customWidth="1"/>
    <col min="7692" max="7912" width="9.140625" style="799"/>
    <col min="7913" max="7913" width="6.28515625" style="799" customWidth="1"/>
    <col min="7914" max="7914" width="20.7109375" style="799" customWidth="1"/>
    <col min="7915" max="7915" width="10" style="799" customWidth="1"/>
    <col min="7916" max="7916" width="1" style="799" customWidth="1"/>
    <col min="7917" max="7917" width="10" style="799" customWidth="1"/>
    <col min="7918" max="7918" width="1.28515625" style="799" customWidth="1"/>
    <col min="7919" max="7919" width="9.7109375" style="799" customWidth="1"/>
    <col min="7920" max="7920" width="1.140625" style="799" customWidth="1"/>
    <col min="7921" max="7921" width="12.5703125" style="799" customWidth="1"/>
    <col min="7922" max="7922" width="4.7109375" style="799" customWidth="1"/>
    <col min="7923" max="7923" width="10.7109375" style="799" customWidth="1"/>
    <col min="7924" max="7924" width="4.5703125" style="799" customWidth="1"/>
    <col min="7925" max="7925" width="12.28515625" style="799" customWidth="1"/>
    <col min="7926" max="7926" width="1.42578125" style="799" customWidth="1"/>
    <col min="7927" max="7927" width="14.140625" style="799" customWidth="1"/>
    <col min="7928" max="7928" width="13.7109375" style="799" customWidth="1"/>
    <col min="7929" max="7929" width="8" style="799" customWidth="1"/>
    <col min="7930" max="7930" width="1.42578125" style="799" customWidth="1"/>
    <col min="7931" max="7931" width="11.28515625" style="799" customWidth="1"/>
    <col min="7932" max="7932" width="12.85546875" style="799" customWidth="1"/>
    <col min="7933" max="7933" width="10.5703125" style="799" customWidth="1"/>
    <col min="7934" max="7934" width="12" style="799" customWidth="1"/>
    <col min="7935" max="7935" width="11.140625" style="799" customWidth="1"/>
    <col min="7936" max="7936" width="9.28515625" style="799" customWidth="1"/>
    <col min="7937" max="7937" width="1.42578125" style="799" customWidth="1"/>
    <col min="7938" max="7938" width="17.28515625" style="799" customWidth="1"/>
    <col min="7939" max="7939" width="11.140625" style="799" customWidth="1"/>
    <col min="7940" max="7940" width="12.42578125" style="799" customWidth="1"/>
    <col min="7941" max="7942" width="11.28515625" style="799" customWidth="1"/>
    <col min="7943" max="7943" width="10.5703125" style="799" customWidth="1"/>
    <col min="7944" max="7944" width="16.42578125" style="799" customWidth="1"/>
    <col min="7945" max="7945" width="12.140625" style="799" customWidth="1"/>
    <col min="7946" max="7946" width="10.85546875" style="799" customWidth="1"/>
    <col min="7947" max="7947" width="11.7109375" style="799" customWidth="1"/>
    <col min="7948" max="8168" width="9.140625" style="799"/>
    <col min="8169" max="8169" width="6.28515625" style="799" customWidth="1"/>
    <col min="8170" max="8170" width="20.7109375" style="799" customWidth="1"/>
    <col min="8171" max="8171" width="10" style="799" customWidth="1"/>
    <col min="8172" max="8172" width="1" style="799" customWidth="1"/>
    <col min="8173" max="8173" width="10" style="799" customWidth="1"/>
    <col min="8174" max="8174" width="1.28515625" style="799" customWidth="1"/>
    <col min="8175" max="8175" width="9.7109375" style="799" customWidth="1"/>
    <col min="8176" max="8176" width="1.140625" style="799" customWidth="1"/>
    <col min="8177" max="8177" width="12.5703125" style="799" customWidth="1"/>
    <col min="8178" max="8178" width="4.7109375" style="799" customWidth="1"/>
    <col min="8179" max="8179" width="10.7109375" style="799" customWidth="1"/>
    <col min="8180" max="8180" width="4.5703125" style="799" customWidth="1"/>
    <col min="8181" max="8181" width="12.28515625" style="799" customWidth="1"/>
    <col min="8182" max="8182" width="1.42578125" style="799" customWidth="1"/>
    <col min="8183" max="8183" width="14.140625" style="799" customWidth="1"/>
    <col min="8184" max="8184" width="13.7109375" style="799" customWidth="1"/>
    <col min="8185" max="8185" width="8" style="799" customWidth="1"/>
    <col min="8186" max="8186" width="1.42578125" style="799" customWidth="1"/>
    <col min="8187" max="8187" width="11.28515625" style="799" customWidth="1"/>
    <col min="8188" max="8188" width="12.85546875" style="799" customWidth="1"/>
    <col min="8189" max="8189" width="10.5703125" style="799" customWidth="1"/>
    <col min="8190" max="8190" width="12" style="799" customWidth="1"/>
    <col min="8191" max="8191" width="11.140625" style="799" customWidth="1"/>
    <col min="8192" max="8192" width="9.28515625" style="799" customWidth="1"/>
    <col min="8193" max="8193" width="1.42578125" style="799" customWidth="1"/>
    <col min="8194" max="8194" width="17.28515625" style="799" customWidth="1"/>
    <col min="8195" max="8195" width="11.140625" style="799" customWidth="1"/>
    <col min="8196" max="8196" width="12.42578125" style="799" customWidth="1"/>
    <col min="8197" max="8198" width="11.28515625" style="799" customWidth="1"/>
    <col min="8199" max="8199" width="10.5703125" style="799" customWidth="1"/>
    <col min="8200" max="8200" width="16.42578125" style="799" customWidth="1"/>
    <col min="8201" max="8201" width="12.140625" style="799" customWidth="1"/>
    <col min="8202" max="8202" width="10.85546875" style="799" customWidth="1"/>
    <col min="8203" max="8203" width="11.7109375" style="799" customWidth="1"/>
    <col min="8204" max="8424" width="9.140625" style="799"/>
    <col min="8425" max="8425" width="6.28515625" style="799" customWidth="1"/>
    <col min="8426" max="8426" width="20.7109375" style="799" customWidth="1"/>
    <col min="8427" max="8427" width="10" style="799" customWidth="1"/>
    <col min="8428" max="8428" width="1" style="799" customWidth="1"/>
    <col min="8429" max="8429" width="10" style="799" customWidth="1"/>
    <col min="8430" max="8430" width="1.28515625" style="799" customWidth="1"/>
    <col min="8431" max="8431" width="9.7109375" style="799" customWidth="1"/>
    <col min="8432" max="8432" width="1.140625" style="799" customWidth="1"/>
    <col min="8433" max="8433" width="12.5703125" style="799" customWidth="1"/>
    <col min="8434" max="8434" width="4.7109375" style="799" customWidth="1"/>
    <col min="8435" max="8435" width="10.7109375" style="799" customWidth="1"/>
    <col min="8436" max="8436" width="4.5703125" style="799" customWidth="1"/>
    <col min="8437" max="8437" width="12.28515625" style="799" customWidth="1"/>
    <col min="8438" max="8438" width="1.42578125" style="799" customWidth="1"/>
    <col min="8439" max="8439" width="14.140625" style="799" customWidth="1"/>
    <col min="8440" max="8440" width="13.7109375" style="799" customWidth="1"/>
    <col min="8441" max="8441" width="8" style="799" customWidth="1"/>
    <col min="8442" max="8442" width="1.42578125" style="799" customWidth="1"/>
    <col min="8443" max="8443" width="11.28515625" style="799" customWidth="1"/>
    <col min="8444" max="8444" width="12.85546875" style="799" customWidth="1"/>
    <col min="8445" max="8445" width="10.5703125" style="799" customWidth="1"/>
    <col min="8446" max="8446" width="12" style="799" customWidth="1"/>
    <col min="8447" max="8447" width="11.140625" style="799" customWidth="1"/>
    <col min="8448" max="8448" width="9.28515625" style="799" customWidth="1"/>
    <col min="8449" max="8449" width="1.42578125" style="799" customWidth="1"/>
    <col min="8450" max="8450" width="17.28515625" style="799" customWidth="1"/>
    <col min="8451" max="8451" width="11.140625" style="799" customWidth="1"/>
    <col min="8452" max="8452" width="12.42578125" style="799" customWidth="1"/>
    <col min="8453" max="8454" width="11.28515625" style="799" customWidth="1"/>
    <col min="8455" max="8455" width="10.5703125" style="799" customWidth="1"/>
    <col min="8456" max="8456" width="16.42578125" style="799" customWidth="1"/>
    <col min="8457" max="8457" width="12.140625" style="799" customWidth="1"/>
    <col min="8458" max="8458" width="10.85546875" style="799" customWidth="1"/>
    <col min="8459" max="8459" width="11.7109375" style="799" customWidth="1"/>
    <col min="8460" max="8680" width="9.140625" style="799"/>
    <col min="8681" max="8681" width="6.28515625" style="799" customWidth="1"/>
    <col min="8682" max="8682" width="20.7109375" style="799" customWidth="1"/>
    <col min="8683" max="8683" width="10" style="799" customWidth="1"/>
    <col min="8684" max="8684" width="1" style="799" customWidth="1"/>
    <col min="8685" max="8685" width="10" style="799" customWidth="1"/>
    <col min="8686" max="8686" width="1.28515625" style="799" customWidth="1"/>
    <col min="8687" max="8687" width="9.7109375" style="799" customWidth="1"/>
    <col min="8688" max="8688" width="1.140625" style="799" customWidth="1"/>
    <col min="8689" max="8689" width="12.5703125" style="799" customWidth="1"/>
    <col min="8690" max="8690" width="4.7109375" style="799" customWidth="1"/>
    <col min="8691" max="8691" width="10.7109375" style="799" customWidth="1"/>
    <col min="8692" max="8692" width="4.5703125" style="799" customWidth="1"/>
    <col min="8693" max="8693" width="12.28515625" style="799" customWidth="1"/>
    <col min="8694" max="8694" width="1.42578125" style="799" customWidth="1"/>
    <col min="8695" max="8695" width="14.140625" style="799" customWidth="1"/>
    <col min="8696" max="8696" width="13.7109375" style="799" customWidth="1"/>
    <col min="8697" max="8697" width="8" style="799" customWidth="1"/>
    <col min="8698" max="8698" width="1.42578125" style="799" customWidth="1"/>
    <col min="8699" max="8699" width="11.28515625" style="799" customWidth="1"/>
    <col min="8700" max="8700" width="12.85546875" style="799" customWidth="1"/>
    <col min="8701" max="8701" width="10.5703125" style="799" customWidth="1"/>
    <col min="8702" max="8702" width="12" style="799" customWidth="1"/>
    <col min="8703" max="8703" width="11.140625" style="799" customWidth="1"/>
    <col min="8704" max="8704" width="9.28515625" style="799" customWidth="1"/>
    <col min="8705" max="8705" width="1.42578125" style="799" customWidth="1"/>
    <col min="8706" max="8706" width="17.28515625" style="799" customWidth="1"/>
    <col min="8707" max="8707" width="11.140625" style="799" customWidth="1"/>
    <col min="8708" max="8708" width="12.42578125" style="799" customWidth="1"/>
    <col min="8709" max="8710" width="11.28515625" style="799" customWidth="1"/>
    <col min="8711" max="8711" width="10.5703125" style="799" customWidth="1"/>
    <col min="8712" max="8712" width="16.42578125" style="799" customWidth="1"/>
    <col min="8713" max="8713" width="12.140625" style="799" customWidth="1"/>
    <col min="8714" max="8714" width="10.85546875" style="799" customWidth="1"/>
    <col min="8715" max="8715" width="11.7109375" style="799" customWidth="1"/>
    <col min="8716" max="8936" width="9.140625" style="799"/>
    <col min="8937" max="8937" width="6.28515625" style="799" customWidth="1"/>
    <col min="8938" max="8938" width="20.7109375" style="799" customWidth="1"/>
    <col min="8939" max="8939" width="10" style="799" customWidth="1"/>
    <col min="8940" max="8940" width="1" style="799" customWidth="1"/>
    <col min="8941" max="8941" width="10" style="799" customWidth="1"/>
    <col min="8942" max="8942" width="1.28515625" style="799" customWidth="1"/>
    <col min="8943" max="8943" width="9.7109375" style="799" customWidth="1"/>
    <col min="8944" max="8944" width="1.140625" style="799" customWidth="1"/>
    <col min="8945" max="8945" width="12.5703125" style="799" customWidth="1"/>
    <col min="8946" max="8946" width="4.7109375" style="799" customWidth="1"/>
    <col min="8947" max="8947" width="10.7109375" style="799" customWidth="1"/>
    <col min="8948" max="8948" width="4.5703125" style="799" customWidth="1"/>
    <col min="8949" max="8949" width="12.28515625" style="799" customWidth="1"/>
    <col min="8950" max="8950" width="1.42578125" style="799" customWidth="1"/>
    <col min="8951" max="8951" width="14.140625" style="799" customWidth="1"/>
    <col min="8952" max="8952" width="13.7109375" style="799" customWidth="1"/>
    <col min="8953" max="8953" width="8" style="799" customWidth="1"/>
    <col min="8954" max="8954" width="1.42578125" style="799" customWidth="1"/>
    <col min="8955" max="8955" width="11.28515625" style="799" customWidth="1"/>
    <col min="8956" max="8956" width="12.85546875" style="799" customWidth="1"/>
    <col min="8957" max="8957" width="10.5703125" style="799" customWidth="1"/>
    <col min="8958" max="8958" width="12" style="799" customWidth="1"/>
    <col min="8959" max="8959" width="11.140625" style="799" customWidth="1"/>
    <col min="8960" max="8960" width="9.28515625" style="799" customWidth="1"/>
    <col min="8961" max="8961" width="1.42578125" style="799" customWidth="1"/>
    <col min="8962" max="8962" width="17.28515625" style="799" customWidth="1"/>
    <col min="8963" max="8963" width="11.140625" style="799" customWidth="1"/>
    <col min="8964" max="8964" width="12.42578125" style="799" customWidth="1"/>
    <col min="8965" max="8966" width="11.28515625" style="799" customWidth="1"/>
    <col min="8967" max="8967" width="10.5703125" style="799" customWidth="1"/>
    <col min="8968" max="8968" width="16.42578125" style="799" customWidth="1"/>
    <col min="8969" max="8969" width="12.140625" style="799" customWidth="1"/>
    <col min="8970" max="8970" width="10.85546875" style="799" customWidth="1"/>
    <col min="8971" max="8971" width="11.7109375" style="799" customWidth="1"/>
    <col min="8972" max="9192" width="9.140625" style="799"/>
    <col min="9193" max="9193" width="6.28515625" style="799" customWidth="1"/>
    <col min="9194" max="9194" width="20.7109375" style="799" customWidth="1"/>
    <col min="9195" max="9195" width="10" style="799" customWidth="1"/>
    <col min="9196" max="9196" width="1" style="799" customWidth="1"/>
    <col min="9197" max="9197" width="10" style="799" customWidth="1"/>
    <col min="9198" max="9198" width="1.28515625" style="799" customWidth="1"/>
    <col min="9199" max="9199" width="9.7109375" style="799" customWidth="1"/>
    <col min="9200" max="9200" width="1.140625" style="799" customWidth="1"/>
    <col min="9201" max="9201" width="12.5703125" style="799" customWidth="1"/>
    <col min="9202" max="9202" width="4.7109375" style="799" customWidth="1"/>
    <col min="9203" max="9203" width="10.7109375" style="799" customWidth="1"/>
    <col min="9204" max="9204" width="4.5703125" style="799" customWidth="1"/>
    <col min="9205" max="9205" width="12.28515625" style="799" customWidth="1"/>
    <col min="9206" max="9206" width="1.42578125" style="799" customWidth="1"/>
    <col min="9207" max="9207" width="14.140625" style="799" customWidth="1"/>
    <col min="9208" max="9208" width="13.7109375" style="799" customWidth="1"/>
    <col min="9209" max="9209" width="8" style="799" customWidth="1"/>
    <col min="9210" max="9210" width="1.42578125" style="799" customWidth="1"/>
    <col min="9211" max="9211" width="11.28515625" style="799" customWidth="1"/>
    <col min="9212" max="9212" width="12.85546875" style="799" customWidth="1"/>
    <col min="9213" max="9213" width="10.5703125" style="799" customWidth="1"/>
    <col min="9214" max="9214" width="12" style="799" customWidth="1"/>
    <col min="9215" max="9215" width="11.140625" style="799" customWidth="1"/>
    <col min="9216" max="9216" width="9.28515625" style="799" customWidth="1"/>
    <col min="9217" max="9217" width="1.42578125" style="799" customWidth="1"/>
    <col min="9218" max="9218" width="17.28515625" style="799" customWidth="1"/>
    <col min="9219" max="9219" width="11.140625" style="799" customWidth="1"/>
    <col min="9220" max="9220" width="12.42578125" style="799" customWidth="1"/>
    <col min="9221" max="9222" width="11.28515625" style="799" customWidth="1"/>
    <col min="9223" max="9223" width="10.5703125" style="799" customWidth="1"/>
    <col min="9224" max="9224" width="16.42578125" style="799" customWidth="1"/>
    <col min="9225" max="9225" width="12.140625" style="799" customWidth="1"/>
    <col min="9226" max="9226" width="10.85546875" style="799" customWidth="1"/>
    <col min="9227" max="9227" width="11.7109375" style="799" customWidth="1"/>
    <col min="9228" max="9448" width="9.140625" style="799"/>
    <col min="9449" max="9449" width="6.28515625" style="799" customWidth="1"/>
    <col min="9450" max="9450" width="20.7109375" style="799" customWidth="1"/>
    <col min="9451" max="9451" width="10" style="799" customWidth="1"/>
    <col min="9452" max="9452" width="1" style="799" customWidth="1"/>
    <col min="9453" max="9453" width="10" style="799" customWidth="1"/>
    <col min="9454" max="9454" width="1.28515625" style="799" customWidth="1"/>
    <col min="9455" max="9455" width="9.7109375" style="799" customWidth="1"/>
    <col min="9456" max="9456" width="1.140625" style="799" customWidth="1"/>
    <col min="9457" max="9457" width="12.5703125" style="799" customWidth="1"/>
    <col min="9458" max="9458" width="4.7109375" style="799" customWidth="1"/>
    <col min="9459" max="9459" width="10.7109375" style="799" customWidth="1"/>
    <col min="9460" max="9460" width="4.5703125" style="799" customWidth="1"/>
    <col min="9461" max="9461" width="12.28515625" style="799" customWidth="1"/>
    <col min="9462" max="9462" width="1.42578125" style="799" customWidth="1"/>
    <col min="9463" max="9463" width="14.140625" style="799" customWidth="1"/>
    <col min="9464" max="9464" width="13.7109375" style="799" customWidth="1"/>
    <col min="9465" max="9465" width="8" style="799" customWidth="1"/>
    <col min="9466" max="9466" width="1.42578125" style="799" customWidth="1"/>
    <col min="9467" max="9467" width="11.28515625" style="799" customWidth="1"/>
    <col min="9468" max="9468" width="12.85546875" style="799" customWidth="1"/>
    <col min="9469" max="9469" width="10.5703125" style="799" customWidth="1"/>
    <col min="9470" max="9470" width="12" style="799" customWidth="1"/>
    <col min="9471" max="9471" width="11.140625" style="799" customWidth="1"/>
    <col min="9472" max="9472" width="9.28515625" style="799" customWidth="1"/>
    <col min="9473" max="9473" width="1.42578125" style="799" customWidth="1"/>
    <col min="9474" max="9474" width="17.28515625" style="799" customWidth="1"/>
    <col min="9475" max="9475" width="11.140625" style="799" customWidth="1"/>
    <col min="9476" max="9476" width="12.42578125" style="799" customWidth="1"/>
    <col min="9477" max="9478" width="11.28515625" style="799" customWidth="1"/>
    <col min="9479" max="9479" width="10.5703125" style="799" customWidth="1"/>
    <col min="9480" max="9480" width="16.42578125" style="799" customWidth="1"/>
    <col min="9481" max="9481" width="12.140625" style="799" customWidth="1"/>
    <col min="9482" max="9482" width="10.85546875" style="799" customWidth="1"/>
    <col min="9483" max="9483" width="11.7109375" style="799" customWidth="1"/>
    <col min="9484" max="9704" width="9.140625" style="799"/>
    <col min="9705" max="9705" width="6.28515625" style="799" customWidth="1"/>
    <col min="9706" max="9706" width="20.7109375" style="799" customWidth="1"/>
    <col min="9707" max="9707" width="10" style="799" customWidth="1"/>
    <col min="9708" max="9708" width="1" style="799" customWidth="1"/>
    <col min="9709" max="9709" width="10" style="799" customWidth="1"/>
    <col min="9710" max="9710" width="1.28515625" style="799" customWidth="1"/>
    <col min="9711" max="9711" width="9.7109375" style="799" customWidth="1"/>
    <col min="9712" max="9712" width="1.140625" style="799" customWidth="1"/>
    <col min="9713" max="9713" width="12.5703125" style="799" customWidth="1"/>
    <col min="9714" max="9714" width="4.7109375" style="799" customWidth="1"/>
    <col min="9715" max="9715" width="10.7109375" style="799" customWidth="1"/>
    <col min="9716" max="9716" width="4.5703125" style="799" customWidth="1"/>
    <col min="9717" max="9717" width="12.28515625" style="799" customWidth="1"/>
    <col min="9718" max="9718" width="1.42578125" style="799" customWidth="1"/>
    <col min="9719" max="9719" width="14.140625" style="799" customWidth="1"/>
    <col min="9720" max="9720" width="13.7109375" style="799" customWidth="1"/>
    <col min="9721" max="9721" width="8" style="799" customWidth="1"/>
    <col min="9722" max="9722" width="1.42578125" style="799" customWidth="1"/>
    <col min="9723" max="9723" width="11.28515625" style="799" customWidth="1"/>
    <col min="9724" max="9724" width="12.85546875" style="799" customWidth="1"/>
    <col min="9725" max="9725" width="10.5703125" style="799" customWidth="1"/>
    <col min="9726" max="9726" width="12" style="799" customWidth="1"/>
    <col min="9727" max="9727" width="11.140625" style="799" customWidth="1"/>
    <col min="9728" max="9728" width="9.28515625" style="799" customWidth="1"/>
    <col min="9729" max="9729" width="1.42578125" style="799" customWidth="1"/>
    <col min="9730" max="9730" width="17.28515625" style="799" customWidth="1"/>
    <col min="9731" max="9731" width="11.140625" style="799" customWidth="1"/>
    <col min="9732" max="9732" width="12.42578125" style="799" customWidth="1"/>
    <col min="9733" max="9734" width="11.28515625" style="799" customWidth="1"/>
    <col min="9735" max="9735" width="10.5703125" style="799" customWidth="1"/>
    <col min="9736" max="9736" width="16.42578125" style="799" customWidth="1"/>
    <col min="9737" max="9737" width="12.140625" style="799" customWidth="1"/>
    <col min="9738" max="9738" width="10.85546875" style="799" customWidth="1"/>
    <col min="9739" max="9739" width="11.7109375" style="799" customWidth="1"/>
    <col min="9740" max="9960" width="9.140625" style="799"/>
    <col min="9961" max="9961" width="6.28515625" style="799" customWidth="1"/>
    <col min="9962" max="9962" width="20.7109375" style="799" customWidth="1"/>
    <col min="9963" max="9963" width="10" style="799" customWidth="1"/>
    <col min="9964" max="9964" width="1" style="799" customWidth="1"/>
    <col min="9965" max="9965" width="10" style="799" customWidth="1"/>
    <col min="9966" max="9966" width="1.28515625" style="799" customWidth="1"/>
    <col min="9967" max="9967" width="9.7109375" style="799" customWidth="1"/>
    <col min="9968" max="9968" width="1.140625" style="799" customWidth="1"/>
    <col min="9969" max="9969" width="12.5703125" style="799" customWidth="1"/>
    <col min="9970" max="9970" width="4.7109375" style="799" customWidth="1"/>
    <col min="9971" max="9971" width="10.7109375" style="799" customWidth="1"/>
    <col min="9972" max="9972" width="4.5703125" style="799" customWidth="1"/>
    <col min="9973" max="9973" width="12.28515625" style="799" customWidth="1"/>
    <col min="9974" max="9974" width="1.42578125" style="799" customWidth="1"/>
    <col min="9975" max="9975" width="14.140625" style="799" customWidth="1"/>
    <col min="9976" max="9976" width="13.7109375" style="799" customWidth="1"/>
    <col min="9977" max="9977" width="8" style="799" customWidth="1"/>
    <col min="9978" max="9978" width="1.42578125" style="799" customWidth="1"/>
    <col min="9979" max="9979" width="11.28515625" style="799" customWidth="1"/>
    <col min="9980" max="9980" width="12.85546875" style="799" customWidth="1"/>
    <col min="9981" max="9981" width="10.5703125" style="799" customWidth="1"/>
    <col min="9982" max="9982" width="12" style="799" customWidth="1"/>
    <col min="9983" max="9983" width="11.140625" style="799" customWidth="1"/>
    <col min="9984" max="9984" width="9.28515625" style="799" customWidth="1"/>
    <col min="9985" max="9985" width="1.42578125" style="799" customWidth="1"/>
    <col min="9986" max="9986" width="17.28515625" style="799" customWidth="1"/>
    <col min="9987" max="9987" width="11.140625" style="799" customWidth="1"/>
    <col min="9988" max="9988" width="12.42578125" style="799" customWidth="1"/>
    <col min="9989" max="9990" width="11.28515625" style="799" customWidth="1"/>
    <col min="9991" max="9991" width="10.5703125" style="799" customWidth="1"/>
    <col min="9992" max="9992" width="16.42578125" style="799" customWidth="1"/>
    <col min="9993" max="9993" width="12.140625" style="799" customWidth="1"/>
    <col min="9994" max="9994" width="10.85546875" style="799" customWidth="1"/>
    <col min="9995" max="9995" width="11.7109375" style="799" customWidth="1"/>
    <col min="9996" max="10216" width="9.140625" style="799"/>
    <col min="10217" max="10217" width="6.28515625" style="799" customWidth="1"/>
    <col min="10218" max="10218" width="20.7109375" style="799" customWidth="1"/>
    <col min="10219" max="10219" width="10" style="799" customWidth="1"/>
    <col min="10220" max="10220" width="1" style="799" customWidth="1"/>
    <col min="10221" max="10221" width="10" style="799" customWidth="1"/>
    <col min="10222" max="10222" width="1.28515625" style="799" customWidth="1"/>
    <col min="10223" max="10223" width="9.7109375" style="799" customWidth="1"/>
    <col min="10224" max="10224" width="1.140625" style="799" customWidth="1"/>
    <col min="10225" max="10225" width="12.5703125" style="799" customWidth="1"/>
    <col min="10226" max="10226" width="4.7109375" style="799" customWidth="1"/>
    <col min="10227" max="10227" width="10.7109375" style="799" customWidth="1"/>
    <col min="10228" max="10228" width="4.5703125" style="799" customWidth="1"/>
    <col min="10229" max="10229" width="12.28515625" style="799" customWidth="1"/>
    <col min="10230" max="10230" width="1.42578125" style="799" customWidth="1"/>
    <col min="10231" max="10231" width="14.140625" style="799" customWidth="1"/>
    <col min="10232" max="10232" width="13.7109375" style="799" customWidth="1"/>
    <col min="10233" max="10233" width="8" style="799" customWidth="1"/>
    <col min="10234" max="10234" width="1.42578125" style="799" customWidth="1"/>
    <col min="10235" max="10235" width="11.28515625" style="799" customWidth="1"/>
    <col min="10236" max="10236" width="12.85546875" style="799" customWidth="1"/>
    <col min="10237" max="10237" width="10.5703125" style="799" customWidth="1"/>
    <col min="10238" max="10238" width="12" style="799" customWidth="1"/>
    <col min="10239" max="10239" width="11.140625" style="799" customWidth="1"/>
    <col min="10240" max="10240" width="9.28515625" style="799" customWidth="1"/>
    <col min="10241" max="10241" width="1.42578125" style="799" customWidth="1"/>
    <col min="10242" max="10242" width="17.28515625" style="799" customWidth="1"/>
    <col min="10243" max="10243" width="11.140625" style="799" customWidth="1"/>
    <col min="10244" max="10244" width="12.42578125" style="799" customWidth="1"/>
    <col min="10245" max="10246" width="11.28515625" style="799" customWidth="1"/>
    <col min="10247" max="10247" width="10.5703125" style="799" customWidth="1"/>
    <col min="10248" max="10248" width="16.42578125" style="799" customWidth="1"/>
    <col min="10249" max="10249" width="12.140625" style="799" customWidth="1"/>
    <col min="10250" max="10250" width="10.85546875" style="799" customWidth="1"/>
    <col min="10251" max="10251" width="11.7109375" style="799" customWidth="1"/>
    <col min="10252" max="10472" width="9.140625" style="799"/>
    <col min="10473" max="10473" width="6.28515625" style="799" customWidth="1"/>
    <col min="10474" max="10474" width="20.7109375" style="799" customWidth="1"/>
    <col min="10475" max="10475" width="10" style="799" customWidth="1"/>
    <col min="10476" max="10476" width="1" style="799" customWidth="1"/>
    <col min="10477" max="10477" width="10" style="799" customWidth="1"/>
    <col min="10478" max="10478" width="1.28515625" style="799" customWidth="1"/>
    <col min="10479" max="10479" width="9.7109375" style="799" customWidth="1"/>
    <col min="10480" max="10480" width="1.140625" style="799" customWidth="1"/>
    <col min="10481" max="10481" width="12.5703125" style="799" customWidth="1"/>
    <col min="10482" max="10482" width="4.7109375" style="799" customWidth="1"/>
    <col min="10483" max="10483" width="10.7109375" style="799" customWidth="1"/>
    <col min="10484" max="10484" width="4.5703125" style="799" customWidth="1"/>
    <col min="10485" max="10485" width="12.28515625" style="799" customWidth="1"/>
    <col min="10486" max="10486" width="1.42578125" style="799" customWidth="1"/>
    <col min="10487" max="10487" width="14.140625" style="799" customWidth="1"/>
    <col min="10488" max="10488" width="13.7109375" style="799" customWidth="1"/>
    <col min="10489" max="10489" width="8" style="799" customWidth="1"/>
    <col min="10490" max="10490" width="1.42578125" style="799" customWidth="1"/>
    <col min="10491" max="10491" width="11.28515625" style="799" customWidth="1"/>
    <col min="10492" max="10492" width="12.85546875" style="799" customWidth="1"/>
    <col min="10493" max="10493" width="10.5703125" style="799" customWidth="1"/>
    <col min="10494" max="10494" width="12" style="799" customWidth="1"/>
    <col min="10495" max="10495" width="11.140625" style="799" customWidth="1"/>
    <col min="10496" max="10496" width="9.28515625" style="799" customWidth="1"/>
    <col min="10497" max="10497" width="1.42578125" style="799" customWidth="1"/>
    <col min="10498" max="10498" width="17.28515625" style="799" customWidth="1"/>
    <col min="10499" max="10499" width="11.140625" style="799" customWidth="1"/>
    <col min="10500" max="10500" width="12.42578125" style="799" customWidth="1"/>
    <col min="10501" max="10502" width="11.28515625" style="799" customWidth="1"/>
    <col min="10503" max="10503" width="10.5703125" style="799" customWidth="1"/>
    <col min="10504" max="10504" width="16.42578125" style="799" customWidth="1"/>
    <col min="10505" max="10505" width="12.140625" style="799" customWidth="1"/>
    <col min="10506" max="10506" width="10.85546875" style="799" customWidth="1"/>
    <col min="10507" max="10507" width="11.7109375" style="799" customWidth="1"/>
    <col min="10508" max="10728" width="9.140625" style="799"/>
    <col min="10729" max="10729" width="6.28515625" style="799" customWidth="1"/>
    <col min="10730" max="10730" width="20.7109375" style="799" customWidth="1"/>
    <col min="10731" max="10731" width="10" style="799" customWidth="1"/>
    <col min="10732" max="10732" width="1" style="799" customWidth="1"/>
    <col min="10733" max="10733" width="10" style="799" customWidth="1"/>
    <col min="10734" max="10734" width="1.28515625" style="799" customWidth="1"/>
    <col min="10735" max="10735" width="9.7109375" style="799" customWidth="1"/>
    <col min="10736" max="10736" width="1.140625" style="799" customWidth="1"/>
    <col min="10737" max="10737" width="12.5703125" style="799" customWidth="1"/>
    <col min="10738" max="10738" width="4.7109375" style="799" customWidth="1"/>
    <col min="10739" max="10739" width="10.7109375" style="799" customWidth="1"/>
    <col min="10740" max="10740" width="4.5703125" style="799" customWidth="1"/>
    <col min="10741" max="10741" width="12.28515625" style="799" customWidth="1"/>
    <col min="10742" max="10742" width="1.42578125" style="799" customWidth="1"/>
    <col min="10743" max="10743" width="14.140625" style="799" customWidth="1"/>
    <col min="10744" max="10744" width="13.7109375" style="799" customWidth="1"/>
    <col min="10745" max="10745" width="8" style="799" customWidth="1"/>
    <col min="10746" max="10746" width="1.42578125" style="799" customWidth="1"/>
    <col min="10747" max="10747" width="11.28515625" style="799" customWidth="1"/>
    <col min="10748" max="10748" width="12.85546875" style="799" customWidth="1"/>
    <col min="10749" max="10749" width="10.5703125" style="799" customWidth="1"/>
    <col min="10750" max="10750" width="12" style="799" customWidth="1"/>
    <col min="10751" max="10751" width="11.140625" style="799" customWidth="1"/>
    <col min="10752" max="10752" width="9.28515625" style="799" customWidth="1"/>
    <col min="10753" max="10753" width="1.42578125" style="799" customWidth="1"/>
    <col min="10754" max="10754" width="17.28515625" style="799" customWidth="1"/>
    <col min="10755" max="10755" width="11.140625" style="799" customWidth="1"/>
    <col min="10756" max="10756" width="12.42578125" style="799" customWidth="1"/>
    <col min="10757" max="10758" width="11.28515625" style="799" customWidth="1"/>
    <col min="10759" max="10759" width="10.5703125" style="799" customWidth="1"/>
    <col min="10760" max="10760" width="16.42578125" style="799" customWidth="1"/>
    <col min="10761" max="10761" width="12.140625" style="799" customWidth="1"/>
    <col min="10762" max="10762" width="10.85546875" style="799" customWidth="1"/>
    <col min="10763" max="10763" width="11.7109375" style="799" customWidth="1"/>
    <col min="10764" max="10984" width="9.140625" style="799"/>
    <col min="10985" max="10985" width="6.28515625" style="799" customWidth="1"/>
    <col min="10986" max="10986" width="20.7109375" style="799" customWidth="1"/>
    <col min="10987" max="10987" width="10" style="799" customWidth="1"/>
    <col min="10988" max="10988" width="1" style="799" customWidth="1"/>
    <col min="10989" max="10989" width="10" style="799" customWidth="1"/>
    <col min="10990" max="10990" width="1.28515625" style="799" customWidth="1"/>
    <col min="10991" max="10991" width="9.7109375" style="799" customWidth="1"/>
    <col min="10992" max="10992" width="1.140625" style="799" customWidth="1"/>
    <col min="10993" max="10993" width="12.5703125" style="799" customWidth="1"/>
    <col min="10994" max="10994" width="4.7109375" style="799" customWidth="1"/>
    <col min="10995" max="10995" width="10.7109375" style="799" customWidth="1"/>
    <col min="10996" max="10996" width="4.5703125" style="799" customWidth="1"/>
    <col min="10997" max="10997" width="12.28515625" style="799" customWidth="1"/>
    <col min="10998" max="10998" width="1.42578125" style="799" customWidth="1"/>
    <col min="10999" max="10999" width="14.140625" style="799" customWidth="1"/>
    <col min="11000" max="11000" width="13.7109375" style="799" customWidth="1"/>
    <col min="11001" max="11001" width="8" style="799" customWidth="1"/>
    <col min="11002" max="11002" width="1.42578125" style="799" customWidth="1"/>
    <col min="11003" max="11003" width="11.28515625" style="799" customWidth="1"/>
    <col min="11004" max="11004" width="12.85546875" style="799" customWidth="1"/>
    <col min="11005" max="11005" width="10.5703125" style="799" customWidth="1"/>
    <col min="11006" max="11006" width="12" style="799" customWidth="1"/>
    <col min="11007" max="11007" width="11.140625" style="799" customWidth="1"/>
    <col min="11008" max="11008" width="9.28515625" style="799" customWidth="1"/>
    <col min="11009" max="11009" width="1.42578125" style="799" customWidth="1"/>
    <col min="11010" max="11010" width="17.28515625" style="799" customWidth="1"/>
    <col min="11011" max="11011" width="11.140625" style="799" customWidth="1"/>
    <col min="11012" max="11012" width="12.42578125" style="799" customWidth="1"/>
    <col min="11013" max="11014" width="11.28515625" style="799" customWidth="1"/>
    <col min="11015" max="11015" width="10.5703125" style="799" customWidth="1"/>
    <col min="11016" max="11016" width="16.42578125" style="799" customWidth="1"/>
    <col min="11017" max="11017" width="12.140625" style="799" customWidth="1"/>
    <col min="11018" max="11018" width="10.85546875" style="799" customWidth="1"/>
    <col min="11019" max="11019" width="11.7109375" style="799" customWidth="1"/>
    <col min="11020" max="11240" width="9.140625" style="799"/>
    <col min="11241" max="11241" width="6.28515625" style="799" customWidth="1"/>
    <col min="11242" max="11242" width="20.7109375" style="799" customWidth="1"/>
    <col min="11243" max="11243" width="10" style="799" customWidth="1"/>
    <col min="11244" max="11244" width="1" style="799" customWidth="1"/>
    <col min="11245" max="11245" width="10" style="799" customWidth="1"/>
    <col min="11246" max="11246" width="1.28515625" style="799" customWidth="1"/>
    <col min="11247" max="11247" width="9.7109375" style="799" customWidth="1"/>
    <col min="11248" max="11248" width="1.140625" style="799" customWidth="1"/>
    <col min="11249" max="11249" width="12.5703125" style="799" customWidth="1"/>
    <col min="11250" max="11250" width="4.7109375" style="799" customWidth="1"/>
    <col min="11251" max="11251" width="10.7109375" style="799" customWidth="1"/>
    <col min="11252" max="11252" width="4.5703125" style="799" customWidth="1"/>
    <col min="11253" max="11253" width="12.28515625" style="799" customWidth="1"/>
    <col min="11254" max="11254" width="1.42578125" style="799" customWidth="1"/>
    <col min="11255" max="11255" width="14.140625" style="799" customWidth="1"/>
    <col min="11256" max="11256" width="13.7109375" style="799" customWidth="1"/>
    <col min="11257" max="11257" width="8" style="799" customWidth="1"/>
    <col min="11258" max="11258" width="1.42578125" style="799" customWidth="1"/>
    <col min="11259" max="11259" width="11.28515625" style="799" customWidth="1"/>
    <col min="11260" max="11260" width="12.85546875" style="799" customWidth="1"/>
    <col min="11261" max="11261" width="10.5703125" style="799" customWidth="1"/>
    <col min="11262" max="11262" width="12" style="799" customWidth="1"/>
    <col min="11263" max="11263" width="11.140625" style="799" customWidth="1"/>
    <col min="11264" max="11264" width="9.28515625" style="799" customWidth="1"/>
    <col min="11265" max="11265" width="1.42578125" style="799" customWidth="1"/>
    <col min="11266" max="11266" width="17.28515625" style="799" customWidth="1"/>
    <col min="11267" max="11267" width="11.140625" style="799" customWidth="1"/>
    <col min="11268" max="11268" width="12.42578125" style="799" customWidth="1"/>
    <col min="11269" max="11270" width="11.28515625" style="799" customWidth="1"/>
    <col min="11271" max="11271" width="10.5703125" style="799" customWidth="1"/>
    <col min="11272" max="11272" width="16.42578125" style="799" customWidth="1"/>
    <col min="11273" max="11273" width="12.140625" style="799" customWidth="1"/>
    <col min="11274" max="11274" width="10.85546875" style="799" customWidth="1"/>
    <col min="11275" max="11275" width="11.7109375" style="799" customWidth="1"/>
    <col min="11276" max="11496" width="9.140625" style="799"/>
    <col min="11497" max="11497" width="6.28515625" style="799" customWidth="1"/>
    <col min="11498" max="11498" width="20.7109375" style="799" customWidth="1"/>
    <col min="11499" max="11499" width="10" style="799" customWidth="1"/>
    <col min="11500" max="11500" width="1" style="799" customWidth="1"/>
    <col min="11501" max="11501" width="10" style="799" customWidth="1"/>
    <col min="11502" max="11502" width="1.28515625" style="799" customWidth="1"/>
    <col min="11503" max="11503" width="9.7109375" style="799" customWidth="1"/>
    <col min="11504" max="11504" width="1.140625" style="799" customWidth="1"/>
    <col min="11505" max="11505" width="12.5703125" style="799" customWidth="1"/>
    <col min="11506" max="11506" width="4.7109375" style="799" customWidth="1"/>
    <col min="11507" max="11507" width="10.7109375" style="799" customWidth="1"/>
    <col min="11508" max="11508" width="4.5703125" style="799" customWidth="1"/>
    <col min="11509" max="11509" width="12.28515625" style="799" customWidth="1"/>
    <col min="11510" max="11510" width="1.42578125" style="799" customWidth="1"/>
    <col min="11511" max="11511" width="14.140625" style="799" customWidth="1"/>
    <col min="11512" max="11512" width="13.7109375" style="799" customWidth="1"/>
    <col min="11513" max="11513" width="8" style="799" customWidth="1"/>
    <col min="11514" max="11514" width="1.42578125" style="799" customWidth="1"/>
    <col min="11515" max="11515" width="11.28515625" style="799" customWidth="1"/>
    <col min="11516" max="11516" width="12.85546875" style="799" customWidth="1"/>
    <col min="11517" max="11517" width="10.5703125" style="799" customWidth="1"/>
    <col min="11518" max="11518" width="12" style="799" customWidth="1"/>
    <col min="11519" max="11519" width="11.140625" style="799" customWidth="1"/>
    <col min="11520" max="11520" width="9.28515625" style="799" customWidth="1"/>
    <col min="11521" max="11521" width="1.42578125" style="799" customWidth="1"/>
    <col min="11522" max="11522" width="17.28515625" style="799" customWidth="1"/>
    <col min="11523" max="11523" width="11.140625" style="799" customWidth="1"/>
    <col min="11524" max="11524" width="12.42578125" style="799" customWidth="1"/>
    <col min="11525" max="11526" width="11.28515625" style="799" customWidth="1"/>
    <col min="11527" max="11527" width="10.5703125" style="799" customWidth="1"/>
    <col min="11528" max="11528" width="16.42578125" style="799" customWidth="1"/>
    <col min="11529" max="11529" width="12.140625" style="799" customWidth="1"/>
    <col min="11530" max="11530" width="10.85546875" style="799" customWidth="1"/>
    <col min="11531" max="11531" width="11.7109375" style="799" customWidth="1"/>
    <col min="11532" max="11752" width="9.140625" style="799"/>
    <col min="11753" max="11753" width="6.28515625" style="799" customWidth="1"/>
    <col min="11754" max="11754" width="20.7109375" style="799" customWidth="1"/>
    <col min="11755" max="11755" width="10" style="799" customWidth="1"/>
    <col min="11756" max="11756" width="1" style="799" customWidth="1"/>
    <col min="11757" max="11757" width="10" style="799" customWidth="1"/>
    <col min="11758" max="11758" width="1.28515625" style="799" customWidth="1"/>
    <col min="11759" max="11759" width="9.7109375" style="799" customWidth="1"/>
    <col min="11760" max="11760" width="1.140625" style="799" customWidth="1"/>
    <col min="11761" max="11761" width="12.5703125" style="799" customWidth="1"/>
    <col min="11762" max="11762" width="4.7109375" style="799" customWidth="1"/>
    <col min="11763" max="11763" width="10.7109375" style="799" customWidth="1"/>
    <col min="11764" max="11764" width="4.5703125" style="799" customWidth="1"/>
    <col min="11765" max="11765" width="12.28515625" style="799" customWidth="1"/>
    <col min="11766" max="11766" width="1.42578125" style="799" customWidth="1"/>
    <col min="11767" max="11767" width="14.140625" style="799" customWidth="1"/>
    <col min="11768" max="11768" width="13.7109375" style="799" customWidth="1"/>
    <col min="11769" max="11769" width="8" style="799" customWidth="1"/>
    <col min="11770" max="11770" width="1.42578125" style="799" customWidth="1"/>
    <col min="11771" max="11771" width="11.28515625" style="799" customWidth="1"/>
    <col min="11772" max="11772" width="12.85546875" style="799" customWidth="1"/>
    <col min="11773" max="11773" width="10.5703125" style="799" customWidth="1"/>
    <col min="11774" max="11774" width="12" style="799" customWidth="1"/>
    <col min="11775" max="11775" width="11.140625" style="799" customWidth="1"/>
    <col min="11776" max="11776" width="9.28515625" style="799" customWidth="1"/>
    <col min="11777" max="11777" width="1.42578125" style="799" customWidth="1"/>
    <col min="11778" max="11778" width="17.28515625" style="799" customWidth="1"/>
    <col min="11779" max="11779" width="11.140625" style="799" customWidth="1"/>
    <col min="11780" max="11780" width="12.42578125" style="799" customWidth="1"/>
    <col min="11781" max="11782" width="11.28515625" style="799" customWidth="1"/>
    <col min="11783" max="11783" width="10.5703125" style="799" customWidth="1"/>
    <col min="11784" max="11784" width="16.42578125" style="799" customWidth="1"/>
    <col min="11785" max="11785" width="12.140625" style="799" customWidth="1"/>
    <col min="11786" max="11786" width="10.85546875" style="799" customWidth="1"/>
    <col min="11787" max="11787" width="11.7109375" style="799" customWidth="1"/>
    <col min="11788" max="12008" width="9.140625" style="799"/>
    <col min="12009" max="12009" width="6.28515625" style="799" customWidth="1"/>
    <col min="12010" max="12010" width="20.7109375" style="799" customWidth="1"/>
    <col min="12011" max="12011" width="10" style="799" customWidth="1"/>
    <col min="12012" max="12012" width="1" style="799" customWidth="1"/>
    <col min="12013" max="12013" width="10" style="799" customWidth="1"/>
    <col min="12014" max="12014" width="1.28515625" style="799" customWidth="1"/>
    <col min="12015" max="12015" width="9.7109375" style="799" customWidth="1"/>
    <col min="12016" max="12016" width="1.140625" style="799" customWidth="1"/>
    <col min="12017" max="12017" width="12.5703125" style="799" customWidth="1"/>
    <col min="12018" max="12018" width="4.7109375" style="799" customWidth="1"/>
    <col min="12019" max="12019" width="10.7109375" style="799" customWidth="1"/>
    <col min="12020" max="12020" width="4.5703125" style="799" customWidth="1"/>
    <col min="12021" max="12021" width="12.28515625" style="799" customWidth="1"/>
    <col min="12022" max="12022" width="1.42578125" style="799" customWidth="1"/>
    <col min="12023" max="12023" width="14.140625" style="799" customWidth="1"/>
    <col min="12024" max="12024" width="13.7109375" style="799" customWidth="1"/>
    <col min="12025" max="12025" width="8" style="799" customWidth="1"/>
    <col min="12026" max="12026" width="1.42578125" style="799" customWidth="1"/>
    <col min="12027" max="12027" width="11.28515625" style="799" customWidth="1"/>
    <col min="12028" max="12028" width="12.85546875" style="799" customWidth="1"/>
    <col min="12029" max="12029" width="10.5703125" style="799" customWidth="1"/>
    <col min="12030" max="12030" width="12" style="799" customWidth="1"/>
    <col min="12031" max="12031" width="11.140625" style="799" customWidth="1"/>
    <col min="12032" max="12032" width="9.28515625" style="799" customWidth="1"/>
    <col min="12033" max="12033" width="1.42578125" style="799" customWidth="1"/>
    <col min="12034" max="12034" width="17.28515625" style="799" customWidth="1"/>
    <col min="12035" max="12035" width="11.140625" style="799" customWidth="1"/>
    <col min="12036" max="12036" width="12.42578125" style="799" customWidth="1"/>
    <col min="12037" max="12038" width="11.28515625" style="799" customWidth="1"/>
    <col min="12039" max="12039" width="10.5703125" style="799" customWidth="1"/>
    <col min="12040" max="12040" width="16.42578125" style="799" customWidth="1"/>
    <col min="12041" max="12041" width="12.140625" style="799" customWidth="1"/>
    <col min="12042" max="12042" width="10.85546875" style="799" customWidth="1"/>
    <col min="12043" max="12043" width="11.7109375" style="799" customWidth="1"/>
    <col min="12044" max="12264" width="9.140625" style="799"/>
    <col min="12265" max="12265" width="6.28515625" style="799" customWidth="1"/>
    <col min="12266" max="12266" width="20.7109375" style="799" customWidth="1"/>
    <col min="12267" max="12267" width="10" style="799" customWidth="1"/>
    <col min="12268" max="12268" width="1" style="799" customWidth="1"/>
    <col min="12269" max="12269" width="10" style="799" customWidth="1"/>
    <col min="12270" max="12270" width="1.28515625" style="799" customWidth="1"/>
    <col min="12271" max="12271" width="9.7109375" style="799" customWidth="1"/>
    <col min="12272" max="12272" width="1.140625" style="799" customWidth="1"/>
    <col min="12273" max="12273" width="12.5703125" style="799" customWidth="1"/>
    <col min="12274" max="12274" width="4.7109375" style="799" customWidth="1"/>
    <col min="12275" max="12275" width="10.7109375" style="799" customWidth="1"/>
    <col min="12276" max="12276" width="4.5703125" style="799" customWidth="1"/>
    <col min="12277" max="12277" width="12.28515625" style="799" customWidth="1"/>
    <col min="12278" max="12278" width="1.42578125" style="799" customWidth="1"/>
    <col min="12279" max="12279" width="14.140625" style="799" customWidth="1"/>
    <col min="12280" max="12280" width="13.7109375" style="799" customWidth="1"/>
    <col min="12281" max="12281" width="8" style="799" customWidth="1"/>
    <col min="12282" max="12282" width="1.42578125" style="799" customWidth="1"/>
    <col min="12283" max="12283" width="11.28515625" style="799" customWidth="1"/>
    <col min="12284" max="12284" width="12.85546875" style="799" customWidth="1"/>
    <col min="12285" max="12285" width="10.5703125" style="799" customWidth="1"/>
    <col min="12286" max="12286" width="12" style="799" customWidth="1"/>
    <col min="12287" max="12287" width="11.140625" style="799" customWidth="1"/>
    <col min="12288" max="12288" width="9.28515625" style="799" customWidth="1"/>
    <col min="12289" max="12289" width="1.42578125" style="799" customWidth="1"/>
    <col min="12290" max="12290" width="17.28515625" style="799" customWidth="1"/>
    <col min="12291" max="12291" width="11.140625" style="799" customWidth="1"/>
    <col min="12292" max="12292" width="12.42578125" style="799" customWidth="1"/>
    <col min="12293" max="12294" width="11.28515625" style="799" customWidth="1"/>
    <col min="12295" max="12295" width="10.5703125" style="799" customWidth="1"/>
    <col min="12296" max="12296" width="16.42578125" style="799" customWidth="1"/>
    <col min="12297" max="12297" width="12.140625" style="799" customWidth="1"/>
    <col min="12298" max="12298" width="10.85546875" style="799" customWidth="1"/>
    <col min="12299" max="12299" width="11.7109375" style="799" customWidth="1"/>
    <col min="12300" max="12520" width="9.140625" style="799"/>
    <col min="12521" max="12521" width="6.28515625" style="799" customWidth="1"/>
    <col min="12522" max="12522" width="20.7109375" style="799" customWidth="1"/>
    <col min="12523" max="12523" width="10" style="799" customWidth="1"/>
    <col min="12524" max="12524" width="1" style="799" customWidth="1"/>
    <col min="12525" max="12525" width="10" style="799" customWidth="1"/>
    <col min="12526" max="12526" width="1.28515625" style="799" customWidth="1"/>
    <col min="12527" max="12527" width="9.7109375" style="799" customWidth="1"/>
    <col min="12528" max="12528" width="1.140625" style="799" customWidth="1"/>
    <col min="12529" max="12529" width="12.5703125" style="799" customWidth="1"/>
    <col min="12530" max="12530" width="4.7109375" style="799" customWidth="1"/>
    <col min="12531" max="12531" width="10.7109375" style="799" customWidth="1"/>
    <col min="12532" max="12532" width="4.5703125" style="799" customWidth="1"/>
    <col min="12533" max="12533" width="12.28515625" style="799" customWidth="1"/>
    <col min="12534" max="12534" width="1.42578125" style="799" customWidth="1"/>
    <col min="12535" max="12535" width="14.140625" style="799" customWidth="1"/>
    <col min="12536" max="12536" width="13.7109375" style="799" customWidth="1"/>
    <col min="12537" max="12537" width="8" style="799" customWidth="1"/>
    <col min="12538" max="12538" width="1.42578125" style="799" customWidth="1"/>
    <col min="12539" max="12539" width="11.28515625" style="799" customWidth="1"/>
    <col min="12540" max="12540" width="12.85546875" style="799" customWidth="1"/>
    <col min="12541" max="12541" width="10.5703125" style="799" customWidth="1"/>
    <col min="12542" max="12542" width="12" style="799" customWidth="1"/>
    <col min="12543" max="12543" width="11.140625" style="799" customWidth="1"/>
    <col min="12544" max="12544" width="9.28515625" style="799" customWidth="1"/>
    <col min="12545" max="12545" width="1.42578125" style="799" customWidth="1"/>
    <col min="12546" max="12546" width="17.28515625" style="799" customWidth="1"/>
    <col min="12547" max="12547" width="11.140625" style="799" customWidth="1"/>
    <col min="12548" max="12548" width="12.42578125" style="799" customWidth="1"/>
    <col min="12549" max="12550" width="11.28515625" style="799" customWidth="1"/>
    <col min="12551" max="12551" width="10.5703125" style="799" customWidth="1"/>
    <col min="12552" max="12552" width="16.42578125" style="799" customWidth="1"/>
    <col min="12553" max="12553" width="12.140625" style="799" customWidth="1"/>
    <col min="12554" max="12554" width="10.85546875" style="799" customWidth="1"/>
    <col min="12555" max="12555" width="11.7109375" style="799" customWidth="1"/>
    <col min="12556" max="12776" width="9.140625" style="799"/>
    <col min="12777" max="12777" width="6.28515625" style="799" customWidth="1"/>
    <col min="12778" max="12778" width="20.7109375" style="799" customWidth="1"/>
    <col min="12779" max="12779" width="10" style="799" customWidth="1"/>
    <col min="12780" max="12780" width="1" style="799" customWidth="1"/>
    <col min="12781" max="12781" width="10" style="799" customWidth="1"/>
    <col min="12782" max="12782" width="1.28515625" style="799" customWidth="1"/>
    <col min="12783" max="12783" width="9.7109375" style="799" customWidth="1"/>
    <col min="12784" max="12784" width="1.140625" style="799" customWidth="1"/>
    <col min="12785" max="12785" width="12.5703125" style="799" customWidth="1"/>
    <col min="12786" max="12786" width="4.7109375" style="799" customWidth="1"/>
    <col min="12787" max="12787" width="10.7109375" style="799" customWidth="1"/>
    <col min="12788" max="12788" width="4.5703125" style="799" customWidth="1"/>
    <col min="12789" max="12789" width="12.28515625" style="799" customWidth="1"/>
    <col min="12790" max="12790" width="1.42578125" style="799" customWidth="1"/>
    <col min="12791" max="12791" width="14.140625" style="799" customWidth="1"/>
    <col min="12792" max="12792" width="13.7109375" style="799" customWidth="1"/>
    <col min="12793" max="12793" width="8" style="799" customWidth="1"/>
    <col min="12794" max="12794" width="1.42578125" style="799" customWidth="1"/>
    <col min="12795" max="12795" width="11.28515625" style="799" customWidth="1"/>
    <col min="12796" max="12796" width="12.85546875" style="799" customWidth="1"/>
    <col min="12797" max="12797" width="10.5703125" style="799" customWidth="1"/>
    <col min="12798" max="12798" width="12" style="799" customWidth="1"/>
    <col min="12799" max="12799" width="11.140625" style="799" customWidth="1"/>
    <col min="12800" max="12800" width="9.28515625" style="799" customWidth="1"/>
    <col min="12801" max="12801" width="1.42578125" style="799" customWidth="1"/>
    <col min="12802" max="12802" width="17.28515625" style="799" customWidth="1"/>
    <col min="12803" max="12803" width="11.140625" style="799" customWidth="1"/>
    <col min="12804" max="12804" width="12.42578125" style="799" customWidth="1"/>
    <col min="12805" max="12806" width="11.28515625" style="799" customWidth="1"/>
    <col min="12807" max="12807" width="10.5703125" style="799" customWidth="1"/>
    <col min="12808" max="12808" width="16.42578125" style="799" customWidth="1"/>
    <col min="12809" max="12809" width="12.140625" style="799" customWidth="1"/>
    <col min="12810" max="12810" width="10.85546875" style="799" customWidth="1"/>
    <col min="12811" max="12811" width="11.7109375" style="799" customWidth="1"/>
    <col min="12812" max="13032" width="9.140625" style="799"/>
    <col min="13033" max="13033" width="6.28515625" style="799" customWidth="1"/>
    <col min="13034" max="13034" width="20.7109375" style="799" customWidth="1"/>
    <col min="13035" max="13035" width="10" style="799" customWidth="1"/>
    <col min="13036" max="13036" width="1" style="799" customWidth="1"/>
    <col min="13037" max="13037" width="10" style="799" customWidth="1"/>
    <col min="13038" max="13038" width="1.28515625" style="799" customWidth="1"/>
    <col min="13039" max="13039" width="9.7109375" style="799" customWidth="1"/>
    <col min="13040" max="13040" width="1.140625" style="799" customWidth="1"/>
    <col min="13041" max="13041" width="12.5703125" style="799" customWidth="1"/>
    <col min="13042" max="13042" width="4.7109375" style="799" customWidth="1"/>
    <col min="13043" max="13043" width="10.7109375" style="799" customWidth="1"/>
    <col min="13044" max="13044" width="4.5703125" style="799" customWidth="1"/>
    <col min="13045" max="13045" width="12.28515625" style="799" customWidth="1"/>
    <col min="13046" max="13046" width="1.42578125" style="799" customWidth="1"/>
    <col min="13047" max="13047" width="14.140625" style="799" customWidth="1"/>
    <col min="13048" max="13048" width="13.7109375" style="799" customWidth="1"/>
    <col min="13049" max="13049" width="8" style="799" customWidth="1"/>
    <col min="13050" max="13050" width="1.42578125" style="799" customWidth="1"/>
    <col min="13051" max="13051" width="11.28515625" style="799" customWidth="1"/>
    <col min="13052" max="13052" width="12.85546875" style="799" customWidth="1"/>
    <col min="13053" max="13053" width="10.5703125" style="799" customWidth="1"/>
    <col min="13054" max="13054" width="12" style="799" customWidth="1"/>
    <col min="13055" max="13055" width="11.140625" style="799" customWidth="1"/>
    <col min="13056" max="13056" width="9.28515625" style="799" customWidth="1"/>
    <col min="13057" max="13057" width="1.42578125" style="799" customWidth="1"/>
    <col min="13058" max="13058" width="17.28515625" style="799" customWidth="1"/>
    <col min="13059" max="13059" width="11.140625" style="799" customWidth="1"/>
    <col min="13060" max="13060" width="12.42578125" style="799" customWidth="1"/>
    <col min="13061" max="13062" width="11.28515625" style="799" customWidth="1"/>
    <col min="13063" max="13063" width="10.5703125" style="799" customWidth="1"/>
    <col min="13064" max="13064" width="16.42578125" style="799" customWidth="1"/>
    <col min="13065" max="13065" width="12.140625" style="799" customWidth="1"/>
    <col min="13066" max="13066" width="10.85546875" style="799" customWidth="1"/>
    <col min="13067" max="13067" width="11.7109375" style="799" customWidth="1"/>
    <col min="13068" max="13288" width="9.140625" style="799"/>
    <col min="13289" max="13289" width="6.28515625" style="799" customWidth="1"/>
    <col min="13290" max="13290" width="20.7109375" style="799" customWidth="1"/>
    <col min="13291" max="13291" width="10" style="799" customWidth="1"/>
    <col min="13292" max="13292" width="1" style="799" customWidth="1"/>
    <col min="13293" max="13293" width="10" style="799" customWidth="1"/>
    <col min="13294" max="13294" width="1.28515625" style="799" customWidth="1"/>
    <col min="13295" max="13295" width="9.7109375" style="799" customWidth="1"/>
    <col min="13296" max="13296" width="1.140625" style="799" customWidth="1"/>
    <col min="13297" max="13297" width="12.5703125" style="799" customWidth="1"/>
    <col min="13298" max="13298" width="4.7109375" style="799" customWidth="1"/>
    <col min="13299" max="13299" width="10.7109375" style="799" customWidth="1"/>
    <col min="13300" max="13300" width="4.5703125" style="799" customWidth="1"/>
    <col min="13301" max="13301" width="12.28515625" style="799" customWidth="1"/>
    <col min="13302" max="13302" width="1.42578125" style="799" customWidth="1"/>
    <col min="13303" max="13303" width="14.140625" style="799" customWidth="1"/>
    <col min="13304" max="13304" width="13.7109375" style="799" customWidth="1"/>
    <col min="13305" max="13305" width="8" style="799" customWidth="1"/>
    <col min="13306" max="13306" width="1.42578125" style="799" customWidth="1"/>
    <col min="13307" max="13307" width="11.28515625" style="799" customWidth="1"/>
    <col min="13308" max="13308" width="12.85546875" style="799" customWidth="1"/>
    <col min="13309" max="13309" width="10.5703125" style="799" customWidth="1"/>
    <col min="13310" max="13310" width="12" style="799" customWidth="1"/>
    <col min="13311" max="13311" width="11.140625" style="799" customWidth="1"/>
    <col min="13312" max="13312" width="9.28515625" style="799" customWidth="1"/>
    <col min="13313" max="13313" width="1.42578125" style="799" customWidth="1"/>
    <col min="13314" max="13314" width="17.28515625" style="799" customWidth="1"/>
    <col min="13315" max="13315" width="11.140625" style="799" customWidth="1"/>
    <col min="13316" max="13316" width="12.42578125" style="799" customWidth="1"/>
    <col min="13317" max="13318" width="11.28515625" style="799" customWidth="1"/>
    <col min="13319" max="13319" width="10.5703125" style="799" customWidth="1"/>
    <col min="13320" max="13320" width="16.42578125" style="799" customWidth="1"/>
    <col min="13321" max="13321" width="12.140625" style="799" customWidth="1"/>
    <col min="13322" max="13322" width="10.85546875" style="799" customWidth="1"/>
    <col min="13323" max="13323" width="11.7109375" style="799" customWidth="1"/>
    <col min="13324" max="13544" width="9.140625" style="799"/>
    <col min="13545" max="13545" width="6.28515625" style="799" customWidth="1"/>
    <col min="13546" max="13546" width="20.7109375" style="799" customWidth="1"/>
    <col min="13547" max="13547" width="10" style="799" customWidth="1"/>
    <col min="13548" max="13548" width="1" style="799" customWidth="1"/>
    <col min="13549" max="13549" width="10" style="799" customWidth="1"/>
    <col min="13550" max="13550" width="1.28515625" style="799" customWidth="1"/>
    <col min="13551" max="13551" width="9.7109375" style="799" customWidth="1"/>
    <col min="13552" max="13552" width="1.140625" style="799" customWidth="1"/>
    <col min="13553" max="13553" width="12.5703125" style="799" customWidth="1"/>
    <col min="13554" max="13554" width="4.7109375" style="799" customWidth="1"/>
    <col min="13555" max="13555" width="10.7109375" style="799" customWidth="1"/>
    <col min="13556" max="13556" width="4.5703125" style="799" customWidth="1"/>
    <col min="13557" max="13557" width="12.28515625" style="799" customWidth="1"/>
    <col min="13558" max="13558" width="1.42578125" style="799" customWidth="1"/>
    <col min="13559" max="13559" width="14.140625" style="799" customWidth="1"/>
    <col min="13560" max="13560" width="13.7109375" style="799" customWidth="1"/>
    <col min="13561" max="13561" width="8" style="799" customWidth="1"/>
    <col min="13562" max="13562" width="1.42578125" style="799" customWidth="1"/>
    <col min="13563" max="13563" width="11.28515625" style="799" customWidth="1"/>
    <col min="13564" max="13564" width="12.85546875" style="799" customWidth="1"/>
    <col min="13565" max="13565" width="10.5703125" style="799" customWidth="1"/>
    <col min="13566" max="13566" width="12" style="799" customWidth="1"/>
    <col min="13567" max="13567" width="11.140625" style="799" customWidth="1"/>
    <col min="13568" max="13568" width="9.28515625" style="799" customWidth="1"/>
    <col min="13569" max="13569" width="1.42578125" style="799" customWidth="1"/>
    <col min="13570" max="13570" width="17.28515625" style="799" customWidth="1"/>
    <col min="13571" max="13571" width="11.140625" style="799" customWidth="1"/>
    <col min="13572" max="13572" width="12.42578125" style="799" customWidth="1"/>
    <col min="13573" max="13574" width="11.28515625" style="799" customWidth="1"/>
    <col min="13575" max="13575" width="10.5703125" style="799" customWidth="1"/>
    <col min="13576" max="13576" width="16.42578125" style="799" customWidth="1"/>
    <col min="13577" max="13577" width="12.140625" style="799" customWidth="1"/>
    <col min="13578" max="13578" width="10.85546875" style="799" customWidth="1"/>
    <col min="13579" max="13579" width="11.7109375" style="799" customWidth="1"/>
    <col min="13580" max="13800" width="9.140625" style="799"/>
    <col min="13801" max="13801" width="6.28515625" style="799" customWidth="1"/>
    <col min="13802" max="13802" width="20.7109375" style="799" customWidth="1"/>
    <col min="13803" max="13803" width="10" style="799" customWidth="1"/>
    <col min="13804" max="13804" width="1" style="799" customWidth="1"/>
    <col min="13805" max="13805" width="10" style="799" customWidth="1"/>
    <col min="13806" max="13806" width="1.28515625" style="799" customWidth="1"/>
    <col min="13807" max="13807" width="9.7109375" style="799" customWidth="1"/>
    <col min="13808" max="13808" width="1.140625" style="799" customWidth="1"/>
    <col min="13809" max="13809" width="12.5703125" style="799" customWidth="1"/>
    <col min="13810" max="13810" width="4.7109375" style="799" customWidth="1"/>
    <col min="13811" max="13811" width="10.7109375" style="799" customWidth="1"/>
    <col min="13812" max="13812" width="4.5703125" style="799" customWidth="1"/>
    <col min="13813" max="13813" width="12.28515625" style="799" customWidth="1"/>
    <col min="13814" max="13814" width="1.42578125" style="799" customWidth="1"/>
    <col min="13815" max="13815" width="14.140625" style="799" customWidth="1"/>
    <col min="13816" max="13816" width="13.7109375" style="799" customWidth="1"/>
    <col min="13817" max="13817" width="8" style="799" customWidth="1"/>
    <col min="13818" max="13818" width="1.42578125" style="799" customWidth="1"/>
    <col min="13819" max="13819" width="11.28515625" style="799" customWidth="1"/>
    <col min="13820" max="13820" width="12.85546875" style="799" customWidth="1"/>
    <col min="13821" max="13821" width="10.5703125" style="799" customWidth="1"/>
    <col min="13822" max="13822" width="12" style="799" customWidth="1"/>
    <col min="13823" max="13823" width="11.140625" style="799" customWidth="1"/>
    <col min="13824" max="13824" width="9.28515625" style="799" customWidth="1"/>
    <col min="13825" max="13825" width="1.42578125" style="799" customWidth="1"/>
    <col min="13826" max="13826" width="17.28515625" style="799" customWidth="1"/>
    <col min="13827" max="13827" width="11.140625" style="799" customWidth="1"/>
    <col min="13828" max="13828" width="12.42578125" style="799" customWidth="1"/>
    <col min="13829" max="13830" width="11.28515625" style="799" customWidth="1"/>
    <col min="13831" max="13831" width="10.5703125" style="799" customWidth="1"/>
    <col min="13832" max="13832" width="16.42578125" style="799" customWidth="1"/>
    <col min="13833" max="13833" width="12.140625" style="799" customWidth="1"/>
    <col min="13834" max="13834" width="10.85546875" style="799" customWidth="1"/>
    <col min="13835" max="13835" width="11.7109375" style="799" customWidth="1"/>
    <col min="13836" max="14056" width="9.140625" style="799"/>
    <col min="14057" max="14057" width="6.28515625" style="799" customWidth="1"/>
    <col min="14058" max="14058" width="20.7109375" style="799" customWidth="1"/>
    <col min="14059" max="14059" width="10" style="799" customWidth="1"/>
    <col min="14060" max="14060" width="1" style="799" customWidth="1"/>
    <col min="14061" max="14061" width="10" style="799" customWidth="1"/>
    <col min="14062" max="14062" width="1.28515625" style="799" customWidth="1"/>
    <col min="14063" max="14063" width="9.7109375" style="799" customWidth="1"/>
    <col min="14064" max="14064" width="1.140625" style="799" customWidth="1"/>
    <col min="14065" max="14065" width="12.5703125" style="799" customWidth="1"/>
    <col min="14066" max="14066" width="4.7109375" style="799" customWidth="1"/>
    <col min="14067" max="14067" width="10.7109375" style="799" customWidth="1"/>
    <col min="14068" max="14068" width="4.5703125" style="799" customWidth="1"/>
    <col min="14069" max="14069" width="12.28515625" style="799" customWidth="1"/>
    <col min="14070" max="14070" width="1.42578125" style="799" customWidth="1"/>
    <col min="14071" max="14071" width="14.140625" style="799" customWidth="1"/>
    <col min="14072" max="14072" width="13.7109375" style="799" customWidth="1"/>
    <col min="14073" max="14073" width="8" style="799" customWidth="1"/>
    <col min="14074" max="14074" width="1.42578125" style="799" customWidth="1"/>
    <col min="14075" max="14075" width="11.28515625" style="799" customWidth="1"/>
    <col min="14076" max="14076" width="12.85546875" style="799" customWidth="1"/>
    <col min="14077" max="14077" width="10.5703125" style="799" customWidth="1"/>
    <col min="14078" max="14078" width="12" style="799" customWidth="1"/>
    <col min="14079" max="14079" width="11.140625" style="799" customWidth="1"/>
    <col min="14080" max="14080" width="9.28515625" style="799" customWidth="1"/>
    <col min="14081" max="14081" width="1.42578125" style="799" customWidth="1"/>
    <col min="14082" max="14082" width="17.28515625" style="799" customWidth="1"/>
    <col min="14083" max="14083" width="11.140625" style="799" customWidth="1"/>
    <col min="14084" max="14084" width="12.42578125" style="799" customWidth="1"/>
    <col min="14085" max="14086" width="11.28515625" style="799" customWidth="1"/>
    <col min="14087" max="14087" width="10.5703125" style="799" customWidth="1"/>
    <col min="14088" max="14088" width="16.42578125" style="799" customWidth="1"/>
    <col min="14089" max="14089" width="12.140625" style="799" customWidth="1"/>
    <col min="14090" max="14090" width="10.85546875" style="799" customWidth="1"/>
    <col min="14091" max="14091" width="11.7109375" style="799" customWidth="1"/>
    <col min="14092" max="14312" width="9.140625" style="799"/>
    <col min="14313" max="14313" width="6.28515625" style="799" customWidth="1"/>
    <col min="14314" max="14314" width="20.7109375" style="799" customWidth="1"/>
    <col min="14315" max="14315" width="10" style="799" customWidth="1"/>
    <col min="14316" max="14316" width="1" style="799" customWidth="1"/>
    <col min="14317" max="14317" width="10" style="799" customWidth="1"/>
    <col min="14318" max="14318" width="1.28515625" style="799" customWidth="1"/>
    <col min="14319" max="14319" width="9.7109375" style="799" customWidth="1"/>
    <col min="14320" max="14320" width="1.140625" style="799" customWidth="1"/>
    <col min="14321" max="14321" width="12.5703125" style="799" customWidth="1"/>
    <col min="14322" max="14322" width="4.7109375" style="799" customWidth="1"/>
    <col min="14323" max="14323" width="10.7109375" style="799" customWidth="1"/>
    <col min="14324" max="14324" width="4.5703125" style="799" customWidth="1"/>
    <col min="14325" max="14325" width="12.28515625" style="799" customWidth="1"/>
    <col min="14326" max="14326" width="1.42578125" style="799" customWidth="1"/>
    <col min="14327" max="14327" width="14.140625" style="799" customWidth="1"/>
    <col min="14328" max="14328" width="13.7109375" style="799" customWidth="1"/>
    <col min="14329" max="14329" width="8" style="799" customWidth="1"/>
    <col min="14330" max="14330" width="1.42578125" style="799" customWidth="1"/>
    <col min="14331" max="14331" width="11.28515625" style="799" customWidth="1"/>
    <col min="14332" max="14332" width="12.85546875" style="799" customWidth="1"/>
    <col min="14333" max="14333" width="10.5703125" style="799" customWidth="1"/>
    <col min="14334" max="14334" width="12" style="799" customWidth="1"/>
    <col min="14335" max="14335" width="11.140625" style="799" customWidth="1"/>
    <col min="14336" max="14336" width="9.28515625" style="799" customWidth="1"/>
    <col min="14337" max="14337" width="1.42578125" style="799" customWidth="1"/>
    <col min="14338" max="14338" width="17.28515625" style="799" customWidth="1"/>
    <col min="14339" max="14339" width="11.140625" style="799" customWidth="1"/>
    <col min="14340" max="14340" width="12.42578125" style="799" customWidth="1"/>
    <col min="14341" max="14342" width="11.28515625" style="799" customWidth="1"/>
    <col min="14343" max="14343" width="10.5703125" style="799" customWidth="1"/>
    <col min="14344" max="14344" width="16.42578125" style="799" customWidth="1"/>
    <col min="14345" max="14345" width="12.140625" style="799" customWidth="1"/>
    <col min="14346" max="14346" width="10.85546875" style="799" customWidth="1"/>
    <col min="14347" max="14347" width="11.7109375" style="799" customWidth="1"/>
    <col min="14348" max="14568" width="9.140625" style="799"/>
    <col min="14569" max="14569" width="6.28515625" style="799" customWidth="1"/>
    <col min="14570" max="14570" width="20.7109375" style="799" customWidth="1"/>
    <col min="14571" max="14571" width="10" style="799" customWidth="1"/>
    <col min="14572" max="14572" width="1" style="799" customWidth="1"/>
    <col min="14573" max="14573" width="10" style="799" customWidth="1"/>
    <col min="14574" max="14574" width="1.28515625" style="799" customWidth="1"/>
    <col min="14575" max="14575" width="9.7109375" style="799" customWidth="1"/>
    <col min="14576" max="14576" width="1.140625" style="799" customWidth="1"/>
    <col min="14577" max="14577" width="12.5703125" style="799" customWidth="1"/>
    <col min="14578" max="14578" width="4.7109375" style="799" customWidth="1"/>
    <col min="14579" max="14579" width="10.7109375" style="799" customWidth="1"/>
    <col min="14580" max="14580" width="4.5703125" style="799" customWidth="1"/>
    <col min="14581" max="14581" width="12.28515625" style="799" customWidth="1"/>
    <col min="14582" max="14582" width="1.42578125" style="799" customWidth="1"/>
    <col min="14583" max="14583" width="14.140625" style="799" customWidth="1"/>
    <col min="14584" max="14584" width="13.7109375" style="799" customWidth="1"/>
    <col min="14585" max="14585" width="8" style="799" customWidth="1"/>
    <col min="14586" max="14586" width="1.42578125" style="799" customWidth="1"/>
    <col min="14587" max="14587" width="11.28515625" style="799" customWidth="1"/>
    <col min="14588" max="14588" width="12.85546875" style="799" customWidth="1"/>
    <col min="14589" max="14589" width="10.5703125" style="799" customWidth="1"/>
    <col min="14590" max="14590" width="12" style="799" customWidth="1"/>
    <col min="14591" max="14591" width="11.140625" style="799" customWidth="1"/>
    <col min="14592" max="14592" width="9.28515625" style="799" customWidth="1"/>
    <col min="14593" max="14593" width="1.42578125" style="799" customWidth="1"/>
    <col min="14594" max="14594" width="17.28515625" style="799" customWidth="1"/>
    <col min="14595" max="14595" width="11.140625" style="799" customWidth="1"/>
    <col min="14596" max="14596" width="12.42578125" style="799" customWidth="1"/>
    <col min="14597" max="14598" width="11.28515625" style="799" customWidth="1"/>
    <col min="14599" max="14599" width="10.5703125" style="799" customWidth="1"/>
    <col min="14600" max="14600" width="16.42578125" style="799" customWidth="1"/>
    <col min="14601" max="14601" width="12.140625" style="799" customWidth="1"/>
    <col min="14602" max="14602" width="10.85546875" style="799" customWidth="1"/>
    <col min="14603" max="14603" width="11.7109375" style="799" customWidth="1"/>
    <col min="14604" max="14824" width="9.140625" style="799"/>
    <col min="14825" max="14825" width="6.28515625" style="799" customWidth="1"/>
    <col min="14826" max="14826" width="20.7109375" style="799" customWidth="1"/>
    <col min="14827" max="14827" width="10" style="799" customWidth="1"/>
    <col min="14828" max="14828" width="1" style="799" customWidth="1"/>
    <col min="14829" max="14829" width="10" style="799" customWidth="1"/>
    <col min="14830" max="14830" width="1.28515625" style="799" customWidth="1"/>
    <col min="14831" max="14831" width="9.7109375" style="799" customWidth="1"/>
    <col min="14832" max="14832" width="1.140625" style="799" customWidth="1"/>
    <col min="14833" max="14833" width="12.5703125" style="799" customWidth="1"/>
    <col min="14834" max="14834" width="4.7109375" style="799" customWidth="1"/>
    <col min="14835" max="14835" width="10.7109375" style="799" customWidth="1"/>
    <col min="14836" max="14836" width="4.5703125" style="799" customWidth="1"/>
    <col min="14837" max="14837" width="12.28515625" style="799" customWidth="1"/>
    <col min="14838" max="14838" width="1.42578125" style="799" customWidth="1"/>
    <col min="14839" max="14839" width="14.140625" style="799" customWidth="1"/>
    <col min="14840" max="14840" width="13.7109375" style="799" customWidth="1"/>
    <col min="14841" max="14841" width="8" style="799" customWidth="1"/>
    <col min="14842" max="14842" width="1.42578125" style="799" customWidth="1"/>
    <col min="14843" max="14843" width="11.28515625" style="799" customWidth="1"/>
    <col min="14844" max="14844" width="12.85546875" style="799" customWidth="1"/>
    <col min="14845" max="14845" width="10.5703125" style="799" customWidth="1"/>
    <col min="14846" max="14846" width="12" style="799" customWidth="1"/>
    <col min="14847" max="14847" width="11.140625" style="799" customWidth="1"/>
    <col min="14848" max="14848" width="9.28515625" style="799" customWidth="1"/>
    <col min="14849" max="14849" width="1.42578125" style="799" customWidth="1"/>
    <col min="14850" max="14850" width="17.28515625" style="799" customWidth="1"/>
    <col min="14851" max="14851" width="11.140625" style="799" customWidth="1"/>
    <col min="14852" max="14852" width="12.42578125" style="799" customWidth="1"/>
    <col min="14853" max="14854" width="11.28515625" style="799" customWidth="1"/>
    <col min="14855" max="14855" width="10.5703125" style="799" customWidth="1"/>
    <col min="14856" max="14856" width="16.42578125" style="799" customWidth="1"/>
    <col min="14857" max="14857" width="12.140625" style="799" customWidth="1"/>
    <col min="14858" max="14858" width="10.85546875" style="799" customWidth="1"/>
    <col min="14859" max="14859" width="11.7109375" style="799" customWidth="1"/>
    <col min="14860" max="15080" width="9.140625" style="799"/>
    <col min="15081" max="15081" width="6.28515625" style="799" customWidth="1"/>
    <col min="15082" max="15082" width="20.7109375" style="799" customWidth="1"/>
    <col min="15083" max="15083" width="10" style="799" customWidth="1"/>
    <col min="15084" max="15084" width="1" style="799" customWidth="1"/>
    <col min="15085" max="15085" width="10" style="799" customWidth="1"/>
    <col min="15086" max="15086" width="1.28515625" style="799" customWidth="1"/>
    <col min="15087" max="15087" width="9.7109375" style="799" customWidth="1"/>
    <col min="15088" max="15088" width="1.140625" style="799" customWidth="1"/>
    <col min="15089" max="15089" width="12.5703125" style="799" customWidth="1"/>
    <col min="15090" max="15090" width="4.7109375" style="799" customWidth="1"/>
    <col min="15091" max="15091" width="10.7109375" style="799" customWidth="1"/>
    <col min="15092" max="15092" width="4.5703125" style="799" customWidth="1"/>
    <col min="15093" max="15093" width="12.28515625" style="799" customWidth="1"/>
    <col min="15094" max="15094" width="1.42578125" style="799" customWidth="1"/>
    <col min="15095" max="15095" width="14.140625" style="799" customWidth="1"/>
    <col min="15096" max="15096" width="13.7109375" style="799" customWidth="1"/>
    <col min="15097" max="15097" width="8" style="799" customWidth="1"/>
    <col min="15098" max="15098" width="1.42578125" style="799" customWidth="1"/>
    <col min="15099" max="15099" width="11.28515625" style="799" customWidth="1"/>
    <col min="15100" max="15100" width="12.85546875" style="799" customWidth="1"/>
    <col min="15101" max="15101" width="10.5703125" style="799" customWidth="1"/>
    <col min="15102" max="15102" width="12" style="799" customWidth="1"/>
    <col min="15103" max="15103" width="11.140625" style="799" customWidth="1"/>
    <col min="15104" max="15104" width="9.28515625" style="799" customWidth="1"/>
    <col min="15105" max="15105" width="1.42578125" style="799" customWidth="1"/>
    <col min="15106" max="15106" width="17.28515625" style="799" customWidth="1"/>
    <col min="15107" max="15107" width="11.140625" style="799" customWidth="1"/>
    <col min="15108" max="15108" width="12.42578125" style="799" customWidth="1"/>
    <col min="15109" max="15110" width="11.28515625" style="799" customWidth="1"/>
    <col min="15111" max="15111" width="10.5703125" style="799" customWidth="1"/>
    <col min="15112" max="15112" width="16.42578125" style="799" customWidth="1"/>
    <col min="15113" max="15113" width="12.140625" style="799" customWidth="1"/>
    <col min="15114" max="15114" width="10.85546875" style="799" customWidth="1"/>
    <col min="15115" max="15115" width="11.7109375" style="799" customWidth="1"/>
    <col min="15116" max="15336" width="9.140625" style="799"/>
    <col min="15337" max="15337" width="6.28515625" style="799" customWidth="1"/>
    <col min="15338" max="15338" width="20.7109375" style="799" customWidth="1"/>
    <col min="15339" max="15339" width="10" style="799" customWidth="1"/>
    <col min="15340" max="15340" width="1" style="799" customWidth="1"/>
    <col min="15341" max="15341" width="10" style="799" customWidth="1"/>
    <col min="15342" max="15342" width="1.28515625" style="799" customWidth="1"/>
    <col min="15343" max="15343" width="9.7109375" style="799" customWidth="1"/>
    <col min="15344" max="15344" width="1.140625" style="799" customWidth="1"/>
    <col min="15345" max="15345" width="12.5703125" style="799" customWidth="1"/>
    <col min="15346" max="15346" width="4.7109375" style="799" customWidth="1"/>
    <col min="15347" max="15347" width="10.7109375" style="799" customWidth="1"/>
    <col min="15348" max="15348" width="4.5703125" style="799" customWidth="1"/>
    <col min="15349" max="15349" width="12.28515625" style="799" customWidth="1"/>
    <col min="15350" max="15350" width="1.42578125" style="799" customWidth="1"/>
    <col min="15351" max="15351" width="14.140625" style="799" customWidth="1"/>
    <col min="15352" max="15352" width="13.7109375" style="799" customWidth="1"/>
    <col min="15353" max="15353" width="8" style="799" customWidth="1"/>
    <col min="15354" max="15354" width="1.42578125" style="799" customWidth="1"/>
    <col min="15355" max="15355" width="11.28515625" style="799" customWidth="1"/>
    <col min="15356" max="15356" width="12.85546875" style="799" customWidth="1"/>
    <col min="15357" max="15357" width="10.5703125" style="799" customWidth="1"/>
    <col min="15358" max="15358" width="12" style="799" customWidth="1"/>
    <col min="15359" max="15359" width="11.140625" style="799" customWidth="1"/>
    <col min="15360" max="15360" width="9.28515625" style="799" customWidth="1"/>
    <col min="15361" max="15361" width="1.42578125" style="799" customWidth="1"/>
    <col min="15362" max="15362" width="17.28515625" style="799" customWidth="1"/>
    <col min="15363" max="15363" width="11.140625" style="799" customWidth="1"/>
    <col min="15364" max="15364" width="12.42578125" style="799" customWidth="1"/>
    <col min="15365" max="15366" width="11.28515625" style="799" customWidth="1"/>
    <col min="15367" max="15367" width="10.5703125" style="799" customWidth="1"/>
    <col min="15368" max="15368" width="16.42578125" style="799" customWidth="1"/>
    <col min="15369" max="15369" width="12.140625" style="799" customWidth="1"/>
    <col min="15370" max="15370" width="10.85546875" style="799" customWidth="1"/>
    <col min="15371" max="15371" width="11.7109375" style="799" customWidth="1"/>
    <col min="15372" max="15592" width="9.140625" style="799"/>
    <col min="15593" max="15593" width="6.28515625" style="799" customWidth="1"/>
    <col min="15594" max="15594" width="20.7109375" style="799" customWidth="1"/>
    <col min="15595" max="15595" width="10" style="799" customWidth="1"/>
    <col min="15596" max="15596" width="1" style="799" customWidth="1"/>
    <col min="15597" max="15597" width="10" style="799" customWidth="1"/>
    <col min="15598" max="15598" width="1.28515625" style="799" customWidth="1"/>
    <col min="15599" max="15599" width="9.7109375" style="799" customWidth="1"/>
    <col min="15600" max="15600" width="1.140625" style="799" customWidth="1"/>
    <col min="15601" max="15601" width="12.5703125" style="799" customWidth="1"/>
    <col min="15602" max="15602" width="4.7109375" style="799" customWidth="1"/>
    <col min="15603" max="15603" width="10.7109375" style="799" customWidth="1"/>
    <col min="15604" max="15604" width="4.5703125" style="799" customWidth="1"/>
    <col min="15605" max="15605" width="12.28515625" style="799" customWidth="1"/>
    <col min="15606" max="15606" width="1.42578125" style="799" customWidth="1"/>
    <col min="15607" max="15607" width="14.140625" style="799" customWidth="1"/>
    <col min="15608" max="15608" width="13.7109375" style="799" customWidth="1"/>
    <col min="15609" max="15609" width="8" style="799" customWidth="1"/>
    <col min="15610" max="15610" width="1.42578125" style="799" customWidth="1"/>
    <col min="15611" max="15611" width="11.28515625" style="799" customWidth="1"/>
    <col min="15612" max="15612" width="12.85546875" style="799" customWidth="1"/>
    <col min="15613" max="15613" width="10.5703125" style="799" customWidth="1"/>
    <col min="15614" max="15614" width="12" style="799" customWidth="1"/>
    <col min="15615" max="15615" width="11.140625" style="799" customWidth="1"/>
    <col min="15616" max="15616" width="9.28515625" style="799" customWidth="1"/>
    <col min="15617" max="15617" width="1.42578125" style="799" customWidth="1"/>
    <col min="15618" max="15618" width="17.28515625" style="799" customWidth="1"/>
    <col min="15619" max="15619" width="11.140625" style="799" customWidth="1"/>
    <col min="15620" max="15620" width="12.42578125" style="799" customWidth="1"/>
    <col min="15621" max="15622" width="11.28515625" style="799" customWidth="1"/>
    <col min="15623" max="15623" width="10.5703125" style="799" customWidth="1"/>
    <col min="15624" max="15624" width="16.42578125" style="799" customWidth="1"/>
    <col min="15625" max="15625" width="12.140625" style="799" customWidth="1"/>
    <col min="15626" max="15626" width="10.85546875" style="799" customWidth="1"/>
    <col min="15627" max="15627" width="11.7109375" style="799" customWidth="1"/>
    <col min="15628" max="15848" width="9.140625" style="799"/>
    <col min="15849" max="15849" width="6.28515625" style="799" customWidth="1"/>
    <col min="15850" max="15850" width="20.7109375" style="799" customWidth="1"/>
    <col min="15851" max="15851" width="10" style="799" customWidth="1"/>
    <col min="15852" max="15852" width="1" style="799" customWidth="1"/>
    <col min="15853" max="15853" width="10" style="799" customWidth="1"/>
    <col min="15854" max="15854" width="1.28515625" style="799" customWidth="1"/>
    <col min="15855" max="15855" width="9.7109375" style="799" customWidth="1"/>
    <col min="15856" max="15856" width="1.140625" style="799" customWidth="1"/>
    <col min="15857" max="15857" width="12.5703125" style="799" customWidth="1"/>
    <col min="15858" max="15858" width="4.7109375" style="799" customWidth="1"/>
    <col min="15859" max="15859" width="10.7109375" style="799" customWidth="1"/>
    <col min="15860" max="15860" width="4.5703125" style="799" customWidth="1"/>
    <col min="15861" max="15861" width="12.28515625" style="799" customWidth="1"/>
    <col min="15862" max="15862" width="1.42578125" style="799" customWidth="1"/>
    <col min="15863" max="15863" width="14.140625" style="799" customWidth="1"/>
    <col min="15864" max="15864" width="13.7109375" style="799" customWidth="1"/>
    <col min="15865" max="15865" width="8" style="799" customWidth="1"/>
    <col min="15866" max="15866" width="1.42578125" style="799" customWidth="1"/>
    <col min="15867" max="15867" width="11.28515625" style="799" customWidth="1"/>
    <col min="15868" max="15868" width="12.85546875" style="799" customWidth="1"/>
    <col min="15869" max="15869" width="10.5703125" style="799" customWidth="1"/>
    <col min="15870" max="15870" width="12" style="799" customWidth="1"/>
    <col min="15871" max="15871" width="11.140625" style="799" customWidth="1"/>
    <col min="15872" max="15872" width="9.28515625" style="799" customWidth="1"/>
    <col min="15873" max="15873" width="1.42578125" style="799" customWidth="1"/>
    <col min="15874" max="15874" width="17.28515625" style="799" customWidth="1"/>
    <col min="15875" max="15875" width="11.140625" style="799" customWidth="1"/>
    <col min="15876" max="15876" width="12.42578125" style="799" customWidth="1"/>
    <col min="15877" max="15878" width="11.28515625" style="799" customWidth="1"/>
    <col min="15879" max="15879" width="10.5703125" style="799" customWidth="1"/>
    <col min="15880" max="15880" width="16.42578125" style="799" customWidth="1"/>
    <col min="15881" max="15881" width="12.140625" style="799" customWidth="1"/>
    <col min="15882" max="15882" width="10.85546875" style="799" customWidth="1"/>
    <col min="15883" max="15883" width="11.7109375" style="799" customWidth="1"/>
    <col min="15884" max="16104" width="9.140625" style="799"/>
    <col min="16105" max="16105" width="6.28515625" style="799" customWidth="1"/>
    <col min="16106" max="16106" width="20.7109375" style="799" customWidth="1"/>
    <col min="16107" max="16107" width="10" style="799" customWidth="1"/>
    <col min="16108" max="16108" width="1" style="799" customWidth="1"/>
    <col min="16109" max="16109" width="10" style="799" customWidth="1"/>
    <col min="16110" max="16110" width="1.28515625" style="799" customWidth="1"/>
    <col min="16111" max="16111" width="9.7109375" style="799" customWidth="1"/>
    <col min="16112" max="16112" width="1.140625" style="799" customWidth="1"/>
    <col min="16113" max="16113" width="12.5703125" style="799" customWidth="1"/>
    <col min="16114" max="16114" width="4.7109375" style="799" customWidth="1"/>
    <col min="16115" max="16115" width="10.7109375" style="799" customWidth="1"/>
    <col min="16116" max="16116" width="4.5703125" style="799" customWidth="1"/>
    <col min="16117" max="16117" width="12.28515625" style="799" customWidth="1"/>
    <col min="16118" max="16118" width="1.42578125" style="799" customWidth="1"/>
    <col min="16119" max="16119" width="14.140625" style="799" customWidth="1"/>
    <col min="16120" max="16120" width="13.7109375" style="799" customWidth="1"/>
    <col min="16121" max="16121" width="8" style="799" customWidth="1"/>
    <col min="16122" max="16122" width="1.42578125" style="799" customWidth="1"/>
    <col min="16123" max="16123" width="11.28515625" style="799" customWidth="1"/>
    <col min="16124" max="16124" width="12.85546875" style="799" customWidth="1"/>
    <col min="16125" max="16125" width="10.5703125" style="799" customWidth="1"/>
    <col min="16126" max="16126" width="12" style="799" customWidth="1"/>
    <col min="16127" max="16127" width="11.140625" style="799" customWidth="1"/>
    <col min="16128" max="16128" width="9.28515625" style="799" customWidth="1"/>
    <col min="16129" max="16129" width="1.42578125" style="799" customWidth="1"/>
    <col min="16130" max="16130" width="17.28515625" style="799" customWidth="1"/>
    <col min="16131" max="16131" width="11.140625" style="799" customWidth="1"/>
    <col min="16132" max="16132" width="12.42578125" style="799" customWidth="1"/>
    <col min="16133" max="16134" width="11.28515625" style="799" customWidth="1"/>
    <col min="16135" max="16135" width="10.5703125" style="799" customWidth="1"/>
    <col min="16136" max="16136" width="16.42578125" style="799" customWidth="1"/>
    <col min="16137" max="16137" width="12.140625" style="799" customWidth="1"/>
    <col min="16138" max="16138" width="10.85546875" style="799" customWidth="1"/>
    <col min="16139" max="16139" width="11.7109375" style="799" customWidth="1"/>
    <col min="16140" max="16384" width="9.140625" style="799"/>
  </cols>
  <sheetData>
    <row r="1" spans="1:15">
      <c r="A1" s="793" t="s">
        <v>340</v>
      </c>
      <c r="B1" s="794"/>
    </row>
    <row r="2" spans="1:15">
      <c r="A2" s="793" t="s">
        <v>0</v>
      </c>
      <c r="B2" s="794"/>
      <c r="D2" s="1148"/>
      <c r="E2" s="1149"/>
      <c r="F2" s="893"/>
    </row>
    <row r="3" spans="1:15">
      <c r="A3" s="793" t="s">
        <v>341</v>
      </c>
      <c r="B3" s="801"/>
      <c r="H3" s="802"/>
      <c r="I3" s="802"/>
      <c r="J3" s="803"/>
      <c r="N3" s="804"/>
    </row>
    <row r="4" spans="1:15">
      <c r="A4" s="793"/>
      <c r="B4" s="801"/>
      <c r="C4" s="805"/>
      <c r="H4" s="802"/>
      <c r="I4" s="802"/>
      <c r="J4" s="803"/>
      <c r="N4" s="804"/>
    </row>
    <row r="5" spans="1:15">
      <c r="A5" s="793"/>
      <c r="B5" s="801"/>
      <c r="H5" s="802"/>
      <c r="I5" s="802"/>
      <c r="J5" s="803"/>
      <c r="N5" s="804"/>
    </row>
    <row r="6" spans="1:15" ht="12.75" thickBot="1">
      <c r="A6" s="793"/>
      <c r="B6" s="794"/>
      <c r="H6" s="802"/>
      <c r="I6" s="802"/>
      <c r="J6" s="803"/>
      <c r="L6" s="797"/>
      <c r="M6" s="797"/>
    </row>
    <row r="7" spans="1:15">
      <c r="A7" s="806"/>
      <c r="B7" s="807"/>
      <c r="C7" s="808" t="s">
        <v>1</v>
      </c>
      <c r="D7" s="809" t="s">
        <v>2</v>
      </c>
      <c r="E7" s="810" t="s">
        <v>3</v>
      </c>
      <c r="F7" s="809"/>
      <c r="G7" s="809" t="s">
        <v>4</v>
      </c>
      <c r="H7" s="811" t="s">
        <v>5</v>
      </c>
      <c r="I7" s="812"/>
      <c r="J7" s="813" t="s">
        <v>6</v>
      </c>
      <c r="K7" s="814" t="s">
        <v>6</v>
      </c>
      <c r="L7" s="815"/>
      <c r="M7" s="816"/>
      <c r="N7" s="817" t="s">
        <v>7</v>
      </c>
    </row>
    <row r="8" spans="1:15">
      <c r="A8" s="818"/>
      <c r="B8" s="819"/>
      <c r="C8" s="820" t="s">
        <v>9</v>
      </c>
      <c r="D8" s="821" t="s">
        <v>10</v>
      </c>
      <c r="E8" s="821" t="s">
        <v>7</v>
      </c>
      <c r="F8" s="821" t="s">
        <v>11</v>
      </c>
      <c r="G8" s="821" t="s">
        <v>10</v>
      </c>
      <c r="H8" s="822" t="s">
        <v>7</v>
      </c>
      <c r="I8" s="823"/>
      <c r="J8" s="824" t="s">
        <v>8</v>
      </c>
      <c r="K8" s="825" t="s">
        <v>12</v>
      </c>
      <c r="L8" s="826" t="s">
        <v>13</v>
      </c>
      <c r="M8" s="827"/>
      <c r="N8" s="828" t="s">
        <v>2998</v>
      </c>
    </row>
    <row r="9" spans="1:15">
      <c r="A9" s="829" t="s">
        <v>14</v>
      </c>
      <c r="B9" s="830"/>
      <c r="C9" s="831"/>
      <c r="D9" s="832"/>
      <c r="E9" s="832"/>
      <c r="F9" s="833"/>
      <c r="G9" s="832"/>
      <c r="H9" s="832"/>
      <c r="I9" s="832"/>
      <c r="J9" s="834"/>
      <c r="K9" s="834"/>
      <c r="L9" s="835"/>
      <c r="M9" s="835"/>
      <c r="N9" s="835"/>
    </row>
    <row r="10" spans="1:15">
      <c r="A10" s="836">
        <v>32000</v>
      </c>
      <c r="B10" s="799" t="s">
        <v>15</v>
      </c>
      <c r="C10" s="837">
        <f>'2010_IS'!AE15+'2010_IS'!AE16</f>
        <v>22758283.780000001</v>
      </c>
      <c r="D10" s="838">
        <f>+'Restating Adj''s'!F9</f>
        <v>-12933.145000003278</v>
      </c>
      <c r="E10" s="839">
        <f t="shared" ref="E10:E21" si="0">SUM(C10:D10)</f>
        <v>22745350.634999998</v>
      </c>
      <c r="F10" s="840" t="s">
        <v>16</v>
      </c>
      <c r="G10" s="839">
        <f>G145</f>
        <v>314982</v>
      </c>
      <c r="H10" s="839">
        <f t="shared" ref="H10:H21" si="1">C10+D10+G10</f>
        <v>23060332.634999998</v>
      </c>
      <c r="I10" s="839"/>
      <c r="J10" s="837">
        <f>+'Restating Adj''s'!B9+G10</f>
        <v>11391335.310000001</v>
      </c>
      <c r="K10" s="837">
        <f>'Restating Adj''s'!C9</f>
        <v>11668997.324999996</v>
      </c>
      <c r="L10" s="841" t="s">
        <v>17</v>
      </c>
      <c r="M10" s="800">
        <f>H10-J10-K10</f>
        <v>0</v>
      </c>
      <c r="N10" s="837">
        <f>J10</f>
        <v>11391335.310000001</v>
      </c>
      <c r="O10" s="842"/>
    </row>
    <row r="11" spans="1:15">
      <c r="A11" s="836">
        <v>32100</v>
      </c>
      <c r="B11" s="799" t="s">
        <v>18</v>
      </c>
      <c r="C11" s="842">
        <f>'2010_IS'!AE17</f>
        <v>7336272.4500000002</v>
      </c>
      <c r="D11" s="843">
        <f>+'Restating Adj''s'!F10</f>
        <v>-837969.33499999903</v>
      </c>
      <c r="E11" s="844">
        <f t="shared" si="0"/>
        <v>6498303.1150000012</v>
      </c>
      <c r="F11" s="845" t="s">
        <v>16</v>
      </c>
      <c r="G11" s="844"/>
      <c r="H11" s="844">
        <f t="shared" si="1"/>
        <v>6498303.1150000012</v>
      </c>
      <c r="I11" s="844"/>
      <c r="J11" s="842">
        <f>+'Restating Adj''s'!B10</f>
        <v>0</v>
      </c>
      <c r="K11" s="837">
        <f>'Restating Adj''s'!C10</f>
        <v>6498303.1150000012</v>
      </c>
      <c r="L11" s="846" t="s">
        <v>17</v>
      </c>
      <c r="M11" s="800">
        <f t="shared" ref="M11:M21" si="2">H11-J11-K11</f>
        <v>0</v>
      </c>
      <c r="N11" s="842">
        <f t="shared" ref="N11:N21" si="3">J11</f>
        <v>0</v>
      </c>
      <c r="O11" s="842"/>
    </row>
    <row r="12" spans="1:15">
      <c r="A12" s="836">
        <v>32110</v>
      </c>
      <c r="B12" s="799" t="s">
        <v>19</v>
      </c>
      <c r="C12" s="842">
        <f>'2010_IS'!AE18+'2010_IS'!AE19</f>
        <v>4513573.6700000009</v>
      </c>
      <c r="D12" s="843">
        <f>+'Restating Adj''s'!F11</f>
        <v>21476.374999998137</v>
      </c>
      <c r="E12" s="844">
        <f t="shared" si="0"/>
        <v>4535050.044999999</v>
      </c>
      <c r="F12" s="845" t="s">
        <v>16</v>
      </c>
      <c r="G12" s="844"/>
      <c r="H12" s="844">
        <f t="shared" si="1"/>
        <v>4535050.044999999</v>
      </c>
      <c r="I12" s="844"/>
      <c r="J12" s="842">
        <f>+'Restating Adj''s'!B11</f>
        <v>0</v>
      </c>
      <c r="K12" s="837">
        <f>'Restating Adj''s'!C11</f>
        <v>4535050.044999999</v>
      </c>
      <c r="L12" s="846" t="s">
        <v>17</v>
      </c>
      <c r="M12" s="800">
        <f t="shared" si="2"/>
        <v>0</v>
      </c>
      <c r="N12" s="842">
        <f t="shared" si="3"/>
        <v>0</v>
      </c>
      <c r="O12" s="842"/>
    </row>
    <row r="13" spans="1:15">
      <c r="A13" s="836">
        <v>31110</v>
      </c>
      <c r="B13" s="799" t="s">
        <v>20</v>
      </c>
      <c r="C13" s="842">
        <f>SUM('2010_IS'!AE20:AE21)</f>
        <v>16982268.48</v>
      </c>
      <c r="D13" s="843">
        <f>+'Restating Adj''s'!F12</f>
        <v>5180.4499999918044</v>
      </c>
      <c r="E13" s="844">
        <f t="shared" si="0"/>
        <v>16987448.929999992</v>
      </c>
      <c r="F13" s="845" t="s">
        <v>16</v>
      </c>
      <c r="G13" s="844"/>
      <c r="H13" s="844">
        <f t="shared" si="1"/>
        <v>16987448.929999992</v>
      </c>
      <c r="I13" s="844"/>
      <c r="J13" s="842">
        <f>+'Restating Adj''s'!B12</f>
        <v>5770348.6800000016</v>
      </c>
      <c r="K13" s="837">
        <f>'Restating Adj''s'!C12</f>
        <v>11217100.249999993</v>
      </c>
      <c r="L13" s="846" t="s">
        <v>17</v>
      </c>
      <c r="M13" s="800">
        <f t="shared" si="2"/>
        <v>0</v>
      </c>
      <c r="N13" s="842">
        <f t="shared" si="3"/>
        <v>5770348.6800000016</v>
      </c>
      <c r="O13" s="842"/>
    </row>
    <row r="14" spans="1:15">
      <c r="A14" s="836">
        <v>31000</v>
      </c>
      <c r="B14" s="799" t="s">
        <v>21</v>
      </c>
      <c r="C14" s="842">
        <f>SUM('2010_IS'!AE10,'2010_IS'!AE14)</f>
        <v>3615023.24</v>
      </c>
      <c r="D14" s="843">
        <f>+'Restating Adj''s'!F16</f>
        <v>-16071.750000000931</v>
      </c>
      <c r="E14" s="844">
        <f t="shared" si="0"/>
        <v>3598951.4899999993</v>
      </c>
      <c r="F14" s="845" t="s">
        <v>16</v>
      </c>
      <c r="G14" s="844"/>
      <c r="H14" s="844">
        <f t="shared" si="1"/>
        <v>3598951.4899999993</v>
      </c>
      <c r="I14" s="844"/>
      <c r="J14" s="842">
        <f>+'Restating Adj''s'!B16</f>
        <v>1252644.1199999999</v>
      </c>
      <c r="K14" s="837">
        <f>'Restating Adj''s'!C16</f>
        <v>2346307.3699999992</v>
      </c>
      <c r="L14" s="846" t="s">
        <v>17</v>
      </c>
      <c r="M14" s="800">
        <f t="shared" si="2"/>
        <v>0</v>
      </c>
      <c r="N14" s="842">
        <f t="shared" si="3"/>
        <v>1252644.1199999999</v>
      </c>
      <c r="O14" s="842"/>
    </row>
    <row r="15" spans="1:15">
      <c r="A15" s="836">
        <v>31009</v>
      </c>
      <c r="B15" s="799" t="s">
        <v>1247</v>
      </c>
      <c r="C15" s="842">
        <f>'2010_IS'!AE13</f>
        <v>27255</v>
      </c>
      <c r="D15" s="843"/>
      <c r="E15" s="844">
        <f t="shared" ref="E15" si="4">SUM(C15:D15)</f>
        <v>27255</v>
      </c>
      <c r="F15" s="845" t="s">
        <v>90</v>
      </c>
      <c r="G15" s="844"/>
      <c r="H15" s="844">
        <f t="shared" ref="H15" si="5">C15+D15+G15</f>
        <v>27255</v>
      </c>
      <c r="I15" s="844"/>
      <c r="J15" s="842">
        <f>+'Restating Adj''s'!B17</f>
        <v>0</v>
      </c>
      <c r="K15" s="837">
        <f>H15</f>
        <v>27255</v>
      </c>
      <c r="L15" s="846" t="s">
        <v>17</v>
      </c>
      <c r="M15" s="800">
        <f t="shared" ref="M15" si="6">H15-J15-K15</f>
        <v>0</v>
      </c>
      <c r="N15" s="842">
        <f t="shared" ref="N15" si="7">J15</f>
        <v>0</v>
      </c>
      <c r="O15" s="842"/>
    </row>
    <row r="16" spans="1:15">
      <c r="A16" s="836">
        <v>31004</v>
      </c>
      <c r="B16" s="799" t="s">
        <v>876</v>
      </c>
      <c r="C16" s="842">
        <f>'2010_IS'!AE11</f>
        <v>593501.53999999992</v>
      </c>
      <c r="D16" s="843">
        <f>+'Restating Adj''s'!F17</f>
        <v>25602.660000000033</v>
      </c>
      <c r="E16" s="844">
        <f t="shared" si="0"/>
        <v>619104.19999999995</v>
      </c>
      <c r="F16" s="845" t="s">
        <v>16</v>
      </c>
      <c r="G16" s="844"/>
      <c r="H16" s="844">
        <f t="shared" si="1"/>
        <v>619104.19999999995</v>
      </c>
      <c r="I16" s="844"/>
      <c r="J16" s="842">
        <f>+'Restating Adj''s'!B17</f>
        <v>0</v>
      </c>
      <c r="K16" s="837">
        <f>'Restating Adj''s'!C17</f>
        <v>619104.19999999995</v>
      </c>
      <c r="L16" s="846" t="s">
        <v>17</v>
      </c>
      <c r="M16" s="800">
        <f t="shared" si="2"/>
        <v>0</v>
      </c>
      <c r="N16" s="842">
        <f t="shared" si="3"/>
        <v>0</v>
      </c>
      <c r="O16" s="842"/>
    </row>
    <row r="17" spans="1:19">
      <c r="A17" s="836">
        <v>31005</v>
      </c>
      <c r="B17" s="799" t="s">
        <v>22</v>
      </c>
      <c r="C17" s="842">
        <f>'2010_IS'!AE12</f>
        <v>6597157.7199999997</v>
      </c>
      <c r="D17" s="843">
        <f>+'Restating Adj''s'!F18</f>
        <v>28367.340000000782</v>
      </c>
      <c r="E17" s="844">
        <f t="shared" si="0"/>
        <v>6625525.0600000005</v>
      </c>
      <c r="F17" s="845" t="s">
        <v>16</v>
      </c>
      <c r="G17" s="844"/>
      <c r="H17" s="844">
        <f t="shared" si="1"/>
        <v>6625525.0600000005</v>
      </c>
      <c r="I17" s="844"/>
      <c r="J17" s="842">
        <f>+'Restating Adj''s'!B18</f>
        <v>2315814.08</v>
      </c>
      <c r="K17" s="837">
        <f>'Restating Adj''s'!C18</f>
        <v>4309710.9800000004</v>
      </c>
      <c r="L17" s="846" t="s">
        <v>17</v>
      </c>
      <c r="M17" s="800">
        <f t="shared" si="2"/>
        <v>0</v>
      </c>
      <c r="N17" s="842">
        <f t="shared" si="3"/>
        <v>2315814.08</v>
      </c>
      <c r="O17" s="842"/>
    </row>
    <row r="18" spans="1:19">
      <c r="A18" s="836">
        <v>33020</v>
      </c>
      <c r="B18" s="799" t="s">
        <v>23</v>
      </c>
      <c r="C18" s="842">
        <f>'2010_IS'!AE22+'2010_IS'!AE23</f>
        <v>3745137.65</v>
      </c>
      <c r="D18" s="843">
        <f>+'Restating Adj''s'!F14+'Restating Adj''s'!F15</f>
        <v>777279.45999999985</v>
      </c>
      <c r="E18" s="844">
        <f t="shared" si="0"/>
        <v>4522417.1099999994</v>
      </c>
      <c r="F18" s="845" t="s">
        <v>16</v>
      </c>
      <c r="G18" s="844"/>
      <c r="H18" s="844">
        <f t="shared" si="1"/>
        <v>4522417.1099999994</v>
      </c>
      <c r="I18" s="844"/>
      <c r="J18" s="842">
        <f>+'Restating Adj''s'!B15</f>
        <v>0</v>
      </c>
      <c r="K18" s="837">
        <f>'Restating Adj''s'!C15+'Restating Adj''s'!C14</f>
        <v>4522417.1099999994</v>
      </c>
      <c r="L18" s="846" t="s">
        <v>17</v>
      </c>
      <c r="M18" s="800">
        <f>H18-J18-K18</f>
        <v>0</v>
      </c>
      <c r="N18" s="842">
        <f t="shared" si="3"/>
        <v>0</v>
      </c>
      <c r="O18" s="842"/>
    </row>
    <row r="19" spans="1:19">
      <c r="A19" s="836">
        <v>35500</v>
      </c>
      <c r="B19" s="799" t="s">
        <v>24</v>
      </c>
      <c r="C19" s="842">
        <f>+'2010_IS'!AE37</f>
        <v>1289570.9099999999</v>
      </c>
      <c r="D19" s="843">
        <f>'[24]Restating Adj''s'!P16</f>
        <v>0</v>
      </c>
      <c r="E19" s="844">
        <f t="shared" si="0"/>
        <v>1289570.9099999999</v>
      </c>
      <c r="F19" s="845" t="s">
        <v>16</v>
      </c>
      <c r="G19" s="844"/>
      <c r="H19" s="844">
        <f t="shared" si="1"/>
        <v>1289570.9099999999</v>
      </c>
      <c r="I19" s="844"/>
      <c r="J19" s="842">
        <v>0</v>
      </c>
      <c r="K19" s="837">
        <f>H19</f>
        <v>1289570.9099999999</v>
      </c>
      <c r="L19" s="846" t="s">
        <v>17</v>
      </c>
      <c r="M19" s="800">
        <f t="shared" si="2"/>
        <v>0</v>
      </c>
      <c r="N19" s="842">
        <f t="shared" si="3"/>
        <v>0</v>
      </c>
      <c r="O19" s="842"/>
    </row>
    <row r="20" spans="1:19">
      <c r="A20" s="836">
        <v>38000</v>
      </c>
      <c r="B20" s="799" t="s">
        <v>25</v>
      </c>
      <c r="C20" s="842">
        <f>+'2010_IS'!AE49</f>
        <v>81551.63</v>
      </c>
      <c r="D20" s="843">
        <f>+'Restating Adj''s'!F19</f>
        <v>1897.9399999999878</v>
      </c>
      <c r="E20" s="844">
        <f t="shared" si="0"/>
        <v>83449.569999999992</v>
      </c>
      <c r="F20" s="845" t="s">
        <v>16</v>
      </c>
      <c r="G20" s="844"/>
      <c r="H20" s="844">
        <f t="shared" si="1"/>
        <v>83449.569999999992</v>
      </c>
      <c r="I20" s="844"/>
      <c r="J20" s="842">
        <f>+'Restating Adj''s'!B19</f>
        <v>57234.11</v>
      </c>
      <c r="K20" s="837">
        <f>'Restating Adj''s'!C19</f>
        <v>26215.459999999992</v>
      </c>
      <c r="L20" s="846" t="s">
        <v>17</v>
      </c>
      <c r="M20" s="800">
        <f t="shared" si="2"/>
        <v>0</v>
      </c>
      <c r="N20" s="842">
        <f t="shared" si="3"/>
        <v>57234.11</v>
      </c>
      <c r="O20" s="842"/>
    </row>
    <row r="21" spans="1:19">
      <c r="A21" s="836">
        <v>38001</v>
      </c>
      <c r="B21" s="799" t="s">
        <v>26</v>
      </c>
      <c r="C21" s="842">
        <f>'2010_IS'!AE50</f>
        <v>68520.759999999995</v>
      </c>
      <c r="D21" s="843">
        <f>-C21</f>
        <v>-68520.759999999995</v>
      </c>
      <c r="E21" s="844">
        <f t="shared" si="0"/>
        <v>0</v>
      </c>
      <c r="F21" s="845" t="s">
        <v>16</v>
      </c>
      <c r="G21" s="847"/>
      <c r="H21" s="844">
        <f t="shared" si="1"/>
        <v>0</v>
      </c>
      <c r="I21" s="844"/>
      <c r="J21" s="842"/>
      <c r="K21" s="842"/>
      <c r="L21" s="846" t="s">
        <v>17</v>
      </c>
      <c r="M21" s="800">
        <f t="shared" si="2"/>
        <v>0</v>
      </c>
      <c r="N21" s="842">
        <f t="shared" si="3"/>
        <v>0</v>
      </c>
      <c r="O21" s="842"/>
    </row>
    <row r="22" spans="1:19">
      <c r="B22" s="794" t="s">
        <v>27</v>
      </c>
      <c r="C22" s="848">
        <f>SUM(C10:C21)</f>
        <v>67608116.829999998</v>
      </c>
      <c r="D22" s="848">
        <f>SUM(D10:D21)</f>
        <v>-75690.765000012645</v>
      </c>
      <c r="E22" s="848">
        <f>SUM(E10:E21)</f>
        <v>67532426.064999998</v>
      </c>
      <c r="F22" s="849"/>
      <c r="G22" s="848">
        <f>SUM(G10:G21)</f>
        <v>314982</v>
      </c>
      <c r="H22" s="848">
        <f>SUM(H10:H21)</f>
        <v>67847408.064999998</v>
      </c>
      <c r="I22" s="848"/>
      <c r="J22" s="848">
        <f>SUM(J10:J21)</f>
        <v>20787376.300000004</v>
      </c>
      <c r="K22" s="848">
        <f>SUM(K9:K21)</f>
        <v>47060031.764999978</v>
      </c>
      <c r="L22" s="850"/>
      <c r="M22" s="850"/>
      <c r="N22" s="848">
        <f>SUM(N10:N21)</f>
        <v>20787376.300000004</v>
      </c>
      <c r="O22" s="842"/>
    </row>
    <row r="23" spans="1:19">
      <c r="C23" s="842">
        <f>+C22-'2010_IS'!AE54</f>
        <v>0</v>
      </c>
      <c r="D23" s="847"/>
      <c r="E23" s="847"/>
      <c r="G23" s="847"/>
      <c r="H23" s="847"/>
      <c r="I23" s="847"/>
      <c r="J23" s="851">
        <f>J22/H22</f>
        <v>0.30638423622734462</v>
      </c>
      <c r="K23" s="851">
        <f>K22/H22</f>
        <v>0.69361576377265521</v>
      </c>
      <c r="N23" s="842"/>
    </row>
    <row r="24" spans="1:19">
      <c r="C24" s="842"/>
      <c r="D24" s="847"/>
      <c r="E24" s="847"/>
      <c r="G24" s="847"/>
      <c r="H24" s="847"/>
      <c r="I24" s="847"/>
      <c r="J24" s="847"/>
      <c r="K24" s="847"/>
      <c r="N24" s="847"/>
      <c r="P24" s="852"/>
    </row>
    <row r="25" spans="1:19">
      <c r="C25" s="842"/>
      <c r="D25" s="847"/>
      <c r="E25" s="847"/>
      <c r="G25" s="847"/>
      <c r="H25" s="847"/>
      <c r="I25" s="847"/>
      <c r="J25" s="847"/>
      <c r="K25" s="847"/>
      <c r="L25" s="798"/>
      <c r="N25" s="847"/>
    </row>
    <row r="26" spans="1:19">
      <c r="A26" s="829" t="s">
        <v>28</v>
      </c>
      <c r="B26" s="830"/>
      <c r="C26" s="853"/>
      <c r="D26" s="854"/>
      <c r="E26" s="854"/>
      <c r="F26" s="833"/>
      <c r="G26" s="854"/>
      <c r="H26" s="854"/>
      <c r="I26" s="854"/>
      <c r="J26" s="854"/>
      <c r="K26" s="854"/>
      <c r="L26" s="835"/>
      <c r="M26" s="835"/>
      <c r="N26" s="854"/>
    </row>
    <row r="27" spans="1:19">
      <c r="A27" s="855">
        <v>41200</v>
      </c>
      <c r="B27" s="856"/>
      <c r="C27" s="857"/>
      <c r="D27" s="858"/>
      <c r="E27" s="858"/>
      <c r="F27" s="859"/>
      <c r="G27" s="858"/>
      <c r="H27" s="858"/>
      <c r="I27" s="858"/>
      <c r="J27" s="858"/>
      <c r="K27" s="858"/>
      <c r="L27" s="860"/>
      <c r="M27" s="860"/>
      <c r="N27" s="858"/>
    </row>
    <row r="28" spans="1:19">
      <c r="A28" s="861">
        <v>57125</v>
      </c>
      <c r="B28" s="862" t="s">
        <v>29</v>
      </c>
      <c r="C28" s="842">
        <f>+IFERROR(VLOOKUP($A28,'2010_IS'!$A:$AE,31,FALSE),0)</f>
        <v>16.239999999999998</v>
      </c>
      <c r="D28" s="847"/>
      <c r="E28" s="844">
        <f>SUM(C28:D28)</f>
        <v>16.239999999999998</v>
      </c>
      <c r="F28" s="845"/>
      <c r="G28" s="847"/>
      <c r="H28" s="844">
        <f>C28+D28+G28</f>
        <v>16.239999999999998</v>
      </c>
      <c r="I28" s="844"/>
      <c r="J28" s="842">
        <f>H28*Ratios!$C$20</f>
        <v>5.5264997645291247</v>
      </c>
      <c r="K28" s="842">
        <f>+H28*Ratios!$D$20</f>
        <v>10.713500235470876</v>
      </c>
      <c r="L28" s="846" t="s">
        <v>30</v>
      </c>
      <c r="M28" s="800">
        <f t="shared" ref="M28:M29" si="8">H28-J28-K28</f>
        <v>0</v>
      </c>
      <c r="N28" s="842">
        <f t="shared" ref="N28:N29" si="9">J28</f>
        <v>5.5264997645291247</v>
      </c>
      <c r="O28" s="805"/>
      <c r="P28" s="805"/>
      <c r="Q28" s="805"/>
      <c r="R28" s="805"/>
      <c r="S28" s="805"/>
    </row>
    <row r="29" spans="1:19">
      <c r="A29" s="861">
        <v>57147</v>
      </c>
      <c r="B29" s="862" t="s">
        <v>31</v>
      </c>
      <c r="C29" s="842">
        <f>+IFERROR(VLOOKUP($A29,'2010_IS'!$A:$AE,31,FALSE),0)</f>
        <v>222143.37</v>
      </c>
      <c r="D29" s="845"/>
      <c r="E29" s="844">
        <f>SUM(C29:D29)</f>
        <v>222143.37</v>
      </c>
      <c r="F29" s="845"/>
      <c r="G29" s="845">
        <v>0</v>
      </c>
      <c r="H29" s="844">
        <f>C29+D29+G29</f>
        <v>222143.37</v>
      </c>
      <c r="I29" s="844"/>
      <c r="J29" s="842">
        <f>H29*Ratios!$C$20</f>
        <v>75595.768595856294</v>
      </c>
      <c r="K29" s="842">
        <f>+H29*Ratios!$D$20</f>
        <v>146547.60140414373</v>
      </c>
      <c r="L29" s="846" t="s">
        <v>30</v>
      </c>
      <c r="M29" s="800">
        <f t="shared" si="8"/>
        <v>0</v>
      </c>
      <c r="N29" s="842">
        <f t="shared" si="9"/>
        <v>75595.768595856294</v>
      </c>
      <c r="O29" s="805"/>
      <c r="P29" s="805"/>
      <c r="Q29" s="805"/>
      <c r="R29" s="805"/>
      <c r="S29" s="805"/>
    </row>
    <row r="30" spans="1:19" ht="10.5" customHeight="1">
      <c r="A30" s="863">
        <v>41200</v>
      </c>
      <c r="B30" s="794" t="s">
        <v>27</v>
      </c>
      <c r="C30" s="848">
        <f>SUM(C28:C29)</f>
        <v>222159.61</v>
      </c>
      <c r="D30" s="848">
        <f>SUM(D28:D29)</f>
        <v>0</v>
      </c>
      <c r="E30" s="848">
        <f>SUM(E28:E29)</f>
        <v>222159.61</v>
      </c>
      <c r="F30" s="849"/>
      <c r="G30" s="848">
        <f>SUM(G28:G29)</f>
        <v>0</v>
      </c>
      <c r="H30" s="848">
        <f>SUM(H28:H29)</f>
        <v>222159.61</v>
      </c>
      <c r="I30" s="848"/>
      <c r="J30" s="848">
        <f>SUM(J28:J29)</f>
        <v>75601.295095620822</v>
      </c>
      <c r="K30" s="848">
        <f>SUM(K28:K29)</f>
        <v>146558.31490437919</v>
      </c>
      <c r="L30" s="850"/>
      <c r="M30" s="850"/>
      <c r="N30" s="848">
        <f>SUM(N28:N29)</f>
        <v>75601.295095620822</v>
      </c>
    </row>
    <row r="31" spans="1:19" ht="10.5" customHeight="1">
      <c r="A31" s="863"/>
      <c r="B31" s="794"/>
      <c r="C31" s="864"/>
      <c r="D31" s="864"/>
      <c r="E31" s="864"/>
      <c r="F31" s="865"/>
      <c r="G31" s="864"/>
      <c r="H31" s="864"/>
      <c r="I31" s="864"/>
      <c r="J31" s="864"/>
      <c r="K31" s="864"/>
      <c r="L31" s="795"/>
      <c r="M31" s="795"/>
      <c r="N31" s="864"/>
    </row>
    <row r="32" spans="1:19">
      <c r="A32" s="866">
        <v>41310</v>
      </c>
      <c r="B32" s="855" t="s">
        <v>32</v>
      </c>
      <c r="C32" s="857"/>
      <c r="D32" s="858"/>
      <c r="E32" s="858"/>
      <c r="F32" s="859"/>
      <c r="G32" s="858"/>
      <c r="H32" s="858"/>
      <c r="I32" s="858"/>
      <c r="J32" s="857"/>
      <c r="K32" s="857"/>
      <c r="L32" s="860"/>
      <c r="M32" s="860"/>
      <c r="N32" s="857"/>
    </row>
    <row r="33" spans="1:19">
      <c r="A33" s="867">
        <v>52010</v>
      </c>
      <c r="B33" s="799" t="s">
        <v>33</v>
      </c>
      <c r="C33" s="842">
        <f>+IFERROR(VLOOKUP($A33,'2010_IS'!$A:$AE,31,FALSE),0)</f>
        <v>191243.87</v>
      </c>
      <c r="D33" s="844">
        <f>-D34</f>
        <v>-90115.089699999997</v>
      </c>
      <c r="E33" s="844">
        <f t="shared" ref="E33:E40" si="10">SUM(C33:D33)</f>
        <v>101128.7803</v>
      </c>
      <c r="F33" s="912" t="s">
        <v>90</v>
      </c>
      <c r="G33" s="844"/>
      <c r="H33" s="844">
        <f t="shared" ref="H33:H40" si="11">C33+D33+G33</f>
        <v>101128.7803</v>
      </c>
      <c r="I33" s="844"/>
      <c r="J33" s="846">
        <f>H33*'Shop Exp'!$L$20</f>
        <v>29622.28329959447</v>
      </c>
      <c r="K33" s="842">
        <f>H33-J33</f>
        <v>71506.497000405536</v>
      </c>
      <c r="L33" s="846" t="s">
        <v>1280</v>
      </c>
      <c r="M33" s="800">
        <f t="shared" ref="M33:M40" si="12">H33-J33-K33</f>
        <v>0</v>
      </c>
      <c r="N33" s="842">
        <f t="shared" ref="N33:N40" si="13">J33</f>
        <v>29622.28329959447</v>
      </c>
      <c r="O33" s="805"/>
      <c r="P33" s="805"/>
      <c r="Q33" s="805"/>
      <c r="R33" s="805"/>
      <c r="S33" s="805"/>
    </row>
    <row r="34" spans="1:19">
      <c r="A34" s="867"/>
      <c r="B34" s="799" t="s">
        <v>2992</v>
      </c>
      <c r="C34" s="842">
        <v>0</v>
      </c>
      <c r="D34" s="844">
        <f>-'Restating Adj''s'!B40</f>
        <v>90115.089699999997</v>
      </c>
      <c r="E34" s="844">
        <f t="shared" ref="E34" si="14">SUM(C34:D34)</f>
        <v>90115.089699999997</v>
      </c>
      <c r="F34" s="912" t="s">
        <v>90</v>
      </c>
      <c r="G34" s="844"/>
      <c r="H34" s="844">
        <f t="shared" ref="H34" si="15">C34+D34+G34</f>
        <v>90115.089699999997</v>
      </c>
      <c r="I34" s="844"/>
      <c r="J34" s="842">
        <f>+H34*Ratios!$C$65</f>
        <v>48140.543310675865</v>
      </c>
      <c r="K34" s="842">
        <f>+H34*Ratios!$D$65</f>
        <v>41974.546389324132</v>
      </c>
      <c r="L34" s="846" t="s">
        <v>98</v>
      </c>
      <c r="M34" s="800">
        <f t="shared" ref="M34" si="16">H34-J34-K34</f>
        <v>0</v>
      </c>
      <c r="N34" s="842">
        <f t="shared" ref="N34" si="17">J34</f>
        <v>48140.543310675865</v>
      </c>
      <c r="O34" s="805"/>
      <c r="P34" s="805"/>
      <c r="Q34" s="805"/>
      <c r="R34" s="805"/>
      <c r="S34" s="805"/>
    </row>
    <row r="35" spans="1:19">
      <c r="A35" s="867">
        <v>52020</v>
      </c>
      <c r="B35" s="862" t="s">
        <v>34</v>
      </c>
      <c r="C35" s="842">
        <f>+IFERROR(VLOOKUP($A35,'2010_IS'!$A:$AE,31,FALSE),0)</f>
        <v>727003.32</v>
      </c>
      <c r="D35" s="843">
        <f>'Restating Adj''s'!B39+'Restating Adj''s'!C41</f>
        <v>-25153.542696354958</v>
      </c>
      <c r="E35" s="844">
        <f t="shared" si="10"/>
        <v>701849.77730364504</v>
      </c>
      <c r="F35" s="912" t="s">
        <v>90</v>
      </c>
      <c r="G35" s="844">
        <f>'Pro-forma Adj''s'!B14</f>
        <v>34879.785158897939</v>
      </c>
      <c r="H35" s="844">
        <f>C35+D35+G35</f>
        <v>736729.56246254302</v>
      </c>
      <c r="I35" s="844"/>
      <c r="J35" s="846">
        <f>H35*'Shop Exp'!$L$20</f>
        <v>215800.20791026714</v>
      </c>
      <c r="K35" s="842">
        <f t="shared" ref="K35:K40" si="18">H35-J35</f>
        <v>520929.35455227585</v>
      </c>
      <c r="L35" s="846" t="s">
        <v>1280</v>
      </c>
      <c r="M35" s="800">
        <f t="shared" si="12"/>
        <v>0</v>
      </c>
      <c r="N35" s="842">
        <f t="shared" si="13"/>
        <v>215800.20791026714</v>
      </c>
      <c r="O35" s="805"/>
      <c r="P35" s="805"/>
      <c r="Q35" s="805"/>
      <c r="R35" s="805"/>
      <c r="S35" s="805"/>
    </row>
    <row r="36" spans="1:19">
      <c r="A36" s="867">
        <v>52025</v>
      </c>
      <c r="B36" s="799" t="s">
        <v>36</v>
      </c>
      <c r="C36" s="842">
        <f>+IFERROR(VLOOKUP($A36,'2010_IS'!$A:$AE,31,FALSE),0)</f>
        <v>115525.80000000002</v>
      </c>
      <c r="D36" s="844"/>
      <c r="E36" s="844">
        <f t="shared" si="10"/>
        <v>115525.80000000002</v>
      </c>
      <c r="F36" s="845"/>
      <c r="G36" s="844"/>
      <c r="H36" s="844">
        <f t="shared" si="11"/>
        <v>115525.80000000002</v>
      </c>
      <c r="I36" s="844"/>
      <c r="J36" s="846">
        <f>H36*'Shop Exp'!$L$20</f>
        <v>33839.407198034714</v>
      </c>
      <c r="K36" s="842">
        <f t="shared" si="18"/>
        <v>81686.392801965296</v>
      </c>
      <c r="L36" s="846" t="s">
        <v>1280</v>
      </c>
      <c r="M36" s="800">
        <f t="shared" si="12"/>
        <v>0</v>
      </c>
      <c r="N36" s="842">
        <f t="shared" si="13"/>
        <v>33839.407198034714</v>
      </c>
      <c r="O36" s="805"/>
      <c r="P36" s="805"/>
      <c r="Q36" s="805"/>
      <c r="R36" s="805"/>
      <c r="S36" s="805"/>
    </row>
    <row r="37" spans="1:19">
      <c r="A37" s="867">
        <v>52035</v>
      </c>
      <c r="B37" s="799" t="s">
        <v>37</v>
      </c>
      <c r="C37" s="842">
        <f>+IFERROR(VLOOKUP($A37,'2010_IS'!$A:$AE,31,FALSE),0)</f>
        <v>31182.82</v>
      </c>
      <c r="D37" s="844"/>
      <c r="E37" s="844">
        <f t="shared" si="10"/>
        <v>31182.82</v>
      </c>
      <c r="F37" s="845"/>
      <c r="G37" s="844"/>
      <c r="H37" s="844">
        <f t="shared" si="11"/>
        <v>31182.82</v>
      </c>
      <c r="I37" s="844"/>
      <c r="J37" s="846">
        <f>H37*'Shop Exp'!$L$20</f>
        <v>9133.9609296193648</v>
      </c>
      <c r="K37" s="842">
        <f t="shared" si="18"/>
        <v>22048.859070380633</v>
      </c>
      <c r="L37" s="846" t="s">
        <v>1280</v>
      </c>
      <c r="M37" s="800">
        <f t="shared" si="12"/>
        <v>0</v>
      </c>
      <c r="N37" s="842">
        <f t="shared" si="13"/>
        <v>9133.9609296193648</v>
      </c>
      <c r="O37" s="805"/>
      <c r="P37" s="805"/>
      <c r="Q37" s="805"/>
      <c r="R37" s="805"/>
      <c r="S37" s="805"/>
    </row>
    <row r="38" spans="1:19">
      <c r="A38" s="867">
        <v>52036</v>
      </c>
      <c r="B38" s="799" t="s">
        <v>38</v>
      </c>
      <c r="C38" s="842">
        <f>+IFERROR(VLOOKUP($A38,'2010_IS'!$A:$AE,31,FALSE),0)</f>
        <v>351.47</v>
      </c>
      <c r="D38" s="844"/>
      <c r="E38" s="844">
        <f t="shared" si="10"/>
        <v>351.47</v>
      </c>
      <c r="F38" s="845"/>
      <c r="G38" s="868"/>
      <c r="H38" s="844">
        <f t="shared" si="11"/>
        <v>351.47</v>
      </c>
      <c r="I38" s="844"/>
      <c r="J38" s="846">
        <f>H38*'Shop Exp'!$L$20</f>
        <v>102.95134461646889</v>
      </c>
      <c r="K38" s="842">
        <f t="shared" si="18"/>
        <v>248.51865538353115</v>
      </c>
      <c r="L38" s="846" t="s">
        <v>1280</v>
      </c>
      <c r="M38" s="800">
        <f t="shared" si="12"/>
        <v>0</v>
      </c>
      <c r="N38" s="842">
        <f t="shared" si="13"/>
        <v>102.95134461646889</v>
      </c>
      <c r="O38" s="805"/>
      <c r="P38" s="805"/>
      <c r="Q38" s="805"/>
      <c r="R38" s="805"/>
      <c r="S38" s="805"/>
    </row>
    <row r="39" spans="1:19">
      <c r="A39" s="836">
        <v>52065</v>
      </c>
      <c r="B39" s="799" t="s">
        <v>39</v>
      </c>
      <c r="C39" s="842">
        <f>+IFERROR(VLOOKUP($A39,'2010_IS'!$A:$AE,31,FALSE),0)</f>
        <v>47830.16</v>
      </c>
      <c r="D39" s="844"/>
      <c r="E39" s="844">
        <f t="shared" si="10"/>
        <v>47830.16</v>
      </c>
      <c r="F39" s="845"/>
      <c r="G39" s="868"/>
      <c r="H39" s="844">
        <f t="shared" si="11"/>
        <v>47830.16</v>
      </c>
      <c r="I39" s="844"/>
      <c r="J39" s="846">
        <f>H39*'Shop Exp'!$L$20</f>
        <v>14010.240661282172</v>
      </c>
      <c r="K39" s="842">
        <f t="shared" si="18"/>
        <v>33819.919338717831</v>
      </c>
      <c r="L39" s="846" t="s">
        <v>1280</v>
      </c>
      <c r="M39" s="800">
        <f t="shared" si="12"/>
        <v>0</v>
      </c>
      <c r="N39" s="842">
        <f t="shared" si="13"/>
        <v>14010.240661282172</v>
      </c>
      <c r="O39" s="805"/>
      <c r="P39" s="805"/>
      <c r="Q39" s="805"/>
      <c r="R39" s="805"/>
      <c r="S39" s="805"/>
    </row>
    <row r="40" spans="1:19">
      <c r="A40" s="836">
        <v>52070</v>
      </c>
      <c r="B40" s="799" t="s">
        <v>40</v>
      </c>
      <c r="C40" s="842">
        <f>+IFERROR(VLOOKUP($A40,'2010_IS'!$A:$AE,31,FALSE),0)</f>
        <v>7945.65</v>
      </c>
      <c r="D40" s="844"/>
      <c r="E40" s="844">
        <f t="shared" si="10"/>
        <v>7945.65</v>
      </c>
      <c r="F40" s="845"/>
      <c r="G40" s="868"/>
      <c r="H40" s="844">
        <f t="shared" si="11"/>
        <v>7945.65</v>
      </c>
      <c r="I40" s="844"/>
      <c r="J40" s="846">
        <f>H40*'Shop Exp'!$L$20</f>
        <v>2327.4115894723473</v>
      </c>
      <c r="K40" s="842">
        <f t="shared" si="18"/>
        <v>5618.2384105276524</v>
      </c>
      <c r="L40" s="846" t="s">
        <v>1280</v>
      </c>
      <c r="M40" s="800">
        <f t="shared" si="12"/>
        <v>0</v>
      </c>
      <c r="N40" s="842">
        <f t="shared" si="13"/>
        <v>2327.4115894723473</v>
      </c>
      <c r="O40" s="805"/>
      <c r="P40" s="805"/>
      <c r="Q40" s="805"/>
      <c r="R40" s="805"/>
      <c r="S40" s="805"/>
    </row>
    <row r="41" spans="1:19" ht="12" customHeight="1">
      <c r="A41" s="869">
        <v>41310</v>
      </c>
      <c r="B41" s="794" t="s">
        <v>32</v>
      </c>
      <c r="C41" s="848">
        <f>SUM(C33:C40)</f>
        <v>1121083.0899999999</v>
      </c>
      <c r="D41" s="870">
        <f>SUM(D33:D40)</f>
        <v>-25153.542696354958</v>
      </c>
      <c r="E41" s="848">
        <f>SUM(E33:E40)</f>
        <v>1095929.5473036449</v>
      </c>
      <c r="F41" s="849"/>
      <c r="G41" s="870">
        <f>SUM(G33:G40)</f>
        <v>34879.785158897939</v>
      </c>
      <c r="H41" s="848">
        <f>SUM(H33:H40)</f>
        <v>1130809.3324625429</v>
      </c>
      <c r="I41" s="848"/>
      <c r="J41" s="848">
        <f>SUM(J33:J40)</f>
        <v>352977.0062435625</v>
      </c>
      <c r="K41" s="848">
        <f>SUM(K33:K40)</f>
        <v>777832.32621898048</v>
      </c>
      <c r="L41" s="850"/>
      <c r="M41" s="850"/>
      <c r="N41" s="848">
        <f>SUM(N33:N40)</f>
        <v>352977.0062435625</v>
      </c>
    </row>
    <row r="42" spans="1:19">
      <c r="A42" s="869"/>
      <c r="B42" s="794"/>
      <c r="C42" s="864"/>
      <c r="D42" s="844"/>
      <c r="E42" s="847"/>
      <c r="G42" s="868"/>
      <c r="H42" s="847"/>
      <c r="I42" s="847"/>
      <c r="J42" s="1115">
        <f>J41/(J41+K41)</f>
        <v>0.31214546618119154</v>
      </c>
      <c r="K42" s="864"/>
      <c r="N42" s="864"/>
    </row>
    <row r="43" spans="1:19">
      <c r="A43" s="866">
        <v>41311</v>
      </c>
      <c r="B43" s="855" t="s">
        <v>41</v>
      </c>
      <c r="C43" s="871"/>
      <c r="D43" s="872"/>
      <c r="E43" s="858"/>
      <c r="F43" s="859"/>
      <c r="G43" s="873"/>
      <c r="H43" s="858"/>
      <c r="I43" s="858"/>
      <c r="J43" s="871"/>
      <c r="K43" s="871"/>
      <c r="L43" s="860"/>
      <c r="M43" s="860"/>
      <c r="N43" s="871"/>
    </row>
    <row r="44" spans="1:19" ht="10.5" customHeight="1">
      <c r="A44" s="836">
        <v>55020</v>
      </c>
      <c r="B44" s="799" t="s">
        <v>42</v>
      </c>
      <c r="C44" s="842">
        <f>+IFERROR(VLOOKUP($A44,'2010_IS'!$A:$AE,31,FALSE),0)</f>
        <v>297856.31000000006</v>
      </c>
      <c r="D44" s="843">
        <f>'Restating Adj''s'!B45+'Restating Adj''s'!C46</f>
        <v>-31901.356429361836</v>
      </c>
      <c r="E44" s="844">
        <f t="shared" ref="E44:E49" si="19">SUM(C44:D44)</f>
        <v>265954.9535706382</v>
      </c>
      <c r="F44" s="912" t="s">
        <v>90</v>
      </c>
      <c r="G44" s="844">
        <f>'Pro-forma Adj''s'!B15</f>
        <v>6127.3596570658565</v>
      </c>
      <c r="H44" s="844">
        <f t="shared" ref="H44:H49" si="20">C44+D44+G44</f>
        <v>272082.31322770409</v>
      </c>
      <c r="I44" s="844"/>
      <c r="J44" s="842">
        <f>H44*Ratios!$F$28</f>
        <v>132283.44323407492</v>
      </c>
      <c r="K44" s="842">
        <f t="shared" ref="K44:K49" si="21">H44-J44</f>
        <v>139798.86999362917</v>
      </c>
      <c r="L44" s="846" t="s">
        <v>1430</v>
      </c>
      <c r="M44" s="800">
        <f t="shared" ref="M44:M49" si="22">H44-J44-K44</f>
        <v>0</v>
      </c>
      <c r="N44" s="842">
        <f t="shared" ref="N44:N49" si="23">J44</f>
        <v>132283.44323407492</v>
      </c>
      <c r="O44" s="805"/>
      <c r="P44" s="805"/>
      <c r="Q44" s="805"/>
      <c r="R44" s="805"/>
      <c r="S44" s="805"/>
    </row>
    <row r="45" spans="1:19">
      <c r="A45" s="836">
        <v>55025</v>
      </c>
      <c r="B45" s="799" t="s">
        <v>43</v>
      </c>
      <c r="C45" s="842">
        <f>+IFERROR(VLOOKUP($A45,'2010_IS'!$A:$AE,31,FALSE),0)</f>
        <v>20357.72</v>
      </c>
      <c r="D45" s="844"/>
      <c r="E45" s="844">
        <f t="shared" si="19"/>
        <v>20357.72</v>
      </c>
      <c r="F45" s="845"/>
      <c r="G45" s="844"/>
      <c r="H45" s="844">
        <f t="shared" si="20"/>
        <v>20357.72</v>
      </c>
      <c r="I45" s="844"/>
      <c r="J45" s="842">
        <f>H45*Ratios!$F$28</f>
        <v>9897.7006849447243</v>
      </c>
      <c r="K45" s="842">
        <f t="shared" si="21"/>
        <v>10460.019315055277</v>
      </c>
      <c r="L45" s="846" t="s">
        <v>1430</v>
      </c>
      <c r="M45" s="800">
        <f t="shared" si="22"/>
        <v>0</v>
      </c>
      <c r="N45" s="842">
        <f t="shared" si="23"/>
        <v>9897.7006849447243</v>
      </c>
      <c r="O45" s="805"/>
      <c r="P45" s="805"/>
      <c r="Q45" s="805"/>
      <c r="R45" s="805"/>
      <c r="S45" s="805"/>
    </row>
    <row r="46" spans="1:19">
      <c r="A46" s="836">
        <v>55035</v>
      </c>
      <c r="B46" s="799" t="s">
        <v>44</v>
      </c>
      <c r="C46" s="842">
        <f>+IFERROR(VLOOKUP($A46,'2010_IS'!$A:$AE,31,FALSE),0)</f>
        <v>0</v>
      </c>
      <c r="D46" s="844"/>
      <c r="E46" s="844">
        <f t="shared" si="19"/>
        <v>0</v>
      </c>
      <c r="F46" s="845"/>
      <c r="G46" s="844"/>
      <c r="H46" s="844">
        <f t="shared" si="20"/>
        <v>0</v>
      </c>
      <c r="I46" s="844"/>
      <c r="J46" s="842">
        <f>H46*Ratios!$F$28</f>
        <v>0</v>
      </c>
      <c r="K46" s="842">
        <f t="shared" si="21"/>
        <v>0</v>
      </c>
      <c r="L46" s="846" t="s">
        <v>1430</v>
      </c>
      <c r="M46" s="800">
        <f t="shared" si="22"/>
        <v>0</v>
      </c>
      <c r="N46" s="842">
        <f t="shared" si="23"/>
        <v>0</v>
      </c>
      <c r="O46" s="805"/>
      <c r="P46" s="805"/>
      <c r="Q46" s="805"/>
      <c r="R46" s="805"/>
      <c r="S46" s="805"/>
    </row>
    <row r="47" spans="1:19">
      <c r="A47" s="836">
        <v>55036</v>
      </c>
      <c r="B47" s="799" t="s">
        <v>45</v>
      </c>
      <c r="C47" s="842">
        <f>+IFERROR(VLOOKUP($A47,'2010_IS'!$A:$AE,31,FALSE),0)</f>
        <v>490.77</v>
      </c>
      <c r="D47" s="844"/>
      <c r="E47" s="844">
        <f t="shared" si="19"/>
        <v>490.77</v>
      </c>
      <c r="F47" s="845"/>
      <c r="G47" s="844"/>
      <c r="H47" s="844">
        <f t="shared" si="20"/>
        <v>490.77</v>
      </c>
      <c r="I47" s="844"/>
      <c r="J47" s="842">
        <f>H47*Ratios!$F$28</f>
        <v>238.60700339479675</v>
      </c>
      <c r="K47" s="842">
        <f t="shared" si="21"/>
        <v>252.16299660520323</v>
      </c>
      <c r="L47" s="846" t="s">
        <v>1430</v>
      </c>
      <c r="M47" s="800">
        <f t="shared" si="22"/>
        <v>0</v>
      </c>
      <c r="N47" s="842">
        <f t="shared" si="23"/>
        <v>238.60700339479675</v>
      </c>
      <c r="O47" s="805"/>
      <c r="P47" s="805"/>
      <c r="Q47" s="805"/>
      <c r="R47" s="805"/>
      <c r="S47" s="805"/>
    </row>
    <row r="48" spans="1:19">
      <c r="A48" s="836">
        <v>55065</v>
      </c>
      <c r="B48" s="799" t="s">
        <v>39</v>
      </c>
      <c r="C48" s="842">
        <f>+IFERROR(VLOOKUP($A48,'2010_IS'!$A:$AE,31,FALSE),0)</f>
        <v>14202.990000000002</v>
      </c>
      <c r="D48" s="844"/>
      <c r="E48" s="844">
        <f t="shared" si="19"/>
        <v>14202.990000000002</v>
      </c>
      <c r="F48" s="845"/>
      <c r="G48" s="844"/>
      <c r="H48" s="844">
        <f t="shared" si="20"/>
        <v>14202.990000000002</v>
      </c>
      <c r="I48" s="844"/>
      <c r="J48" s="842">
        <f>H48*Ratios!$F$28</f>
        <v>6905.3383115232491</v>
      </c>
      <c r="K48" s="842">
        <f t="shared" si="21"/>
        <v>7297.6516884767525</v>
      </c>
      <c r="L48" s="846" t="s">
        <v>1430</v>
      </c>
      <c r="M48" s="800">
        <f t="shared" si="22"/>
        <v>0</v>
      </c>
      <c r="N48" s="842">
        <f t="shared" si="23"/>
        <v>6905.3383115232491</v>
      </c>
      <c r="O48" s="805"/>
      <c r="P48" s="805"/>
      <c r="Q48" s="805"/>
      <c r="R48" s="805"/>
      <c r="S48" s="805"/>
    </row>
    <row r="49" spans="1:19">
      <c r="A49" s="836">
        <v>55070</v>
      </c>
      <c r="B49" s="799" t="s">
        <v>46</v>
      </c>
      <c r="C49" s="842">
        <f>+IFERROR(VLOOKUP($A49,'2010_IS'!$A:$AE,31,FALSE),0)</f>
        <v>3481.3199999999997</v>
      </c>
      <c r="D49" s="844"/>
      <c r="E49" s="844">
        <f t="shared" si="19"/>
        <v>3481.3199999999997</v>
      </c>
      <c r="F49" s="845"/>
      <c r="G49" s="844"/>
      <c r="H49" s="844">
        <f t="shared" si="20"/>
        <v>3481.3199999999997</v>
      </c>
      <c r="I49" s="844"/>
      <c r="J49" s="842">
        <f>H49*Ratios!$F$28</f>
        <v>1692.5796871413775</v>
      </c>
      <c r="K49" s="842">
        <f t="shared" si="21"/>
        <v>1788.7403128586222</v>
      </c>
      <c r="L49" s="846" t="s">
        <v>1430</v>
      </c>
      <c r="M49" s="800">
        <f t="shared" si="22"/>
        <v>0</v>
      </c>
      <c r="N49" s="842">
        <f t="shared" si="23"/>
        <v>1692.5796871413775</v>
      </c>
      <c r="O49" s="805"/>
      <c r="P49" s="805"/>
      <c r="Q49" s="805"/>
      <c r="R49" s="805"/>
      <c r="S49" s="805"/>
    </row>
    <row r="50" spans="1:19">
      <c r="A50" s="869">
        <v>41311</v>
      </c>
      <c r="B50" s="794" t="s">
        <v>41</v>
      </c>
      <c r="C50" s="848">
        <f>SUM(C44:C49)</f>
        <v>336389.11000000004</v>
      </c>
      <c r="D50" s="848">
        <f>SUM(D44:D49)</f>
        <v>-31901.356429361836</v>
      </c>
      <c r="E50" s="848">
        <f t="shared" ref="E50" si="24">SUM(E44:E49)</f>
        <v>304487.75357063819</v>
      </c>
      <c r="F50" s="849"/>
      <c r="G50" s="848">
        <f>SUM(G44:G49)</f>
        <v>6127.3596570658565</v>
      </c>
      <c r="H50" s="848">
        <f>SUM(H44:H49)</f>
        <v>310615.11322770413</v>
      </c>
      <c r="I50" s="848"/>
      <c r="J50" s="848">
        <f t="shared" ref="J50:K50" si="25">SUM(J44:J49)</f>
        <v>151017.66892107908</v>
      </c>
      <c r="K50" s="848">
        <f t="shared" si="25"/>
        <v>159597.44430662505</v>
      </c>
      <c r="L50" s="850"/>
      <c r="M50" s="850"/>
      <c r="N50" s="848">
        <f t="shared" ref="N50" si="26">SUM(N44:N49)</f>
        <v>151017.66892107908</v>
      </c>
    </row>
    <row r="51" spans="1:19">
      <c r="C51" s="864"/>
      <c r="D51" s="847"/>
      <c r="E51" s="847"/>
      <c r="G51" s="847"/>
      <c r="H51" s="847"/>
      <c r="I51" s="847"/>
      <c r="J51" s="1115">
        <f>J50/(J50+K50)</f>
        <v>0.48618905677771007</v>
      </c>
      <c r="K51" s="864"/>
      <c r="N51" s="864"/>
    </row>
    <row r="52" spans="1:19">
      <c r="A52" s="866">
        <v>41320</v>
      </c>
      <c r="B52" s="855" t="s">
        <v>47</v>
      </c>
      <c r="C52" s="871"/>
      <c r="D52" s="858"/>
      <c r="E52" s="858"/>
      <c r="F52" s="859"/>
      <c r="G52" s="858"/>
      <c r="H52" s="858"/>
      <c r="I52" s="858"/>
      <c r="J52" s="871"/>
      <c r="K52" s="871"/>
      <c r="L52" s="860"/>
      <c r="M52" s="860"/>
      <c r="N52" s="871"/>
    </row>
    <row r="53" spans="1:19">
      <c r="A53" s="884">
        <v>52120</v>
      </c>
      <c r="B53" s="881" t="s">
        <v>47</v>
      </c>
      <c r="C53" s="846">
        <f>+IFERROR(VLOOKUP($A53,'2010_IS'!$A:$AE,31,FALSE),0)</f>
        <v>856232.06</v>
      </c>
      <c r="D53" s="843">
        <f>D21</f>
        <v>-68520.759999999995</v>
      </c>
      <c r="E53" s="843">
        <f>SUM(C53:D53)</f>
        <v>787711.3</v>
      </c>
      <c r="F53" s="913" t="s">
        <v>16</v>
      </c>
      <c r="G53" s="883"/>
      <c r="H53" s="843">
        <f>C53+D53+G53</f>
        <v>787711.3</v>
      </c>
      <c r="I53" s="843"/>
      <c r="J53" s="846">
        <f>H53*[48]Pivots!$F$40</f>
        <v>179442.13897893499</v>
      </c>
      <c r="K53" s="842">
        <f>H53-J53</f>
        <v>608269.16102106508</v>
      </c>
      <c r="L53" s="846" t="s">
        <v>1502</v>
      </c>
      <c r="M53" s="800">
        <f t="shared" ref="M53:M57" si="27">H53-J53-K53</f>
        <v>0</v>
      </c>
      <c r="N53" s="842">
        <f t="shared" ref="N53:N57" si="28">J53</f>
        <v>179442.13897893499</v>
      </c>
      <c r="O53" s="805"/>
      <c r="P53" s="805"/>
      <c r="Q53" s="805"/>
      <c r="R53" s="805"/>
      <c r="S53" s="805"/>
    </row>
    <row r="54" spans="1:19">
      <c r="A54" s="867">
        <v>52125</v>
      </c>
      <c r="B54" s="799" t="s">
        <v>48</v>
      </c>
      <c r="C54" s="842">
        <f>+IFERROR(VLOOKUP($A54,'2010_IS'!$A:$AE,31,FALSE),0)</f>
        <v>16199.28</v>
      </c>
      <c r="D54" s="844"/>
      <c r="E54" s="844">
        <f>SUM(C54:D54)</f>
        <v>16199.28</v>
      </c>
      <c r="F54" s="845"/>
      <c r="G54" s="847"/>
      <c r="H54" s="844">
        <f>C54+D54+G54</f>
        <v>16199.28</v>
      </c>
      <c r="I54" s="844"/>
      <c r="J54" s="842">
        <f>H54*Ratios!$C$20</f>
        <v>5512.6426789126463</v>
      </c>
      <c r="K54" s="842">
        <f>+H54*Ratios!$D$20</f>
        <v>10686.637321087357</v>
      </c>
      <c r="L54" s="846" t="s">
        <v>30</v>
      </c>
      <c r="M54" s="800">
        <f t="shared" si="27"/>
        <v>0</v>
      </c>
      <c r="N54" s="842">
        <f t="shared" si="28"/>
        <v>5512.6426789126463</v>
      </c>
      <c r="O54" s="805"/>
      <c r="P54" s="805"/>
      <c r="Q54" s="805"/>
      <c r="R54" s="805"/>
      <c r="S54" s="805"/>
    </row>
    <row r="55" spans="1:19">
      <c r="A55" s="867">
        <v>52135</v>
      </c>
      <c r="B55" s="799" t="s">
        <v>49</v>
      </c>
      <c r="C55" s="842">
        <f>+IFERROR(VLOOKUP($A55,'2010_IS'!$A:$AE,31,FALSE),0)</f>
        <v>7120.29</v>
      </c>
      <c r="D55" s="847"/>
      <c r="E55" s="844">
        <f>SUM(C55:D55)</f>
        <v>7120.29</v>
      </c>
      <c r="F55" s="845"/>
      <c r="G55" s="847"/>
      <c r="H55" s="844">
        <f>C55+D55+G55</f>
        <v>7120.29</v>
      </c>
      <c r="I55" s="844"/>
      <c r="J55" s="842">
        <f>H55*Ratios!$C$20</f>
        <v>2423.0468601218649</v>
      </c>
      <c r="K55" s="842">
        <f>+H55*Ratios!$D$20</f>
        <v>4697.2431398781355</v>
      </c>
      <c r="L55" s="846" t="s">
        <v>30</v>
      </c>
      <c r="M55" s="800">
        <f t="shared" si="27"/>
        <v>0</v>
      </c>
      <c r="N55" s="842">
        <f t="shared" si="28"/>
        <v>2423.0468601218649</v>
      </c>
      <c r="O55" s="805"/>
      <c r="P55" s="805"/>
      <c r="Q55" s="805"/>
      <c r="R55" s="805"/>
      <c r="S55" s="805"/>
    </row>
    <row r="56" spans="1:19">
      <c r="A56" s="867">
        <v>55120</v>
      </c>
      <c r="B56" s="799" t="s">
        <v>47</v>
      </c>
      <c r="C56" s="842">
        <f>+IFERROR(VLOOKUP($A56,'2010_IS'!$A:$AE,31,FALSE),0)</f>
        <v>192394.11000000002</v>
      </c>
      <c r="D56" s="847"/>
      <c r="E56" s="844">
        <f>SUM(C56:D56)</f>
        <v>192394.11000000002</v>
      </c>
      <c r="F56" s="845"/>
      <c r="G56" s="847"/>
      <c r="H56" s="844">
        <f>C56+D56+G56</f>
        <v>192394.11000000002</v>
      </c>
      <c r="I56" s="844"/>
      <c r="J56" s="842">
        <f>H56*Ratios!$F$28</f>
        <v>93539.910870487001</v>
      </c>
      <c r="K56" s="842">
        <f t="shared" ref="K56:K57" si="29">H56-J56</f>
        <v>98854.199129513014</v>
      </c>
      <c r="L56" s="846" t="s">
        <v>1430</v>
      </c>
      <c r="M56" s="800">
        <f t="shared" si="27"/>
        <v>0</v>
      </c>
      <c r="N56" s="842">
        <f t="shared" si="28"/>
        <v>93539.910870487001</v>
      </c>
      <c r="O56" s="805"/>
      <c r="P56" s="805"/>
      <c r="Q56" s="805"/>
      <c r="R56" s="805"/>
      <c r="S56" s="805"/>
    </row>
    <row r="57" spans="1:19">
      <c r="A57" s="867">
        <v>55125</v>
      </c>
      <c r="B57" s="799" t="s">
        <v>48</v>
      </c>
      <c r="C57" s="842">
        <f>+IFERROR(VLOOKUP($A57,'2010_IS'!$A:$AE,31,FALSE),0)</f>
        <v>5816.8</v>
      </c>
      <c r="D57" s="847"/>
      <c r="E57" s="844">
        <f>SUM(C57:D57)</f>
        <v>5816.8</v>
      </c>
      <c r="F57" s="845"/>
      <c r="G57" s="847"/>
      <c r="H57" s="844">
        <f>C57+D57+G57</f>
        <v>5816.8</v>
      </c>
      <c r="I57" s="844"/>
      <c r="J57" s="842">
        <f>H57*Ratios!$F$28</f>
        <v>2828.0645054645838</v>
      </c>
      <c r="K57" s="842">
        <f t="shared" si="29"/>
        <v>2988.7354945354164</v>
      </c>
      <c r="L57" s="846" t="s">
        <v>1430</v>
      </c>
      <c r="M57" s="800">
        <f t="shared" si="27"/>
        <v>0</v>
      </c>
      <c r="N57" s="842">
        <f t="shared" si="28"/>
        <v>2828.0645054645838</v>
      </c>
      <c r="O57" s="805"/>
      <c r="P57" s="805"/>
      <c r="Q57" s="805"/>
      <c r="R57" s="805"/>
      <c r="S57" s="805"/>
    </row>
    <row r="58" spans="1:19">
      <c r="A58" s="869">
        <v>41320</v>
      </c>
      <c r="B58" s="794" t="s">
        <v>50</v>
      </c>
      <c r="C58" s="848">
        <f>SUM(C53:C57)</f>
        <v>1077762.5400000003</v>
      </c>
      <c r="D58" s="848">
        <f>SUM(D53:D57)</f>
        <v>-68520.759999999995</v>
      </c>
      <c r="E58" s="848">
        <f>SUM(E53:E57)</f>
        <v>1009241.7800000001</v>
      </c>
      <c r="F58" s="849"/>
      <c r="G58" s="848">
        <f>SUM(G53:G57)</f>
        <v>0</v>
      </c>
      <c r="H58" s="848">
        <f>SUM(H53:H57)</f>
        <v>1009241.7800000001</v>
      </c>
      <c r="I58" s="848"/>
      <c r="J58" s="848">
        <f>SUM(J53:J57)</f>
        <v>283745.80389392108</v>
      </c>
      <c r="K58" s="848">
        <f>SUM(K53:K57)</f>
        <v>725495.97610607906</v>
      </c>
      <c r="L58" s="850"/>
      <c r="M58" s="850"/>
      <c r="N58" s="848">
        <f>SUM(N53:N57)</f>
        <v>283745.80389392108</v>
      </c>
    </row>
    <row r="59" spans="1:19">
      <c r="A59" s="869"/>
      <c r="B59" s="794"/>
      <c r="C59" s="864"/>
      <c r="D59" s="864"/>
      <c r="E59" s="864"/>
      <c r="F59" s="865"/>
      <c r="G59" s="864"/>
      <c r="H59" s="864"/>
      <c r="I59" s="864"/>
      <c r="J59" s="1115"/>
      <c r="K59" s="864"/>
      <c r="L59" s="795"/>
      <c r="M59" s="795"/>
      <c r="N59" s="864"/>
    </row>
    <row r="60" spans="1:19">
      <c r="A60" s="856">
        <v>41330</v>
      </c>
      <c r="B60" s="856"/>
      <c r="C60" s="857"/>
      <c r="D60" s="858"/>
      <c r="E60" s="858"/>
      <c r="F60" s="859"/>
      <c r="G60" s="858"/>
      <c r="H60" s="858"/>
      <c r="I60" s="858"/>
      <c r="J60" s="857"/>
      <c r="K60" s="857"/>
      <c r="L60" s="860"/>
      <c r="M60" s="860"/>
      <c r="N60" s="857"/>
    </row>
    <row r="61" spans="1:19">
      <c r="A61" s="836">
        <v>52147</v>
      </c>
      <c r="B61" s="799" t="s">
        <v>51</v>
      </c>
      <c r="C61" s="842">
        <f>+IFERROR(VLOOKUP($A61,'2010_IS'!$A:$AE,31,FALSE),0)</f>
        <v>88351.88</v>
      </c>
      <c r="D61" s="847"/>
      <c r="E61" s="844">
        <f>SUM(C61:D61)</f>
        <v>88351.88</v>
      </c>
      <c r="F61" s="845"/>
      <c r="G61" s="847"/>
      <c r="H61" s="844">
        <f>C61+D61+G61</f>
        <v>88351.88</v>
      </c>
      <c r="I61" s="844"/>
      <c r="J61" s="842">
        <f>H61*Ratios!$C$20</f>
        <v>30066.295813774974</v>
      </c>
      <c r="K61" s="842">
        <f>+H61*Ratios!$D$20</f>
        <v>58285.584186225045</v>
      </c>
      <c r="L61" s="846" t="s">
        <v>30</v>
      </c>
      <c r="M61" s="800">
        <f t="shared" ref="M61" si="30">H61-J61-K61</f>
        <v>0</v>
      </c>
      <c r="N61" s="842">
        <f t="shared" ref="N61" si="31">J61</f>
        <v>30066.295813774974</v>
      </c>
      <c r="O61" s="805"/>
      <c r="P61" s="805"/>
      <c r="Q61" s="805"/>
      <c r="R61" s="805"/>
      <c r="S61" s="805"/>
    </row>
    <row r="62" spans="1:19">
      <c r="A62" s="869">
        <v>41330</v>
      </c>
      <c r="B62" s="794" t="s">
        <v>27</v>
      </c>
      <c r="C62" s="848">
        <f>SUM(C61:C61)</f>
        <v>88351.88</v>
      </c>
      <c r="D62" s="848">
        <f>SUM(D61:D61)</f>
        <v>0</v>
      </c>
      <c r="E62" s="848">
        <f>SUM(E61:E61)</f>
        <v>88351.88</v>
      </c>
      <c r="F62" s="849"/>
      <c r="G62" s="848">
        <f>SUM(G61:G61)</f>
        <v>0</v>
      </c>
      <c r="H62" s="848">
        <f>SUM(H61:H61)</f>
        <v>88351.88</v>
      </c>
      <c r="I62" s="848"/>
      <c r="J62" s="848">
        <f>SUM(J61:J61)</f>
        <v>30066.295813774974</v>
      </c>
      <c r="K62" s="848">
        <f>SUM(K61:K61)</f>
        <v>58285.584186225045</v>
      </c>
      <c r="L62" s="850"/>
      <c r="M62" s="850"/>
      <c r="N62" s="848">
        <f>SUM(N61:N61)</f>
        <v>30066.295813774974</v>
      </c>
    </row>
    <row r="63" spans="1:19">
      <c r="A63" s="869"/>
      <c r="B63" s="794"/>
      <c r="C63" s="864"/>
      <c r="D63" s="864"/>
      <c r="E63" s="864"/>
      <c r="F63" s="865"/>
      <c r="G63" s="864"/>
      <c r="H63" s="864"/>
      <c r="I63" s="864"/>
      <c r="J63" s="864"/>
      <c r="K63" s="864"/>
      <c r="L63" s="795"/>
      <c r="M63" s="795"/>
      <c r="N63" s="864"/>
    </row>
    <row r="64" spans="1:19">
      <c r="A64" s="866">
        <v>41340</v>
      </c>
      <c r="B64" s="855" t="s">
        <v>52</v>
      </c>
      <c r="C64" s="857"/>
      <c r="D64" s="858"/>
      <c r="E64" s="858"/>
      <c r="F64" s="859"/>
      <c r="G64" s="858"/>
      <c r="H64" s="858"/>
      <c r="I64" s="858"/>
      <c r="J64" s="857"/>
      <c r="K64" s="857"/>
      <c r="L64" s="860"/>
      <c r="M64" s="860"/>
      <c r="N64" s="857"/>
    </row>
    <row r="65" spans="1:19">
      <c r="A65" s="836">
        <v>59400</v>
      </c>
      <c r="B65" s="799" t="s">
        <v>53</v>
      </c>
      <c r="C65" s="842">
        <f>+IFERROR(VLOOKUP($A65,'2010_IS'!$A:$AE,31,FALSE),0)</f>
        <v>13260.31</v>
      </c>
      <c r="D65" s="847"/>
      <c r="E65" s="844">
        <f>SUM(C65:D65)</f>
        <v>13260.31</v>
      </c>
      <c r="F65" s="845"/>
      <c r="G65" s="847"/>
      <c r="H65" s="844">
        <f>C65+D65+G65</f>
        <v>13260.31</v>
      </c>
      <c r="I65" s="844"/>
      <c r="J65" s="842">
        <f>H65*Ratios!$C$20</f>
        <v>4512.5061633364039</v>
      </c>
      <c r="K65" s="842">
        <f>+H65*Ratios!$D$20</f>
        <v>8747.8038366635974</v>
      </c>
      <c r="L65" s="846" t="s">
        <v>30</v>
      </c>
      <c r="M65" s="800">
        <f t="shared" ref="M65" si="32">H65-J65-K65</f>
        <v>0</v>
      </c>
      <c r="N65" s="842">
        <f t="shared" ref="N65" si="33">J65</f>
        <v>4512.5061633364039</v>
      </c>
      <c r="O65" s="805"/>
      <c r="P65" s="805"/>
      <c r="Q65" s="805"/>
      <c r="R65" s="805"/>
      <c r="S65" s="805"/>
    </row>
    <row r="66" spans="1:19">
      <c r="A66" s="869">
        <v>41340</v>
      </c>
      <c r="B66" s="794" t="s">
        <v>52</v>
      </c>
      <c r="C66" s="848">
        <f>SUM(C65:C65)</f>
        <v>13260.31</v>
      </c>
      <c r="D66" s="848">
        <f>SUM(D65:D65)</f>
        <v>0</v>
      </c>
      <c r="E66" s="848">
        <f>SUM(E65:E65)</f>
        <v>13260.31</v>
      </c>
      <c r="F66" s="849"/>
      <c r="G66" s="848">
        <f>SUM(G65:G65)</f>
        <v>0</v>
      </c>
      <c r="H66" s="848">
        <f>SUM(H65:H65)</f>
        <v>13260.31</v>
      </c>
      <c r="I66" s="848"/>
      <c r="J66" s="848">
        <f>SUM(J65:J65)</f>
        <v>4512.5061633364039</v>
      </c>
      <c r="K66" s="848">
        <f>SUM(K65:K65)</f>
        <v>8747.8038366635974</v>
      </c>
      <c r="L66" s="850"/>
      <c r="M66" s="850"/>
      <c r="N66" s="848">
        <f>SUM(N65:N65)</f>
        <v>4512.5061633364039</v>
      </c>
    </row>
    <row r="67" spans="1:19">
      <c r="A67" s="869"/>
      <c r="B67" s="794"/>
      <c r="C67" s="864"/>
      <c r="D67" s="864"/>
      <c r="E67" s="864"/>
      <c r="F67" s="865"/>
      <c r="G67" s="864"/>
      <c r="H67" s="864"/>
      <c r="I67" s="864"/>
      <c r="J67" s="864"/>
      <c r="K67" s="864"/>
      <c r="L67" s="795"/>
      <c r="M67" s="795"/>
      <c r="N67" s="864"/>
    </row>
    <row r="68" spans="1:19">
      <c r="A68" s="866">
        <v>41600</v>
      </c>
      <c r="B68" s="856"/>
      <c r="C68" s="857"/>
      <c r="D68" s="858"/>
      <c r="E68" s="858"/>
      <c r="F68" s="859"/>
      <c r="G68" s="858"/>
      <c r="H68" s="858"/>
      <c r="I68" s="858"/>
      <c r="J68" s="857"/>
      <c r="K68" s="857"/>
      <c r="L68" s="860"/>
      <c r="M68" s="860"/>
      <c r="N68" s="857"/>
    </row>
    <row r="69" spans="1:19">
      <c r="A69" s="836">
        <v>52140</v>
      </c>
      <c r="B69" s="799" t="s">
        <v>54</v>
      </c>
      <c r="C69" s="842">
        <f>+IFERROR(VLOOKUP($A69,'2010_IS'!$A:$AE,31,FALSE),0)</f>
        <v>321094.37</v>
      </c>
      <c r="D69" s="847"/>
      <c r="E69" s="844">
        <f>SUM(C69:D69)</f>
        <v>321094.37</v>
      </c>
      <c r="F69" s="845"/>
      <c r="G69" s="847"/>
      <c r="H69" s="844">
        <f>C69+D69+G69</f>
        <v>321094.37</v>
      </c>
      <c r="I69" s="844"/>
      <c r="J69" s="846">
        <f>H69*'Shop Exp'!$I$20</f>
        <v>108692.94008120507</v>
      </c>
      <c r="K69" s="842">
        <f>H69-J69</f>
        <v>212401.42991879492</v>
      </c>
      <c r="L69" s="846" t="s">
        <v>1281</v>
      </c>
      <c r="M69" s="800">
        <f t="shared" ref="M69" si="34">H69-J69-K69</f>
        <v>0</v>
      </c>
      <c r="N69" s="842">
        <f t="shared" ref="N69" si="35">J69</f>
        <v>108692.94008120507</v>
      </c>
      <c r="O69" s="805"/>
      <c r="P69" s="805"/>
      <c r="Q69" s="805"/>
      <c r="R69" s="805"/>
      <c r="S69" s="805"/>
    </row>
    <row r="70" spans="1:19">
      <c r="A70" s="869">
        <v>41600</v>
      </c>
      <c r="B70" s="794" t="s">
        <v>27</v>
      </c>
      <c r="C70" s="848">
        <f>SUM(C69)</f>
        <v>321094.37</v>
      </c>
      <c r="D70" s="848">
        <f>SUM(D69:D69)</f>
        <v>0</v>
      </c>
      <c r="E70" s="848">
        <f>SUM(E69)</f>
        <v>321094.37</v>
      </c>
      <c r="F70" s="849"/>
      <c r="G70" s="848">
        <f>SUM(G69:G69)</f>
        <v>0</v>
      </c>
      <c r="H70" s="848">
        <f>SUM(H69:H69)</f>
        <v>321094.37</v>
      </c>
      <c r="I70" s="848"/>
      <c r="J70" s="848">
        <f>SUM(J69:J69)</f>
        <v>108692.94008120507</v>
      </c>
      <c r="K70" s="848">
        <f>SUM(K69:K69)</f>
        <v>212401.42991879492</v>
      </c>
      <c r="L70" s="850"/>
      <c r="M70" s="850"/>
      <c r="N70" s="848">
        <f>SUM(N69:N69)</f>
        <v>108692.94008120507</v>
      </c>
    </row>
    <row r="71" spans="1:19">
      <c r="A71" s="869"/>
      <c r="B71" s="794"/>
      <c r="C71" s="864"/>
      <c r="D71" s="864"/>
      <c r="E71" s="864"/>
      <c r="F71" s="865"/>
      <c r="G71" s="864"/>
      <c r="H71" s="864"/>
      <c r="I71" s="864"/>
      <c r="J71" s="1115">
        <f>J70/(J70+K70)</f>
        <v>0.33850777290553263</v>
      </c>
      <c r="K71" s="864"/>
      <c r="L71" s="795"/>
      <c r="M71" s="795"/>
      <c r="N71" s="864"/>
    </row>
    <row r="72" spans="1:19">
      <c r="A72" s="866">
        <v>41800</v>
      </c>
      <c r="B72" s="855" t="s">
        <v>55</v>
      </c>
      <c r="C72" s="871"/>
      <c r="D72" s="858"/>
      <c r="E72" s="858"/>
      <c r="F72" s="859"/>
      <c r="G72" s="858"/>
      <c r="H72" s="858"/>
      <c r="I72" s="858"/>
      <c r="J72" s="871"/>
      <c r="K72" s="871"/>
      <c r="L72" s="860"/>
      <c r="M72" s="860"/>
      <c r="N72" s="871"/>
    </row>
    <row r="73" spans="1:19">
      <c r="A73" s="867">
        <v>52090</v>
      </c>
      <c r="B73" s="799" t="s">
        <v>57</v>
      </c>
      <c r="C73" s="842">
        <f>+IFERROR(VLOOKUP($A73,'2010_IS'!$A:$AE,31,FALSE),0)</f>
        <v>44638.83</v>
      </c>
      <c r="D73" s="847"/>
      <c r="E73" s="844">
        <f t="shared" ref="E73:E79" si="36">SUM(C73:D73)</f>
        <v>44638.83</v>
      </c>
      <c r="F73" s="845"/>
      <c r="G73" s="847"/>
      <c r="H73" s="844">
        <f t="shared" ref="H73:H79" si="37">C73+D73+G73</f>
        <v>44638.83</v>
      </c>
      <c r="I73" s="844"/>
      <c r="J73" s="842">
        <f>H73*Ratios!$C$20</f>
        <v>15190.670165262049</v>
      </c>
      <c r="K73" s="842">
        <f>+H73*Ratios!$D$20</f>
        <v>29448.159834737959</v>
      </c>
      <c r="L73" s="846" t="s">
        <v>30</v>
      </c>
      <c r="M73" s="800">
        <f t="shared" ref="M73:M79" si="38">H73-J73-K73</f>
        <v>0</v>
      </c>
      <c r="N73" s="842">
        <f t="shared" ref="N73:N79" si="39">J73</f>
        <v>15190.670165262049</v>
      </c>
      <c r="O73" s="805"/>
      <c r="P73" s="805"/>
      <c r="Q73" s="805"/>
      <c r="R73" s="805"/>
      <c r="S73" s="805"/>
    </row>
    <row r="74" spans="1:19">
      <c r="A74" s="867">
        <v>52165</v>
      </c>
      <c r="B74" s="799" t="s">
        <v>58</v>
      </c>
      <c r="C74" s="842">
        <f>+IFERROR(VLOOKUP($A74,'2010_IS'!$A:$AE,31,FALSE),0)</f>
        <v>34256.800000000003</v>
      </c>
      <c r="D74" s="847"/>
      <c r="E74" s="844">
        <f t="shared" si="36"/>
        <v>34256.800000000003</v>
      </c>
      <c r="F74" s="845"/>
      <c r="G74" s="847"/>
      <c r="H74" s="844">
        <f t="shared" si="37"/>
        <v>34256.800000000003</v>
      </c>
      <c r="I74" s="844"/>
      <c r="J74" s="842">
        <f>H74*Ratios!$C$20</f>
        <v>11657.647606743925</v>
      </c>
      <c r="K74" s="842">
        <f>+H74*Ratios!$D$20</f>
        <v>22599.152393256081</v>
      </c>
      <c r="L74" s="846" t="s">
        <v>30</v>
      </c>
      <c r="M74" s="800">
        <f t="shared" si="38"/>
        <v>0</v>
      </c>
      <c r="N74" s="842">
        <f t="shared" si="39"/>
        <v>11657.647606743925</v>
      </c>
      <c r="O74" s="805"/>
      <c r="P74" s="805"/>
      <c r="Q74" s="805"/>
      <c r="R74" s="805"/>
      <c r="S74" s="805"/>
    </row>
    <row r="75" spans="1:19">
      <c r="A75" s="867">
        <v>52175</v>
      </c>
      <c r="B75" s="799" t="s">
        <v>59</v>
      </c>
      <c r="C75" s="842">
        <f>+IFERROR(VLOOKUP($A75,'2010_IS'!$A:$AE,31,FALSE),0)</f>
        <v>133808.04</v>
      </c>
      <c r="D75" s="847"/>
      <c r="E75" s="844">
        <f t="shared" si="36"/>
        <v>133808.04</v>
      </c>
      <c r="F75" s="845"/>
      <c r="G75" s="847"/>
      <c r="H75" s="844">
        <f t="shared" si="37"/>
        <v>133808.04</v>
      </c>
      <c r="I75" s="844"/>
      <c r="J75" s="842">
        <f>H75*Ratios!$C$20</f>
        <v>45535.104775375854</v>
      </c>
      <c r="K75" s="842">
        <f>+H75*Ratios!$D$20</f>
        <v>88272.935224624176</v>
      </c>
      <c r="L75" s="846" t="s">
        <v>30</v>
      </c>
      <c r="M75" s="800">
        <f t="shared" si="38"/>
        <v>0</v>
      </c>
      <c r="N75" s="842">
        <f t="shared" si="39"/>
        <v>45535.104775375854</v>
      </c>
      <c r="O75" s="805"/>
      <c r="P75" s="805"/>
      <c r="Q75" s="805"/>
      <c r="R75" s="805"/>
      <c r="S75" s="805"/>
    </row>
    <row r="76" spans="1:19">
      <c r="A76" s="867">
        <v>52182</v>
      </c>
      <c r="B76" s="799" t="s">
        <v>60</v>
      </c>
      <c r="C76" s="842">
        <f>+IFERROR(VLOOKUP($A76,'2010_IS'!$A:$AE,31,FALSE),0)</f>
        <v>16928.600000000002</v>
      </c>
      <c r="D76" s="847"/>
      <c r="E76" s="844">
        <f t="shared" si="36"/>
        <v>16928.600000000002</v>
      </c>
      <c r="F76" s="845"/>
      <c r="G76" s="847"/>
      <c r="H76" s="844">
        <f t="shared" si="37"/>
        <v>16928.600000000002</v>
      </c>
      <c r="I76" s="844"/>
      <c r="J76" s="842">
        <f>H76*Ratios!$C$20</f>
        <v>5760.8315217861918</v>
      </c>
      <c r="K76" s="842">
        <f>+H76*Ratios!$D$20</f>
        <v>11167.768478213811</v>
      </c>
      <c r="L76" s="846" t="s">
        <v>30</v>
      </c>
      <c r="M76" s="800">
        <f t="shared" si="38"/>
        <v>0</v>
      </c>
      <c r="N76" s="842">
        <f t="shared" si="39"/>
        <v>5760.8315217861918</v>
      </c>
      <c r="O76" s="805"/>
      <c r="P76" s="805"/>
      <c r="Q76" s="805"/>
      <c r="R76" s="805"/>
      <c r="S76" s="805"/>
    </row>
    <row r="77" spans="1:19">
      <c r="A77" s="867">
        <v>52900</v>
      </c>
      <c r="B77" s="799" t="s">
        <v>62</v>
      </c>
      <c r="C77" s="842">
        <f>+IFERROR(VLOOKUP($A77,'2010_IS'!$A:$AE,31,FALSE),0)</f>
        <v>-3190.95</v>
      </c>
      <c r="D77" s="844"/>
      <c r="E77" s="844">
        <f t="shared" si="36"/>
        <v>-3190.95</v>
      </c>
      <c r="F77" s="845"/>
      <c r="G77" s="847"/>
      <c r="H77" s="844">
        <f t="shared" si="37"/>
        <v>-3190.95</v>
      </c>
      <c r="I77" s="844"/>
      <c r="J77" s="842">
        <f>H77*Ratios!$C$20</f>
        <v>-1085.885740370949</v>
      </c>
      <c r="K77" s="842">
        <f>+H77*Ratios!$D$20</f>
        <v>-2105.0642596290513</v>
      </c>
      <c r="L77" s="846" t="s">
        <v>30</v>
      </c>
      <c r="M77" s="800">
        <f t="shared" si="38"/>
        <v>0</v>
      </c>
      <c r="N77" s="842">
        <f t="shared" si="39"/>
        <v>-1085.885740370949</v>
      </c>
      <c r="O77" s="805"/>
      <c r="P77" s="805"/>
      <c r="Q77" s="805"/>
      <c r="R77" s="805"/>
      <c r="S77" s="805"/>
    </row>
    <row r="78" spans="1:19">
      <c r="A78" s="867">
        <v>55135</v>
      </c>
      <c r="B78" s="799" t="s">
        <v>65</v>
      </c>
      <c r="C78" s="842">
        <f>+IFERROR(VLOOKUP($A78,'2010_IS'!$A:$AE,31,FALSE),0)</f>
        <v>9198.869999999999</v>
      </c>
      <c r="D78" s="847"/>
      <c r="E78" s="844">
        <f t="shared" si="36"/>
        <v>9198.869999999999</v>
      </c>
      <c r="F78" s="845"/>
      <c r="G78" s="847"/>
      <c r="H78" s="844">
        <f t="shared" si="37"/>
        <v>9198.869999999999</v>
      </c>
      <c r="I78" s="844"/>
      <c r="J78" s="842">
        <f>H78*Ratios!$C$20</f>
        <v>3130.3911877422433</v>
      </c>
      <c r="K78" s="842">
        <f>+H78*Ratios!$D$20</f>
        <v>6068.4788122577565</v>
      </c>
      <c r="L78" s="846" t="s">
        <v>30</v>
      </c>
      <c r="M78" s="800">
        <f t="shared" si="38"/>
        <v>0</v>
      </c>
      <c r="N78" s="842">
        <f t="shared" si="39"/>
        <v>3130.3911877422433</v>
      </c>
      <c r="O78" s="805"/>
      <c r="P78" s="805"/>
      <c r="Q78" s="805"/>
      <c r="R78" s="805"/>
      <c r="S78" s="805"/>
    </row>
    <row r="79" spans="1:19">
      <c r="A79" s="867">
        <v>57254</v>
      </c>
      <c r="B79" s="799" t="s">
        <v>69</v>
      </c>
      <c r="C79" s="842">
        <f>+IFERROR(VLOOKUP($A79,'2010_IS'!$A:$AE,31,FALSE),0)</f>
        <v>91024.24</v>
      </c>
      <c r="D79" s="847"/>
      <c r="E79" s="844">
        <f t="shared" si="36"/>
        <v>91024.24</v>
      </c>
      <c r="F79" s="845"/>
      <c r="G79" s="847"/>
      <c r="H79" s="844">
        <f t="shared" si="37"/>
        <v>91024.24</v>
      </c>
      <c r="I79" s="844"/>
      <c r="J79" s="842">
        <f>H79*Ratios!$C$20</f>
        <v>30975.704490544496</v>
      </c>
      <c r="K79" s="842">
        <f>+H79*Ratios!$D$20</f>
        <v>60048.53550945552</v>
      </c>
      <c r="L79" s="846" t="s">
        <v>30</v>
      </c>
      <c r="M79" s="800">
        <f t="shared" si="38"/>
        <v>0</v>
      </c>
      <c r="N79" s="842">
        <f t="shared" si="39"/>
        <v>30975.704490544496</v>
      </c>
      <c r="O79" s="805"/>
      <c r="P79" s="805"/>
      <c r="Q79" s="805"/>
      <c r="R79" s="805"/>
      <c r="S79" s="805"/>
    </row>
    <row r="80" spans="1:19">
      <c r="A80" s="869">
        <v>41800</v>
      </c>
      <c r="B80" s="794" t="s">
        <v>55</v>
      </c>
      <c r="C80" s="848">
        <f>SUM(C73:C79)</f>
        <v>326664.43</v>
      </c>
      <c r="D80" s="848">
        <f>SUM(D73:D79)</f>
        <v>0</v>
      </c>
      <c r="E80" s="848">
        <f>SUM(E73:E79)</f>
        <v>326664.43</v>
      </c>
      <c r="F80" s="849"/>
      <c r="G80" s="848">
        <f>SUM(G73:G79)</f>
        <v>0</v>
      </c>
      <c r="H80" s="848">
        <f>SUM(H73:H79)</f>
        <v>326664.43</v>
      </c>
      <c r="I80" s="848"/>
      <c r="J80" s="848">
        <f>SUM(J73:J79)</f>
        <v>111164.46400708381</v>
      </c>
      <c r="K80" s="848">
        <f>SUM(K73:K79)</f>
        <v>215499.96599291623</v>
      </c>
      <c r="L80" s="850"/>
      <c r="M80" s="850"/>
      <c r="N80" s="848">
        <f>SUM(N73:N79)</f>
        <v>111164.46400708381</v>
      </c>
    </row>
    <row r="81" spans="1:19">
      <c r="C81" s="842"/>
      <c r="D81" s="847"/>
      <c r="E81" s="847"/>
      <c r="G81" s="847"/>
      <c r="H81" s="847"/>
      <c r="I81" s="847"/>
      <c r="J81" s="842"/>
      <c r="K81" s="842"/>
      <c r="N81" s="842"/>
    </row>
    <row r="82" spans="1:19">
      <c r="A82" s="866">
        <v>42100</v>
      </c>
      <c r="B82" s="855" t="s">
        <v>70</v>
      </c>
      <c r="C82" s="857"/>
      <c r="D82" s="858"/>
      <c r="E82" s="858"/>
      <c r="F82" s="859"/>
      <c r="G82" s="858"/>
      <c r="H82" s="858"/>
      <c r="I82" s="858"/>
      <c r="J82" s="857"/>
      <c r="K82" s="857"/>
      <c r="L82" s="860"/>
      <c r="M82" s="860"/>
      <c r="N82" s="857"/>
    </row>
    <row r="83" spans="1:19">
      <c r="A83" s="836">
        <v>56010</v>
      </c>
      <c r="B83" s="799" t="s">
        <v>71</v>
      </c>
      <c r="C83" s="842">
        <f>+IFERROR(VLOOKUP($A83,'2010_IS'!$A:$AE,31,FALSE),0)</f>
        <v>437297.9</v>
      </c>
      <c r="D83" s="843">
        <f>'Restating Adj''s'!C50-D84</f>
        <v>-89386.063722702282</v>
      </c>
      <c r="E83" s="844">
        <f>SUM(C83:D83)</f>
        <v>347911.83627729776</v>
      </c>
      <c r="F83" s="911" t="s">
        <v>90</v>
      </c>
      <c r="G83" s="844">
        <f>'Pro-forma Adj''s'!B16</f>
        <v>16257.677194397373</v>
      </c>
      <c r="H83" s="844">
        <f>C83+D83+G83</f>
        <v>364169.51347169513</v>
      </c>
      <c r="I83" s="844"/>
      <c r="J83" s="842">
        <f>H83*Ratios!$C$20</f>
        <v>123927.50803263603</v>
      </c>
      <c r="K83" s="842">
        <f>+H83*Ratios!$D$20</f>
        <v>240242.00543905914</v>
      </c>
      <c r="L83" s="846" t="s">
        <v>30</v>
      </c>
      <c r="M83" s="800">
        <f t="shared" ref="M83:M88" si="40">H83-J83-K83</f>
        <v>0</v>
      </c>
      <c r="N83" s="842">
        <f t="shared" ref="N83:N88" si="41">J83</f>
        <v>123927.50803263603</v>
      </c>
      <c r="O83" s="805"/>
      <c r="P83" s="805"/>
      <c r="Q83" s="805"/>
      <c r="R83" s="805"/>
      <c r="S83" s="805"/>
    </row>
    <row r="84" spans="1:19">
      <c r="B84" s="799" t="s">
        <v>2993</v>
      </c>
      <c r="C84" s="842">
        <v>0</v>
      </c>
      <c r="D84" s="843">
        <f>-'Restating Adj''s'!B49</f>
        <v>95420.75069999999</v>
      </c>
      <c r="E84" s="844">
        <f>SUM(C84:D84)</f>
        <v>95420.75069999999</v>
      </c>
      <c r="F84" s="911" t="s">
        <v>90</v>
      </c>
      <c r="G84" s="844"/>
      <c r="H84" s="844">
        <f>C84+D84+G84</f>
        <v>95420.75069999999</v>
      </c>
      <c r="I84" s="844"/>
      <c r="J84" s="842">
        <f>+H84*Ratios!$C$65</f>
        <v>50974.889966852621</v>
      </c>
      <c r="K84" s="842">
        <f>+H84*Ratios!$D$65</f>
        <v>44445.860733147369</v>
      </c>
      <c r="L84" s="846" t="s">
        <v>98</v>
      </c>
      <c r="M84" s="800">
        <f t="shared" ref="M84" si="42">H84-J84-K84</f>
        <v>0</v>
      </c>
      <c r="N84" s="842">
        <f t="shared" ref="N84" si="43">J84</f>
        <v>50974.889966852621</v>
      </c>
      <c r="O84" s="805"/>
      <c r="P84" s="805"/>
      <c r="Q84" s="805"/>
      <c r="R84" s="805"/>
      <c r="S84" s="805"/>
    </row>
    <row r="85" spans="1:19">
      <c r="A85" s="836">
        <v>56020</v>
      </c>
      <c r="B85" s="799" t="s">
        <v>42</v>
      </c>
      <c r="C85" s="842">
        <f>+IFERROR(VLOOKUP($A85,'2010_IS'!$A:$AE,31,FALSE),0)</f>
        <v>111222.65000000001</v>
      </c>
      <c r="D85" s="844"/>
      <c r="E85" s="844">
        <f t="shared" ref="E85:E86" si="44">SUM(C85:D85)</f>
        <v>111222.65000000001</v>
      </c>
      <c r="F85" s="845"/>
      <c r="G85" s="844"/>
      <c r="H85" s="844">
        <f>C85+D85+G85</f>
        <v>111222.65000000001</v>
      </c>
      <c r="I85" s="844"/>
      <c r="J85" s="842">
        <f>H85*Ratios!$C$20</f>
        <v>37849.257945523728</v>
      </c>
      <c r="K85" s="842">
        <f>+H85*Ratios!$D$20</f>
        <v>73373.392054476295</v>
      </c>
      <c r="L85" s="846" t="s">
        <v>30</v>
      </c>
      <c r="M85" s="800">
        <f t="shared" ref="M85:M86" si="45">H85-J85-K85</f>
        <v>0</v>
      </c>
      <c r="N85" s="842">
        <f t="shared" ref="N85:N86" si="46">J85</f>
        <v>37849.257945523728</v>
      </c>
      <c r="O85" s="805"/>
      <c r="P85" s="805"/>
      <c r="Q85" s="805"/>
      <c r="R85" s="805"/>
      <c r="S85" s="805"/>
    </row>
    <row r="86" spans="1:19">
      <c r="A86" s="836">
        <v>56025</v>
      </c>
      <c r="B86" s="799" t="s">
        <v>43</v>
      </c>
      <c r="C86" s="842">
        <f>+IFERROR(VLOOKUP($A86,'2010_IS'!$A:$AE,31,FALSE),0)</f>
        <v>9840.9599999999991</v>
      </c>
      <c r="D86" s="844"/>
      <c r="E86" s="844">
        <f t="shared" si="44"/>
        <v>9840.9599999999991</v>
      </c>
      <c r="F86" s="845"/>
      <c r="G86" s="844"/>
      <c r="H86" s="844">
        <f t="shared" ref="H86" si="47">C86+D86+G86</f>
        <v>9840.9599999999991</v>
      </c>
      <c r="I86" s="844"/>
      <c r="J86" s="842">
        <f>H86*Ratios!$C$20</f>
        <v>3348.8955124840231</v>
      </c>
      <c r="K86" s="842">
        <f>+H86*Ratios!$D$20</f>
        <v>6492.0644875159769</v>
      </c>
      <c r="L86" s="846" t="s">
        <v>30</v>
      </c>
      <c r="M86" s="800">
        <f t="shared" si="45"/>
        <v>0</v>
      </c>
      <c r="N86" s="842">
        <f t="shared" si="46"/>
        <v>3348.8955124840231</v>
      </c>
      <c r="O86" s="805"/>
      <c r="P86" s="805"/>
      <c r="Q86" s="805"/>
      <c r="R86" s="805"/>
      <c r="S86" s="805"/>
    </row>
    <row r="87" spans="1:19">
      <c r="A87" s="836">
        <v>56036</v>
      </c>
      <c r="B87" s="799" t="s">
        <v>45</v>
      </c>
      <c r="C87" s="842">
        <f>+IFERROR(VLOOKUP($A87,'2010_IS'!$A:$AE,31,FALSE),0)</f>
        <v>784.8</v>
      </c>
      <c r="D87" s="844"/>
      <c r="E87" s="844"/>
      <c r="F87" s="845"/>
      <c r="G87" s="844"/>
      <c r="H87" s="844">
        <f>C87+D87+G87</f>
        <v>784.8</v>
      </c>
      <c r="I87" s="844"/>
      <c r="J87" s="842">
        <f>H87*Ratios!$C$20</f>
        <v>267.06878172428924</v>
      </c>
      <c r="K87" s="842">
        <f>+H87*Ratios!$D$20</f>
        <v>517.73121827571083</v>
      </c>
      <c r="L87" s="846" t="s">
        <v>30</v>
      </c>
      <c r="M87" s="800">
        <f t="shared" si="40"/>
        <v>0</v>
      </c>
      <c r="N87" s="842">
        <f t="shared" si="41"/>
        <v>267.06878172428924</v>
      </c>
      <c r="O87" s="805"/>
      <c r="P87" s="805"/>
      <c r="Q87" s="805"/>
      <c r="R87" s="805"/>
      <c r="S87" s="805"/>
    </row>
    <row r="88" spans="1:19">
      <c r="A88" s="836">
        <v>56065</v>
      </c>
      <c r="B88" s="799" t="s">
        <v>39</v>
      </c>
      <c r="C88" s="842">
        <f>+IFERROR(VLOOKUP($A88,'2010_IS'!$A:$AE,31,FALSE),0)</f>
        <v>26954.800000000003</v>
      </c>
      <c r="D88" s="844"/>
      <c r="E88" s="844">
        <f>SUM(C88:D88)</f>
        <v>26954.800000000003</v>
      </c>
      <c r="F88" s="845"/>
      <c r="G88" s="844"/>
      <c r="H88" s="844">
        <f>C88+D88+G88</f>
        <v>26954.800000000003</v>
      </c>
      <c r="I88" s="844"/>
      <c r="J88" s="842">
        <f>H88*Ratios!$C$20</f>
        <v>9172.764522963651</v>
      </c>
      <c r="K88" s="842">
        <f>+H88*Ratios!$D$20</f>
        <v>17782.035477036356</v>
      </c>
      <c r="L88" s="846" t="s">
        <v>30</v>
      </c>
      <c r="M88" s="800">
        <f t="shared" si="40"/>
        <v>0</v>
      </c>
      <c r="N88" s="842">
        <f t="shared" si="41"/>
        <v>9172.764522963651</v>
      </c>
      <c r="O88" s="805"/>
      <c r="P88" s="805"/>
      <c r="Q88" s="805"/>
      <c r="R88" s="805"/>
      <c r="S88" s="805"/>
    </row>
    <row r="89" spans="1:19">
      <c r="A89" s="836">
        <v>56070</v>
      </c>
      <c r="B89" s="799" t="s">
        <v>40</v>
      </c>
      <c r="C89" s="842">
        <f>+IFERROR(VLOOKUP($A89,'2010_IS'!$A:$AE,31,FALSE),0)</f>
        <v>7573.4499999999989</v>
      </c>
      <c r="D89" s="844">
        <f>'[24]Restating Adj''s'!T38</f>
        <v>0</v>
      </c>
      <c r="E89" s="844">
        <f>SUM(C89:D89)</f>
        <v>7573.4499999999989</v>
      </c>
      <c r="F89" s="845"/>
      <c r="G89" s="844"/>
      <c r="H89" s="844">
        <f>C89+D89+G89</f>
        <v>7573.4499999999989</v>
      </c>
      <c r="I89" s="844"/>
      <c r="J89" s="842">
        <f>H89*Ratios!$C$20</f>
        <v>2577.257982861644</v>
      </c>
      <c r="K89" s="842">
        <f>+H89*Ratios!$D$20</f>
        <v>4996.1920171383554</v>
      </c>
      <c r="L89" s="846" t="s">
        <v>30</v>
      </c>
      <c r="M89" s="800">
        <f t="shared" ref="M89" si="48">H89-J89-K89</f>
        <v>0</v>
      </c>
      <c r="N89" s="842">
        <f t="shared" ref="N89" si="49">J89</f>
        <v>2577.257982861644</v>
      </c>
      <c r="O89" s="805"/>
      <c r="P89" s="805"/>
      <c r="Q89" s="805"/>
      <c r="R89" s="805"/>
      <c r="S89" s="805"/>
    </row>
    <row r="90" spans="1:19">
      <c r="A90" s="863">
        <v>42100</v>
      </c>
      <c r="B90" s="875" t="s">
        <v>70</v>
      </c>
      <c r="C90" s="848">
        <f>SUM(C83:C89)</f>
        <v>593674.56000000006</v>
      </c>
      <c r="D90" s="848">
        <f>SUM(D83:D89)</f>
        <v>6034.6869772977079</v>
      </c>
      <c r="E90" s="848">
        <f>SUM(E83:E89)</f>
        <v>598924.44697729766</v>
      </c>
      <c r="F90" s="849"/>
      <c r="G90" s="848">
        <f>SUM(G83:G88)</f>
        <v>16257.677194397373</v>
      </c>
      <c r="H90" s="848">
        <f>SUM(H83:H89)</f>
        <v>615966.92417169514</v>
      </c>
      <c r="I90" s="848"/>
      <c r="J90" s="848">
        <f>SUM(J83:J89)</f>
        <v>228117.642745046</v>
      </c>
      <c r="K90" s="848">
        <f>SUM(K83:K89)</f>
        <v>387849.28142664925</v>
      </c>
      <c r="L90" s="850"/>
      <c r="M90" s="850"/>
      <c r="N90" s="848">
        <f>SUM(N83:N89)</f>
        <v>228117.642745046</v>
      </c>
    </row>
    <row r="91" spans="1:19">
      <c r="A91" s="863"/>
      <c r="B91" s="875"/>
      <c r="C91" s="864"/>
      <c r="D91" s="864"/>
      <c r="E91" s="864"/>
      <c r="F91" s="865"/>
      <c r="G91" s="864"/>
      <c r="H91" s="864"/>
      <c r="I91" s="864"/>
      <c r="J91" s="864"/>
      <c r="K91" s="864"/>
      <c r="L91" s="795"/>
      <c r="M91" s="795"/>
      <c r="N91" s="864"/>
    </row>
    <row r="92" spans="1:19" ht="12" customHeight="1">
      <c r="A92" s="866">
        <v>42300</v>
      </c>
      <c r="B92" s="855" t="s">
        <v>73</v>
      </c>
      <c r="C92" s="857"/>
      <c r="D92" s="858"/>
      <c r="E92" s="858"/>
      <c r="F92" s="859"/>
      <c r="G92" s="858"/>
      <c r="H92" s="858"/>
      <c r="I92" s="858"/>
      <c r="J92" s="857"/>
      <c r="K92" s="857"/>
      <c r="L92" s="860"/>
      <c r="M92" s="860"/>
      <c r="N92" s="857"/>
    </row>
    <row r="93" spans="1:19">
      <c r="A93" s="867">
        <v>50020</v>
      </c>
      <c r="B93" s="799" t="s">
        <v>42</v>
      </c>
      <c r="C93" s="842">
        <f>+IFERROR(VLOOKUP($A93,'2010_IS'!$A:$AE,31,FALSE),0)</f>
        <v>4891021.3600000013</v>
      </c>
      <c r="D93" s="843">
        <f>-SUM('Restating Adj''s'!B30:B35)</f>
        <v>-3489987.312800454</v>
      </c>
      <c r="E93" s="844">
        <f t="shared" ref="E93:E98" si="50">SUM(C93:D93)</f>
        <v>1401034.0471995473</v>
      </c>
      <c r="F93" s="911" t="s">
        <v>90</v>
      </c>
      <c r="G93" s="844">
        <f>[24]Ratios!B8</f>
        <v>0</v>
      </c>
      <c r="H93" s="844">
        <f t="shared" ref="H93:H98" si="51">C93+D93+G93</f>
        <v>1401034.0471995473</v>
      </c>
      <c r="I93" s="844"/>
      <c r="J93" s="842">
        <v>0</v>
      </c>
      <c r="K93" s="842">
        <f>H93-J93</f>
        <v>1401034.0471995473</v>
      </c>
      <c r="L93" s="846" t="s">
        <v>17</v>
      </c>
      <c r="M93" s="800">
        <f t="shared" ref="M93:M104" si="52">H93-J93-K93</f>
        <v>0</v>
      </c>
      <c r="N93" s="842">
        <f t="shared" ref="N93:N105" si="53">J93</f>
        <v>0</v>
      </c>
      <c r="O93" s="805"/>
      <c r="P93" s="805"/>
      <c r="Q93" s="805"/>
      <c r="R93" s="805"/>
      <c r="S93" s="805"/>
    </row>
    <row r="94" spans="1:19">
      <c r="A94" s="867">
        <v>50025</v>
      </c>
      <c r="B94" s="799" t="s">
        <v>74</v>
      </c>
      <c r="C94" s="842">
        <f>+IFERROR(VLOOKUP($A94,'2010_IS'!$A:$AE,31,FALSE),0)</f>
        <v>1793569.49</v>
      </c>
      <c r="D94" s="843"/>
      <c r="E94" s="844">
        <f t="shared" si="50"/>
        <v>1793569.49</v>
      </c>
      <c r="F94" s="845"/>
      <c r="G94" s="847"/>
      <c r="H94" s="844">
        <f t="shared" si="51"/>
        <v>1793569.49</v>
      </c>
      <c r="I94" s="844"/>
      <c r="J94" s="842">
        <v>0</v>
      </c>
      <c r="K94" s="842">
        <f t="shared" ref="K94:K104" si="54">H94-J94</f>
        <v>1793569.49</v>
      </c>
      <c r="L94" s="846" t="s">
        <v>17</v>
      </c>
      <c r="M94" s="800">
        <f t="shared" si="52"/>
        <v>0</v>
      </c>
      <c r="N94" s="842">
        <f t="shared" si="53"/>
        <v>0</v>
      </c>
      <c r="O94" s="805"/>
      <c r="P94" s="805"/>
      <c r="Q94" s="805"/>
      <c r="R94" s="805"/>
      <c r="S94" s="805"/>
    </row>
    <row r="95" spans="1:19">
      <c r="A95" s="876">
        <v>50035</v>
      </c>
      <c r="B95" s="799" t="s">
        <v>37</v>
      </c>
      <c r="C95" s="842">
        <f>+IFERROR(VLOOKUP($A95,'2010_IS'!$A:$AE,31,FALSE),0)</f>
        <v>102157.26999999999</v>
      </c>
      <c r="D95" s="843"/>
      <c r="E95" s="844">
        <f t="shared" si="50"/>
        <v>102157.26999999999</v>
      </c>
      <c r="F95" s="845"/>
      <c r="G95" s="847"/>
      <c r="H95" s="844">
        <f t="shared" si="51"/>
        <v>102157.26999999999</v>
      </c>
      <c r="I95" s="844"/>
      <c r="J95" s="842">
        <v>0</v>
      </c>
      <c r="K95" s="842">
        <f t="shared" si="54"/>
        <v>102157.26999999999</v>
      </c>
      <c r="L95" s="846" t="s">
        <v>17</v>
      </c>
      <c r="M95" s="800">
        <f t="shared" si="52"/>
        <v>0</v>
      </c>
      <c r="N95" s="842">
        <f t="shared" si="53"/>
        <v>0</v>
      </c>
      <c r="O95" s="805"/>
      <c r="P95" s="805"/>
      <c r="Q95" s="805"/>
      <c r="R95" s="805"/>
      <c r="S95" s="805"/>
    </row>
    <row r="96" spans="1:19">
      <c r="A96" s="876">
        <v>50036</v>
      </c>
      <c r="B96" s="799" t="s">
        <v>38</v>
      </c>
      <c r="C96" s="842">
        <f>+IFERROR(VLOOKUP($A96,'2010_IS'!$A:$AE,31,FALSE),0)</f>
        <v>-2290.1600000000003</v>
      </c>
      <c r="D96" s="843"/>
      <c r="E96" s="844">
        <f t="shared" si="50"/>
        <v>-2290.1600000000003</v>
      </c>
      <c r="F96" s="845"/>
      <c r="G96" s="847"/>
      <c r="H96" s="844">
        <f t="shared" si="51"/>
        <v>-2290.1600000000003</v>
      </c>
      <c r="I96" s="844"/>
      <c r="J96" s="842">
        <v>0</v>
      </c>
      <c r="K96" s="842">
        <f t="shared" si="54"/>
        <v>-2290.1600000000003</v>
      </c>
      <c r="L96" s="846" t="s">
        <v>17</v>
      </c>
      <c r="M96" s="800">
        <f t="shared" si="52"/>
        <v>0</v>
      </c>
      <c r="N96" s="842">
        <f t="shared" si="53"/>
        <v>0</v>
      </c>
      <c r="O96" s="805"/>
      <c r="P96" s="805"/>
      <c r="Q96" s="805"/>
      <c r="R96" s="805"/>
      <c r="S96" s="805"/>
    </row>
    <row r="97" spans="1:19">
      <c r="A97" s="867">
        <v>50065</v>
      </c>
      <c r="B97" s="799" t="s">
        <v>39</v>
      </c>
      <c r="C97" s="842">
        <f>+IFERROR(VLOOKUP($A97,'2010_IS'!$A:$AE,31,FALSE),0)</f>
        <v>256588.83000000002</v>
      </c>
      <c r="D97" s="843"/>
      <c r="E97" s="844">
        <f t="shared" si="50"/>
        <v>256588.83000000002</v>
      </c>
      <c r="F97" s="845"/>
      <c r="G97" s="847"/>
      <c r="H97" s="844">
        <f t="shared" si="51"/>
        <v>256588.83000000002</v>
      </c>
      <c r="I97" s="844"/>
      <c r="J97" s="842">
        <v>0</v>
      </c>
      <c r="K97" s="842">
        <f t="shared" si="54"/>
        <v>256588.83000000002</v>
      </c>
      <c r="L97" s="846" t="s">
        <v>17</v>
      </c>
      <c r="M97" s="800">
        <f t="shared" si="52"/>
        <v>0</v>
      </c>
      <c r="N97" s="842">
        <f t="shared" si="53"/>
        <v>0</v>
      </c>
      <c r="O97" s="805"/>
      <c r="P97" s="805"/>
      <c r="Q97" s="805"/>
      <c r="R97" s="805"/>
      <c r="S97" s="805"/>
    </row>
    <row r="98" spans="1:19">
      <c r="A98" s="867">
        <v>50070</v>
      </c>
      <c r="B98" s="799" t="s">
        <v>40</v>
      </c>
      <c r="C98" s="842">
        <f>+IFERROR(VLOOKUP($A98,'2010_IS'!$A:$AE,31,FALSE),0)</f>
        <v>2967.52</v>
      </c>
      <c r="D98" s="843"/>
      <c r="E98" s="844">
        <f t="shared" si="50"/>
        <v>2967.52</v>
      </c>
      <c r="F98" s="845"/>
      <c r="G98" s="847"/>
      <c r="H98" s="844">
        <f t="shared" si="51"/>
        <v>2967.52</v>
      </c>
      <c r="I98" s="844"/>
      <c r="J98" s="842">
        <v>0</v>
      </c>
      <c r="K98" s="842">
        <f t="shared" si="54"/>
        <v>2967.52</v>
      </c>
      <c r="L98" s="846" t="s">
        <v>17</v>
      </c>
      <c r="M98" s="800">
        <f t="shared" si="52"/>
        <v>0</v>
      </c>
      <c r="N98" s="842">
        <f t="shared" si="53"/>
        <v>0</v>
      </c>
      <c r="O98" s="805"/>
      <c r="P98" s="805"/>
      <c r="Q98" s="805"/>
      <c r="R98" s="805"/>
      <c r="S98" s="805"/>
    </row>
    <row r="99" spans="1:19">
      <c r="A99" s="867"/>
      <c r="B99" s="232" t="s">
        <v>1405</v>
      </c>
      <c r="C99" s="842"/>
      <c r="D99" s="845">
        <f>'Restating Adj''s'!B30+'Restating Adj''s'!C30</f>
        <v>1747849.5091449844</v>
      </c>
      <c r="E99" s="844">
        <f t="shared" ref="E99:E104" si="55">SUM(C99:D99)</f>
        <v>1747849.5091449844</v>
      </c>
      <c r="F99" s="911" t="s">
        <v>90</v>
      </c>
      <c r="G99" s="845">
        <f>'Pro-forma Adj''s'!B8+('Pro-forma Adj''s'!$C$79*'Vancouver Consolidated IS'!E99/'Vancouver Consolidated IS'!$E$106)</f>
        <v>53878.095982565384</v>
      </c>
      <c r="H99" s="844">
        <f t="shared" ref="H99:H104" si="56">C99+D99+G99</f>
        <v>1801727.6051275497</v>
      </c>
      <c r="I99" s="844"/>
      <c r="J99" s="846">
        <f>H99</f>
        <v>1801727.6051275497</v>
      </c>
      <c r="K99" s="842">
        <f t="shared" si="54"/>
        <v>0</v>
      </c>
      <c r="L99" s="846" t="s">
        <v>17</v>
      </c>
      <c r="M99" s="800">
        <f t="shared" si="52"/>
        <v>0</v>
      </c>
      <c r="N99" s="842">
        <f t="shared" si="53"/>
        <v>1801727.6051275497</v>
      </c>
      <c r="O99" s="805"/>
      <c r="P99" s="805"/>
      <c r="Q99" s="805"/>
      <c r="R99" s="805"/>
      <c r="S99" s="805"/>
    </row>
    <row r="100" spans="1:19">
      <c r="A100" s="867"/>
      <c r="B100" s="232" t="s">
        <v>1406</v>
      </c>
      <c r="C100" s="842"/>
      <c r="D100" s="845">
        <f>'Restating Adj''s'!B31+'Restating Adj''s'!C31</f>
        <v>214073.70176955246</v>
      </c>
      <c r="E100" s="844">
        <f t="shared" si="55"/>
        <v>214073.70176955246</v>
      </c>
      <c r="F100" s="911" t="s">
        <v>90</v>
      </c>
      <c r="G100" s="845">
        <f>'Pro-forma Adj''s'!B9+('Pro-forma Adj''s'!$C$79*'Vancouver Consolidated IS'!E100/'Vancouver Consolidated IS'!$E$106)</f>
        <v>10094.709337737846</v>
      </c>
      <c r="H100" s="844">
        <f t="shared" si="56"/>
        <v>224168.4111072903</v>
      </c>
      <c r="I100" s="844"/>
      <c r="J100" s="846">
        <f>H100</f>
        <v>224168.4111072903</v>
      </c>
      <c r="K100" s="842">
        <f t="shared" si="54"/>
        <v>0</v>
      </c>
      <c r="L100" s="846" t="s">
        <v>17</v>
      </c>
      <c r="M100" s="800">
        <f t="shared" si="52"/>
        <v>0</v>
      </c>
      <c r="N100" s="842">
        <f t="shared" si="53"/>
        <v>224168.4111072903</v>
      </c>
      <c r="O100" s="805"/>
      <c r="P100" s="805"/>
      <c r="Q100" s="805"/>
      <c r="R100" s="805"/>
      <c r="S100" s="805"/>
    </row>
    <row r="101" spans="1:19">
      <c r="A101" s="867"/>
      <c r="B101" s="232" t="s">
        <v>1407</v>
      </c>
      <c r="C101" s="842"/>
      <c r="D101" s="845">
        <f>'Restating Adj''s'!B32+'Restating Adj''s'!C32</f>
        <v>455424.95158625027</v>
      </c>
      <c r="E101" s="844">
        <f t="shared" si="55"/>
        <v>455424.95158625027</v>
      </c>
      <c r="F101" s="911" t="s">
        <v>90</v>
      </c>
      <c r="G101" s="845">
        <f>'Pro-forma Adj''s'!B10+('Pro-forma Adj''s'!$C$79*'Vancouver Consolidated IS'!E101/'Vancouver Consolidated IS'!$E$106)</f>
        <v>14570.945855771592</v>
      </c>
      <c r="H101" s="844">
        <f t="shared" si="56"/>
        <v>469995.89744202187</v>
      </c>
      <c r="I101" s="844"/>
      <c r="J101" s="846">
        <f>H101*Ratios!$F$10</f>
        <v>167210.54753719975</v>
      </c>
      <c r="K101" s="842">
        <f t="shared" si="54"/>
        <v>302785.34990482213</v>
      </c>
      <c r="L101" s="846" t="s">
        <v>1279</v>
      </c>
      <c r="M101" s="800">
        <f t="shared" si="52"/>
        <v>0</v>
      </c>
      <c r="N101" s="842">
        <f t="shared" si="53"/>
        <v>167210.54753719975</v>
      </c>
      <c r="O101" s="805"/>
      <c r="P101" s="805"/>
      <c r="Q101" s="805"/>
      <c r="R101" s="805"/>
      <c r="S101" s="805"/>
    </row>
    <row r="102" spans="1:19">
      <c r="A102" s="867"/>
      <c r="B102" s="232" t="s">
        <v>1408</v>
      </c>
      <c r="C102" s="842"/>
      <c r="D102" s="845">
        <f>'Restating Adj''s'!B33+'Restating Adj''s'!C33</f>
        <v>860776.94728578918</v>
      </c>
      <c r="E102" s="844">
        <f t="shared" si="55"/>
        <v>860776.94728578918</v>
      </c>
      <c r="F102" s="911" t="s">
        <v>90</v>
      </c>
      <c r="G102" s="845">
        <f>'Pro-forma Adj''s'!B11+('Pro-forma Adj''s'!$C$79*'Vancouver Consolidated IS'!E102/'Vancouver Consolidated IS'!$E$106)</f>
        <v>26190.679875240388</v>
      </c>
      <c r="H102" s="844">
        <f t="shared" si="56"/>
        <v>886967.62716102961</v>
      </c>
      <c r="I102" s="844"/>
      <c r="J102" s="846">
        <f>H102*Ratios!F11</f>
        <v>377386.91810672148</v>
      </c>
      <c r="K102" s="842">
        <f t="shared" si="54"/>
        <v>509580.70905430813</v>
      </c>
      <c r="L102" s="846" t="s">
        <v>1428</v>
      </c>
      <c r="M102" s="800">
        <f t="shared" si="52"/>
        <v>0</v>
      </c>
      <c r="N102" s="842">
        <f t="shared" si="53"/>
        <v>377386.91810672148</v>
      </c>
      <c r="O102" s="805"/>
      <c r="P102" s="805"/>
      <c r="Q102" s="805"/>
      <c r="R102" s="805"/>
      <c r="S102" s="805"/>
    </row>
    <row r="103" spans="1:19">
      <c r="A103" s="867"/>
      <c r="B103" s="232" t="s">
        <v>1498</v>
      </c>
      <c r="C103" s="842"/>
      <c r="D103" s="845">
        <f>'Restating Adj''s'!B34+'Restating Adj''s'!C34</f>
        <v>240889.88537506695</v>
      </c>
      <c r="E103" s="844">
        <f t="shared" si="55"/>
        <v>240889.88537506695</v>
      </c>
      <c r="F103" s="911" t="s">
        <v>90</v>
      </c>
      <c r="G103" s="845">
        <f>'Pro-forma Adj''s'!B12+('Pro-forma Adj''s'!$C$79*'Vancouver Consolidated IS'!E103/'Vancouver Consolidated IS'!$E$106)</f>
        <v>7392.5062571855233</v>
      </c>
      <c r="H103" s="844">
        <f t="shared" si="56"/>
        <v>248282.39163225249</v>
      </c>
      <c r="I103" s="844"/>
      <c r="J103" s="846">
        <f>H103*Ratios!F16</f>
        <v>10176.619696514412</v>
      </c>
      <c r="K103" s="842">
        <f t="shared" si="54"/>
        <v>238105.77193573807</v>
      </c>
      <c r="L103" s="846" t="s">
        <v>1501</v>
      </c>
      <c r="M103" s="800">
        <f t="shared" si="52"/>
        <v>0</v>
      </c>
      <c r="N103" s="842">
        <f t="shared" ref="N103:N104" si="57">J103</f>
        <v>10176.619696514412</v>
      </c>
      <c r="O103" s="805"/>
      <c r="P103" s="805"/>
      <c r="Q103" s="805"/>
      <c r="R103" s="805"/>
      <c r="S103" s="805"/>
    </row>
    <row r="104" spans="1:19">
      <c r="A104" s="867"/>
      <c r="B104" s="232" t="s">
        <v>1499</v>
      </c>
      <c r="C104" s="842"/>
      <c r="D104" s="845">
        <f>'Restating Adj''s'!B35+'Restating Adj''s'!C35</f>
        <v>30198.422703318429</v>
      </c>
      <c r="E104" s="844">
        <f t="shared" si="55"/>
        <v>30198.422703318429</v>
      </c>
      <c r="F104" s="911" t="s">
        <v>90</v>
      </c>
      <c r="G104" s="845">
        <f>'Pro-forma Adj''s'!B13+('Pro-forma Adj''s'!$C$79*'Vancouver Consolidated IS'!E104/'Vancouver Consolidated IS'!$E$106)</f>
        <v>349.25264160947182</v>
      </c>
      <c r="H104" s="844">
        <f t="shared" si="56"/>
        <v>30547.675344927902</v>
      </c>
      <c r="I104" s="844"/>
      <c r="J104" s="846">
        <f>H104*Ratios!F17</f>
        <v>4141.7954574922205</v>
      </c>
      <c r="K104" s="842">
        <f t="shared" si="54"/>
        <v>26405.87988743568</v>
      </c>
      <c r="L104" s="846" t="s">
        <v>1500</v>
      </c>
      <c r="M104" s="800">
        <f t="shared" si="52"/>
        <v>0</v>
      </c>
      <c r="N104" s="842">
        <f t="shared" si="57"/>
        <v>4141.7954574922205</v>
      </c>
      <c r="O104" s="805"/>
      <c r="P104" s="805"/>
      <c r="Q104" s="805"/>
      <c r="R104" s="805"/>
      <c r="S104" s="805"/>
    </row>
    <row r="105" spans="1:19">
      <c r="A105" s="867"/>
      <c r="C105" s="842"/>
      <c r="D105" s="847"/>
      <c r="E105" s="844"/>
      <c r="F105" s="845"/>
      <c r="G105" s="847"/>
      <c r="H105" s="844"/>
      <c r="I105" s="844"/>
      <c r="J105" s="842"/>
      <c r="K105" s="842"/>
      <c r="L105" s="846"/>
      <c r="M105" s="800"/>
      <c r="N105" s="842">
        <f t="shared" si="53"/>
        <v>0</v>
      </c>
      <c r="O105" s="805"/>
      <c r="P105" s="805"/>
      <c r="Q105" s="805"/>
      <c r="R105" s="805"/>
      <c r="S105" s="805"/>
    </row>
    <row r="106" spans="1:19">
      <c r="A106" s="863">
        <v>42300</v>
      </c>
      <c r="B106" s="794" t="s">
        <v>75</v>
      </c>
      <c r="C106" s="848">
        <f t="shared" ref="C106" si="58">SUM(C93:C105)</f>
        <v>7044014.3100000005</v>
      </c>
      <c r="D106" s="848">
        <f>SUM(D93:D105)</f>
        <v>59226.105064507647</v>
      </c>
      <c r="E106" s="848">
        <f t="shared" ref="E106" si="59">SUM(E93:E105)</f>
        <v>7103240.4150645081</v>
      </c>
      <c r="F106" s="849"/>
      <c r="G106" s="848">
        <f>SUM(G93:G105)</f>
        <v>112476.1899501102</v>
      </c>
      <c r="H106" s="848">
        <f t="shared" ref="H106:K106" si="60">SUM(H93:H105)</f>
        <v>7215716.6050146203</v>
      </c>
      <c r="I106" s="848">
        <f t="shared" si="60"/>
        <v>0</v>
      </c>
      <c r="J106" s="848">
        <f>SUM(J93:J105)</f>
        <v>2584811.8970327675</v>
      </c>
      <c r="K106" s="848">
        <f t="shared" si="60"/>
        <v>4630904.707981851</v>
      </c>
      <c r="L106" s="850"/>
      <c r="M106" s="850"/>
      <c r="N106" s="848">
        <f t="shared" ref="N106" si="61">SUM(N93:N105)</f>
        <v>2584811.8970327675</v>
      </c>
      <c r="O106" s="877"/>
      <c r="P106" s="805"/>
      <c r="Q106" s="805"/>
      <c r="R106" s="805"/>
      <c r="S106" s="805"/>
    </row>
    <row r="107" spans="1:19">
      <c r="A107" s="863"/>
      <c r="B107" s="794"/>
      <c r="C107" s="864"/>
      <c r="D107" s="864"/>
      <c r="E107" s="864"/>
      <c r="F107" s="865"/>
      <c r="G107" s="864"/>
      <c r="H107" s="864"/>
      <c r="I107" s="864"/>
      <c r="J107" s="1115"/>
      <c r="K107" s="864"/>
      <c r="L107" s="795"/>
      <c r="M107" s="795"/>
      <c r="N107" s="864"/>
      <c r="O107" s="877"/>
      <c r="P107" s="805"/>
      <c r="Q107" s="805"/>
      <c r="R107" s="805"/>
      <c r="S107" s="805"/>
    </row>
    <row r="108" spans="1:19">
      <c r="A108" s="878">
        <v>42315</v>
      </c>
      <c r="B108" s="855" t="s">
        <v>56</v>
      </c>
      <c r="C108" s="871"/>
      <c r="D108" s="858"/>
      <c r="E108" s="858"/>
      <c r="F108" s="859"/>
      <c r="G108" s="858"/>
      <c r="H108" s="858"/>
      <c r="I108" s="858"/>
      <c r="J108" s="857"/>
      <c r="K108" s="857"/>
      <c r="L108" s="860"/>
      <c r="M108" s="860"/>
      <c r="N108" s="857"/>
    </row>
    <row r="109" spans="1:19">
      <c r="A109" s="861">
        <v>50045</v>
      </c>
      <c r="B109" s="799" t="s">
        <v>56</v>
      </c>
      <c r="C109" s="842">
        <f>+IFERROR(VLOOKUP($A109,'2010_IS'!$A:$AE,31,FALSE),0)</f>
        <v>20827.739999999998</v>
      </c>
      <c r="D109" s="847"/>
      <c r="E109" s="844">
        <f>SUM(C109:D109)</f>
        <v>20827.739999999998</v>
      </c>
      <c r="F109" s="845"/>
      <c r="G109" s="847"/>
      <c r="H109" s="844">
        <f>C109+D109+G109</f>
        <v>20827.739999999998</v>
      </c>
      <c r="I109" s="844"/>
      <c r="J109" s="842">
        <f>H109*Ratios!$C$20</f>
        <v>7087.7155299060241</v>
      </c>
      <c r="K109" s="842">
        <f>+H109*Ratios!$D$20</f>
        <v>13740.024470093977</v>
      </c>
      <c r="L109" s="846" t="s">
        <v>30</v>
      </c>
      <c r="M109" s="800">
        <f t="shared" ref="M109" si="62">H109-J109-K109</f>
        <v>0</v>
      </c>
      <c r="N109" s="842">
        <f t="shared" ref="N109" si="63">J109</f>
        <v>7087.7155299060241</v>
      </c>
    </row>
    <row r="110" spans="1:19">
      <c r="A110" s="863">
        <v>42315</v>
      </c>
      <c r="B110" s="794" t="s">
        <v>56</v>
      </c>
      <c r="C110" s="848">
        <f>SUM(C109:C109)</f>
        <v>20827.739999999998</v>
      </c>
      <c r="D110" s="848">
        <f>SUM(D109:D109)</f>
        <v>0</v>
      </c>
      <c r="E110" s="848">
        <f>SUM(E109:E109)</f>
        <v>20827.739999999998</v>
      </c>
      <c r="F110" s="849"/>
      <c r="G110" s="848">
        <f>SUM(G109:G109)</f>
        <v>0</v>
      </c>
      <c r="H110" s="848">
        <f>SUM(H109:H109)</f>
        <v>20827.739999999998</v>
      </c>
      <c r="I110" s="848"/>
      <c r="J110" s="848">
        <f>SUM(J109:J109)</f>
        <v>7087.7155299060241</v>
      </c>
      <c r="K110" s="848">
        <f>SUM(K109:K109)</f>
        <v>13740.024470093977</v>
      </c>
      <c r="L110" s="850"/>
      <c r="M110" s="850"/>
      <c r="N110" s="848">
        <f>SUM(N109:N109)</f>
        <v>7087.7155299060241</v>
      </c>
    </row>
    <row r="111" spans="1:19">
      <c r="A111" s="863"/>
      <c r="B111" s="794"/>
      <c r="C111" s="864"/>
      <c r="D111" s="864"/>
      <c r="E111" s="864"/>
      <c r="F111" s="865"/>
      <c r="G111" s="864"/>
      <c r="H111" s="864"/>
      <c r="I111" s="864"/>
      <c r="J111" s="864"/>
      <c r="K111" s="864"/>
      <c r="L111" s="795"/>
      <c r="M111" s="795"/>
      <c r="N111" s="864"/>
    </row>
    <row r="112" spans="1:19">
      <c r="A112" s="866">
        <v>42400</v>
      </c>
      <c r="B112" s="855" t="s">
        <v>76</v>
      </c>
      <c r="C112" s="857"/>
      <c r="D112" s="858"/>
      <c r="E112" s="858"/>
      <c r="F112" s="859"/>
      <c r="G112" s="858"/>
      <c r="H112" s="858"/>
      <c r="I112" s="858"/>
      <c r="J112" s="857"/>
      <c r="K112" s="857"/>
      <c r="L112" s="860"/>
      <c r="M112" s="860"/>
      <c r="N112" s="857"/>
    </row>
    <row r="113" spans="1:19">
      <c r="A113" s="867">
        <v>52142</v>
      </c>
      <c r="B113" s="799" t="s">
        <v>77</v>
      </c>
      <c r="C113" s="842">
        <f>+IFERROR(VLOOKUP($A113,'2010_IS'!$A:$AE,31,FALSE),0)</f>
        <v>1700647.3099999998</v>
      </c>
      <c r="D113" s="844"/>
      <c r="E113" s="844">
        <f t="shared" ref="E113:E117" si="64">SUM(C113:D113)</f>
        <v>1700647.3099999998</v>
      </c>
      <c r="F113" s="845"/>
      <c r="G113" s="843">
        <f>'Pro-forma Adj''s'!B48</f>
        <v>15109.166074012464</v>
      </c>
      <c r="H113" s="844">
        <f t="shared" ref="H113:H117" si="65">C113+D113+G113</f>
        <v>1715756.4760740122</v>
      </c>
      <c r="I113" s="844"/>
      <c r="J113" s="842">
        <f>H113*Ratios!$C$20</f>
        <v>583874.86213130236</v>
      </c>
      <c r="K113" s="842">
        <f>+H113*Ratios!$D$20</f>
        <v>1131881.61394271</v>
      </c>
      <c r="L113" s="846" t="s">
        <v>30</v>
      </c>
      <c r="M113" s="800">
        <f t="shared" ref="M113:M116" si="66">H113-J113-K113</f>
        <v>0</v>
      </c>
      <c r="N113" s="842">
        <f t="shared" ref="N113:N116" si="67">J113</f>
        <v>583874.86213130236</v>
      </c>
      <c r="O113" s="805"/>
      <c r="P113" s="805"/>
      <c r="Q113" s="805"/>
      <c r="R113" s="805"/>
      <c r="S113" s="805"/>
    </row>
    <row r="114" spans="1:19">
      <c r="A114" s="867">
        <v>52143</v>
      </c>
      <c r="B114" s="799" t="s">
        <v>272</v>
      </c>
      <c r="C114" s="842">
        <f>+IFERROR(VLOOKUP($A114,'2010_IS'!$A:$AE,31,FALSE),0)</f>
        <v>53712.450000000004</v>
      </c>
      <c r="D114" s="844"/>
      <c r="E114" s="844">
        <f t="shared" si="64"/>
        <v>53712.450000000004</v>
      </c>
      <c r="F114" s="845"/>
      <c r="G114" s="844"/>
      <c r="H114" s="844">
        <f t="shared" si="65"/>
        <v>53712.450000000004</v>
      </c>
      <c r="I114" s="844"/>
      <c r="J114" s="842">
        <v>0</v>
      </c>
      <c r="K114" s="842">
        <f>H114-J114</f>
        <v>53712.450000000004</v>
      </c>
      <c r="L114" s="846" t="s">
        <v>17</v>
      </c>
      <c r="M114" s="800">
        <f t="shared" ref="M114" si="68">H114-J114-K114</f>
        <v>0</v>
      </c>
      <c r="N114" s="842">
        <f t="shared" ref="N114" si="69">J114</f>
        <v>0</v>
      </c>
      <c r="O114" s="805"/>
      <c r="P114" s="805"/>
      <c r="Q114" s="805"/>
      <c r="R114" s="805"/>
      <c r="S114" s="805"/>
    </row>
    <row r="115" spans="1:19">
      <c r="A115" s="867">
        <v>52144</v>
      </c>
      <c r="B115" s="799" t="s">
        <v>78</v>
      </c>
      <c r="C115" s="842">
        <f>+IFERROR(VLOOKUP($A115,'2010_IS'!$A:$AE,31,FALSE),0)</f>
        <v>10666.87</v>
      </c>
      <c r="D115" s="844"/>
      <c r="E115" s="844">
        <f t="shared" si="64"/>
        <v>10666.87</v>
      </c>
      <c r="F115" s="845"/>
      <c r="G115" s="844"/>
      <c r="H115" s="844">
        <f t="shared" si="65"/>
        <v>10666.87</v>
      </c>
      <c r="I115" s="844"/>
      <c r="J115" s="842">
        <f>H115*Ratios!$C$20</f>
        <v>3629.9540974915512</v>
      </c>
      <c r="K115" s="842">
        <f>+H115*Ratios!$D$20</f>
        <v>7036.9159025084509</v>
      </c>
      <c r="L115" s="846" t="s">
        <v>30</v>
      </c>
      <c r="M115" s="800">
        <f t="shared" si="66"/>
        <v>0</v>
      </c>
      <c r="N115" s="842">
        <f t="shared" si="67"/>
        <v>3629.9540974915512</v>
      </c>
      <c r="O115" s="805"/>
      <c r="P115" s="805"/>
      <c r="Q115" s="805"/>
      <c r="R115" s="805"/>
      <c r="S115" s="805"/>
    </row>
    <row r="116" spans="1:19">
      <c r="A116" s="867">
        <v>52146</v>
      </c>
      <c r="B116" s="799" t="s">
        <v>79</v>
      </c>
      <c r="C116" s="842">
        <f>+IFERROR(VLOOKUP($A116,'2010_IS'!$A:$AE,31,FALSE),0)</f>
        <v>116176.76</v>
      </c>
      <c r="D116" s="847"/>
      <c r="E116" s="844">
        <f t="shared" si="64"/>
        <v>116176.76</v>
      </c>
      <c r="F116" s="845"/>
      <c r="G116" s="847"/>
      <c r="H116" s="844">
        <f t="shared" si="65"/>
        <v>116176.76</v>
      </c>
      <c r="I116" s="844"/>
      <c r="J116" s="842">
        <f>H116*Ratios!$C$20</f>
        <v>39535.150048260875</v>
      </c>
      <c r="K116" s="842">
        <f>+H116*Ratios!$D$20</f>
        <v>76641.609951739127</v>
      </c>
      <c r="L116" s="846" t="s">
        <v>30</v>
      </c>
      <c r="M116" s="800">
        <f t="shared" si="66"/>
        <v>0</v>
      </c>
      <c r="N116" s="842">
        <f t="shared" si="67"/>
        <v>39535.150048260875</v>
      </c>
      <c r="O116" s="805"/>
      <c r="P116" s="805"/>
      <c r="Q116" s="805"/>
      <c r="R116" s="805"/>
      <c r="S116" s="805"/>
    </row>
    <row r="117" spans="1:19">
      <c r="A117" s="867">
        <v>55146</v>
      </c>
      <c r="B117" s="799" t="s">
        <v>79</v>
      </c>
      <c r="C117" s="842">
        <f>+IFERROR(VLOOKUP($A117,'2010_IS'!$A:$AE,31,FALSE),0)</f>
        <v>6177.83</v>
      </c>
      <c r="D117" s="847"/>
      <c r="E117" s="844">
        <f t="shared" si="64"/>
        <v>6177.83</v>
      </c>
      <c r="F117" s="845"/>
      <c r="G117" s="847"/>
      <c r="H117" s="844">
        <f t="shared" si="65"/>
        <v>6177.83</v>
      </c>
      <c r="I117" s="844"/>
      <c r="J117" s="846">
        <f>H117*Ratios!$F$10</f>
        <v>2197.8879869247544</v>
      </c>
      <c r="K117" s="842">
        <f t="shared" ref="K117" si="70">H117-J117</f>
        <v>3979.9420130752455</v>
      </c>
      <c r="L117" s="846" t="s">
        <v>1279</v>
      </c>
      <c r="M117" s="800">
        <f t="shared" ref="M117" si="71">H117-J117-K117</f>
        <v>0</v>
      </c>
      <c r="N117" s="842">
        <f t="shared" ref="N117" si="72">J117</f>
        <v>2197.8879869247544</v>
      </c>
      <c r="O117" s="805"/>
      <c r="P117" s="805"/>
      <c r="Q117" s="805"/>
      <c r="R117" s="805"/>
      <c r="S117" s="805"/>
    </row>
    <row r="118" spans="1:19">
      <c r="A118" s="863">
        <v>42400</v>
      </c>
      <c r="B118" s="794" t="s">
        <v>80</v>
      </c>
      <c r="C118" s="848">
        <f>SUM(C113:C117)</f>
        <v>1887381.22</v>
      </c>
      <c r="D118" s="848">
        <f>SUM(D113:D117)</f>
        <v>0</v>
      </c>
      <c r="E118" s="848">
        <f>SUM(E113:E117)</f>
        <v>1887381.22</v>
      </c>
      <c r="F118" s="849"/>
      <c r="G118" s="848">
        <f>SUM(G113:G117)</f>
        <v>15109.166074012464</v>
      </c>
      <c r="H118" s="848">
        <f>SUM(H113:H117)</f>
        <v>1902490.3860740124</v>
      </c>
      <c r="I118" s="848"/>
      <c r="J118" s="848">
        <f>SUM(J113:J117)</f>
        <v>629237.85426397959</v>
      </c>
      <c r="K118" s="848">
        <f>SUM(K113:K117)</f>
        <v>1273252.5318100329</v>
      </c>
      <c r="L118" s="850"/>
      <c r="M118" s="850"/>
      <c r="N118" s="848">
        <f>SUM(N113:N117)</f>
        <v>629237.85426397959</v>
      </c>
    </row>
    <row r="119" spans="1:19">
      <c r="A119" s="863"/>
      <c r="B119" s="794"/>
      <c r="C119" s="864"/>
      <c r="D119" s="864"/>
      <c r="E119" s="864"/>
      <c r="F119" s="865"/>
      <c r="G119" s="864"/>
      <c r="H119" s="864"/>
      <c r="I119" s="864"/>
      <c r="J119" s="864"/>
      <c r="K119" s="864"/>
      <c r="L119" s="795"/>
      <c r="M119" s="795"/>
      <c r="N119" s="864"/>
    </row>
    <row r="120" spans="1:19">
      <c r="A120" s="879"/>
      <c r="B120" s="855" t="s">
        <v>81</v>
      </c>
      <c r="C120" s="857"/>
      <c r="D120" s="858"/>
      <c r="E120" s="858"/>
      <c r="F120" s="859"/>
      <c r="G120" s="858"/>
      <c r="H120" s="858"/>
      <c r="I120" s="858"/>
      <c r="J120" s="857"/>
      <c r="K120" s="857"/>
      <c r="L120" s="860"/>
      <c r="M120" s="860"/>
      <c r="N120" s="857"/>
    </row>
    <row r="121" spans="1:19">
      <c r="A121" s="880">
        <v>41121</v>
      </c>
      <c r="B121" s="881" t="s">
        <v>82</v>
      </c>
      <c r="C121" s="842">
        <f>+IFERROR(VLOOKUP($A121,'2010_IS'!$A:$AE,31,FALSE),0)</f>
        <v>1110</v>
      </c>
      <c r="D121" s="843"/>
      <c r="E121" s="843">
        <f t="shared" ref="E121:E135" si="73">SUM(C121:D121)</f>
        <v>1110</v>
      </c>
      <c r="F121" s="882"/>
      <c r="G121" s="883"/>
      <c r="H121" s="843">
        <f t="shared" ref="H121:H135" si="74">C121+D121+G121</f>
        <v>1110</v>
      </c>
      <c r="I121" s="843"/>
      <c r="J121" s="846">
        <v>0</v>
      </c>
      <c r="K121" s="846">
        <f>+H121</f>
        <v>1110</v>
      </c>
      <c r="L121" s="846" t="s">
        <v>17</v>
      </c>
      <c r="M121" s="800">
        <f t="shared" ref="M121:M135" si="75">H121-J121-K121</f>
        <v>0</v>
      </c>
      <c r="N121" s="842">
        <f t="shared" ref="N121:N135" si="76">J121</f>
        <v>0</v>
      </c>
      <c r="O121" s="805">
        <f>J121/C121</f>
        <v>0</v>
      </c>
    </row>
    <row r="122" spans="1:19">
      <c r="A122" s="836">
        <v>44161</v>
      </c>
      <c r="B122" s="799" t="s">
        <v>257</v>
      </c>
      <c r="C122" s="842">
        <f>+IFERROR(VLOOKUP($A122,'2010_IS'!$A:$AE,31,FALSE),0)</f>
        <v>37560.950000000004</v>
      </c>
      <c r="D122" s="843"/>
      <c r="E122" s="843">
        <f t="shared" ref="E122:E123" si="77">SUM(C122:D122)</f>
        <v>37560.950000000004</v>
      </c>
      <c r="F122" s="882"/>
      <c r="G122" s="883"/>
      <c r="H122" s="843">
        <f t="shared" ref="H122:H123" si="78">C122+D122+G122</f>
        <v>37560.950000000004</v>
      </c>
      <c r="I122" s="843"/>
      <c r="J122" s="846">
        <v>0</v>
      </c>
      <c r="K122" s="846">
        <f t="shared" ref="K122:K123" si="79">+H122</f>
        <v>37560.950000000004</v>
      </c>
      <c r="L122" s="846" t="s">
        <v>17</v>
      </c>
      <c r="M122" s="800">
        <f t="shared" ref="M122:M123" si="80">H122-J122-K122</f>
        <v>0</v>
      </c>
      <c r="N122" s="842">
        <f t="shared" ref="N122:N123" si="81">J122</f>
        <v>0</v>
      </c>
      <c r="O122" s="805"/>
    </row>
    <row r="123" spans="1:19">
      <c r="A123" s="836">
        <v>44169</v>
      </c>
      <c r="B123" s="799" t="s">
        <v>258</v>
      </c>
      <c r="C123" s="842">
        <f>+IFERROR(VLOOKUP($A123,'2010_IS'!$A:$AE,31,FALSE),0)</f>
        <v>8752.84</v>
      </c>
      <c r="D123" s="843"/>
      <c r="E123" s="843">
        <f t="shared" si="77"/>
        <v>8752.84</v>
      </c>
      <c r="F123" s="882"/>
      <c r="G123" s="883"/>
      <c r="H123" s="843">
        <f t="shared" si="78"/>
        <v>8752.84</v>
      </c>
      <c r="I123" s="843"/>
      <c r="J123" s="846">
        <v>0</v>
      </c>
      <c r="K123" s="846">
        <f t="shared" si="79"/>
        <v>8752.84</v>
      </c>
      <c r="L123" s="846" t="s">
        <v>17</v>
      </c>
      <c r="M123" s="800">
        <f t="shared" si="80"/>
        <v>0</v>
      </c>
      <c r="N123" s="842">
        <f t="shared" si="81"/>
        <v>0</v>
      </c>
      <c r="O123" s="805"/>
    </row>
    <row r="124" spans="1:19">
      <c r="A124" s="867">
        <v>50086</v>
      </c>
      <c r="B124" s="799" t="s">
        <v>64</v>
      </c>
      <c r="C124" s="842">
        <f>+IFERROR(VLOOKUP($A124,'2010_IS'!$A:$AE,31,FALSE),0)</f>
        <v>79838.23</v>
      </c>
      <c r="D124" s="847"/>
      <c r="E124" s="844">
        <f t="shared" si="73"/>
        <v>79838.23</v>
      </c>
      <c r="F124" s="845"/>
      <c r="G124" s="847"/>
      <c r="H124" s="844">
        <f t="shared" si="74"/>
        <v>79838.23</v>
      </c>
      <c r="I124" s="844"/>
      <c r="J124" s="842">
        <f>H124*Ratios!$C$20</f>
        <v>27169.086163511216</v>
      </c>
      <c r="K124" s="842">
        <f>+H124*Ratios!$D$20</f>
        <v>52669.143836488787</v>
      </c>
      <c r="L124" s="846" t="s">
        <v>30</v>
      </c>
      <c r="M124" s="800">
        <f t="shared" si="75"/>
        <v>0</v>
      </c>
      <c r="N124" s="842">
        <f t="shared" si="76"/>
        <v>27169.086163511216</v>
      </c>
      <c r="O124" s="805"/>
      <c r="P124" s="805"/>
      <c r="Q124" s="805"/>
      <c r="R124" s="805"/>
      <c r="S124" s="805"/>
    </row>
    <row r="125" spans="1:19">
      <c r="A125" s="867">
        <v>50087</v>
      </c>
      <c r="B125" s="799" t="s">
        <v>84</v>
      </c>
      <c r="C125" s="842">
        <f>+IFERROR(VLOOKUP($A125,'2010_IS'!$A:$AE,31,FALSE),0)</f>
        <v>190</v>
      </c>
      <c r="D125" s="847"/>
      <c r="E125" s="844">
        <f t="shared" si="73"/>
        <v>190</v>
      </c>
      <c r="F125" s="845"/>
      <c r="G125" s="847"/>
      <c r="H125" s="844">
        <f t="shared" si="74"/>
        <v>190</v>
      </c>
      <c r="I125" s="844"/>
      <c r="J125" s="842">
        <f>H125*Ratios!$C$20</f>
        <v>64.657324831313659</v>
      </c>
      <c r="K125" s="842">
        <f>+H125*Ratios!$D$20</f>
        <v>125.34267516868637</v>
      </c>
      <c r="L125" s="846" t="s">
        <v>30</v>
      </c>
      <c r="M125" s="800">
        <f t="shared" si="75"/>
        <v>0</v>
      </c>
      <c r="N125" s="842">
        <f t="shared" si="76"/>
        <v>64.657324831313659</v>
      </c>
      <c r="O125" s="805"/>
      <c r="P125" s="805"/>
      <c r="Q125" s="805"/>
      <c r="R125" s="805"/>
      <c r="S125" s="805"/>
    </row>
    <row r="126" spans="1:19">
      <c r="A126" s="867">
        <v>50090</v>
      </c>
      <c r="B126" s="799" t="s">
        <v>57</v>
      </c>
      <c r="C126" s="842">
        <f>+IFERROR(VLOOKUP($A126,'2010_IS'!$A:$AE,31,FALSE),0)</f>
        <v>141981.96</v>
      </c>
      <c r="D126" s="847"/>
      <c r="E126" s="844">
        <f t="shared" si="73"/>
        <v>141981.96</v>
      </c>
      <c r="F126" s="845"/>
      <c r="G126" s="847"/>
      <c r="H126" s="844">
        <f t="shared" si="74"/>
        <v>141981.96</v>
      </c>
      <c r="I126" s="844"/>
      <c r="J126" s="842">
        <f>H126*Ratios!$C$20</f>
        <v>48316.703725824118</v>
      </c>
      <c r="K126" s="842">
        <f>+H126*Ratios!$D$20</f>
        <v>93665.256274175888</v>
      </c>
      <c r="L126" s="846" t="s">
        <v>30</v>
      </c>
      <c r="M126" s="800">
        <f t="shared" si="75"/>
        <v>0</v>
      </c>
      <c r="N126" s="842">
        <f t="shared" si="76"/>
        <v>48316.703725824118</v>
      </c>
      <c r="O126" s="805"/>
      <c r="P126" s="805"/>
      <c r="Q126" s="805"/>
      <c r="R126" s="805"/>
      <c r="S126" s="805"/>
    </row>
    <row r="127" spans="1:19">
      <c r="A127" s="867">
        <v>52086</v>
      </c>
      <c r="B127" s="799" t="s">
        <v>64</v>
      </c>
      <c r="C127" s="842">
        <f>+IFERROR(VLOOKUP($A127,'2010_IS'!$A:$AE,31,FALSE),0)</f>
        <v>4700.34</v>
      </c>
      <c r="D127" s="847"/>
      <c r="E127" s="844">
        <f t="shared" si="73"/>
        <v>4700.34</v>
      </c>
      <c r="F127" s="845"/>
      <c r="G127" s="847"/>
      <c r="H127" s="844">
        <f t="shared" si="74"/>
        <v>4700.34</v>
      </c>
      <c r="I127" s="844"/>
      <c r="J127" s="846">
        <f>H127*'Shop Exp'!$L$20</f>
        <v>1376.8069057233145</v>
      </c>
      <c r="K127" s="842">
        <f>H127-J127</f>
        <v>3323.5330942766859</v>
      </c>
      <c r="L127" s="846" t="s">
        <v>1280</v>
      </c>
      <c r="M127" s="800">
        <f t="shared" si="75"/>
        <v>0</v>
      </c>
      <c r="N127" s="842">
        <f t="shared" si="76"/>
        <v>1376.8069057233145</v>
      </c>
      <c r="O127" s="805"/>
      <c r="P127" s="805"/>
      <c r="Q127" s="805"/>
      <c r="R127" s="805"/>
      <c r="S127" s="805"/>
    </row>
    <row r="128" spans="1:19">
      <c r="A128" s="867">
        <v>55090</v>
      </c>
      <c r="B128" s="799" t="s">
        <v>57</v>
      </c>
      <c r="C128" s="842">
        <f>+IFERROR(VLOOKUP($A128,'2010_IS'!$A:$AE,31,FALSE),0)</f>
        <v>16243.789999999997</v>
      </c>
      <c r="D128" s="847"/>
      <c r="E128" s="844">
        <f t="shared" ref="E128" si="82">SUM(C128:D128)</f>
        <v>16243.789999999997</v>
      </c>
      <c r="F128" s="845"/>
      <c r="G128" s="847"/>
      <c r="H128" s="844">
        <f t="shared" ref="H128" si="83">C128+D128+G128</f>
        <v>16243.789999999997</v>
      </c>
      <c r="I128" s="844"/>
      <c r="J128" s="842">
        <f>H128*Ratios!$F$28</f>
        <v>7897.5529385951977</v>
      </c>
      <c r="K128" s="842">
        <f>H128*Ratios!$G$28</f>
        <v>8346.2370614048014</v>
      </c>
      <c r="L128" s="881" t="s">
        <v>1430</v>
      </c>
      <c r="M128" s="800">
        <f t="shared" ref="M128" si="84">H128-J128-K128</f>
        <v>0</v>
      </c>
      <c r="N128" s="842">
        <f t="shared" ref="N128" si="85">J128</f>
        <v>7897.5529385951977</v>
      </c>
      <c r="O128" s="805"/>
      <c r="P128" s="805"/>
      <c r="Q128" s="805"/>
      <c r="R128" s="805"/>
      <c r="S128" s="805"/>
    </row>
    <row r="129" spans="1:19">
      <c r="A129" s="867">
        <v>56086</v>
      </c>
      <c r="B129" s="799" t="s">
        <v>64</v>
      </c>
      <c r="C129" s="842">
        <f>+IFERROR(VLOOKUP($A129,'2010_IS'!$A:$AE,31,FALSE),0)</f>
        <v>2030</v>
      </c>
      <c r="D129" s="847"/>
      <c r="E129" s="844">
        <f t="shared" si="73"/>
        <v>2030</v>
      </c>
      <c r="F129" s="845"/>
      <c r="G129" s="847"/>
      <c r="H129" s="844">
        <f t="shared" si="74"/>
        <v>2030</v>
      </c>
      <c r="I129" s="844"/>
      <c r="J129" s="842">
        <f>H129*Ratios!$C$20</f>
        <v>690.81247056614063</v>
      </c>
      <c r="K129" s="842">
        <f>+H129*Ratios!$D$20</f>
        <v>1339.1875294338595</v>
      </c>
      <c r="L129" s="846" t="s">
        <v>30</v>
      </c>
      <c r="M129" s="800">
        <f t="shared" si="75"/>
        <v>0</v>
      </c>
      <c r="N129" s="842">
        <f t="shared" si="76"/>
        <v>690.81247056614063</v>
      </c>
      <c r="O129" s="805"/>
      <c r="P129" s="805"/>
      <c r="Q129" s="805"/>
      <c r="R129" s="805"/>
      <c r="S129" s="805"/>
    </row>
    <row r="130" spans="1:19">
      <c r="A130" s="867">
        <v>56090</v>
      </c>
      <c r="B130" s="799" t="s">
        <v>57</v>
      </c>
      <c r="C130" s="842">
        <f>+IFERROR(VLOOKUP($A130,'2010_IS'!$A:$AE,31,FALSE),0)</f>
        <v>1676.46</v>
      </c>
      <c r="D130" s="847"/>
      <c r="E130" s="844">
        <f t="shared" si="73"/>
        <v>1676.46</v>
      </c>
      <c r="F130" s="845"/>
      <c r="G130" s="847"/>
      <c r="H130" s="844">
        <f t="shared" si="74"/>
        <v>1676.46</v>
      </c>
      <c r="I130" s="844"/>
      <c r="J130" s="842">
        <f>H130*Ratios!$C$20</f>
        <v>570.50220414054786</v>
      </c>
      <c r="K130" s="842">
        <f>+H130*Ratios!$D$20</f>
        <v>1105.9577958594523</v>
      </c>
      <c r="L130" s="846" t="s">
        <v>30</v>
      </c>
      <c r="M130" s="800">
        <f t="shared" si="75"/>
        <v>0</v>
      </c>
      <c r="N130" s="842">
        <f t="shared" si="76"/>
        <v>570.50220414054786</v>
      </c>
      <c r="O130" s="805"/>
      <c r="P130" s="805"/>
      <c r="Q130" s="805"/>
      <c r="R130" s="805"/>
      <c r="S130" s="805"/>
    </row>
    <row r="131" spans="1:19">
      <c r="A131" s="867">
        <v>56125</v>
      </c>
      <c r="B131" s="799" t="s">
        <v>48</v>
      </c>
      <c r="C131" s="842">
        <f>+IFERROR(VLOOKUP($A131,'2010_IS'!$A:$AE,31,FALSE),0)</f>
        <v>34215.17</v>
      </c>
      <c r="D131" s="847"/>
      <c r="E131" s="844">
        <f t="shared" si="73"/>
        <v>34215.17</v>
      </c>
      <c r="F131" s="845"/>
      <c r="G131" s="847"/>
      <c r="H131" s="844">
        <f t="shared" si="74"/>
        <v>34215.17</v>
      </c>
      <c r="I131" s="844"/>
      <c r="J131" s="842">
        <f>H131*Ratios!$C$20</f>
        <v>11643.480846571674</v>
      </c>
      <c r="K131" s="842">
        <f>+H131*Ratios!$D$20</f>
        <v>22571.689153428328</v>
      </c>
      <c r="L131" s="846" t="s">
        <v>30</v>
      </c>
      <c r="M131" s="800">
        <f t="shared" si="75"/>
        <v>0</v>
      </c>
      <c r="N131" s="842">
        <f t="shared" si="76"/>
        <v>11643.480846571674</v>
      </c>
      <c r="O131" s="805"/>
      <c r="P131" s="805"/>
      <c r="Q131" s="805"/>
      <c r="R131" s="805"/>
      <c r="S131" s="805"/>
    </row>
    <row r="132" spans="1:19">
      <c r="A132" s="867">
        <v>57165</v>
      </c>
      <c r="B132" s="799" t="s">
        <v>58</v>
      </c>
      <c r="C132" s="842">
        <f>+IFERROR(VLOOKUP($A132,'2010_IS'!$A:$AE,31,FALSE),0)</f>
        <v>15342.619999999999</v>
      </c>
      <c r="D132" s="847"/>
      <c r="E132" s="844">
        <f t="shared" si="73"/>
        <v>15342.619999999999</v>
      </c>
      <c r="F132" s="845"/>
      <c r="G132" s="847"/>
      <c r="H132" s="844">
        <f t="shared" si="74"/>
        <v>15342.619999999999</v>
      </c>
      <c r="I132" s="844"/>
      <c r="J132" s="842">
        <f>H132*Ratios!$C$20</f>
        <v>5221.119816333734</v>
      </c>
      <c r="K132" s="842">
        <f>+H132*Ratios!$D$20</f>
        <v>10121.500183666267</v>
      </c>
      <c r="L132" s="846" t="s">
        <v>30</v>
      </c>
      <c r="M132" s="800">
        <f t="shared" si="75"/>
        <v>0</v>
      </c>
      <c r="N132" s="842">
        <f t="shared" si="76"/>
        <v>5221.119816333734</v>
      </c>
      <c r="O132" s="805"/>
      <c r="P132" s="805"/>
      <c r="Q132" s="805"/>
      <c r="R132" s="805"/>
      <c r="S132" s="805"/>
    </row>
    <row r="133" spans="1:19">
      <c r="A133" s="867">
        <v>57175</v>
      </c>
      <c r="B133" s="799" t="s">
        <v>85</v>
      </c>
      <c r="C133" s="842">
        <f>+IFERROR(VLOOKUP($A133,'2010_IS'!$A:$AE,31,FALSE),0)</f>
        <v>982.65</v>
      </c>
      <c r="D133" s="847"/>
      <c r="E133" s="844">
        <f t="shared" si="73"/>
        <v>982.65</v>
      </c>
      <c r="F133" s="845"/>
      <c r="G133" s="847"/>
      <c r="H133" s="844">
        <f t="shared" si="74"/>
        <v>982.65</v>
      </c>
      <c r="I133" s="844"/>
      <c r="J133" s="842">
        <f>H133*Ratios!$C$20</f>
        <v>334.39747497626507</v>
      </c>
      <c r="K133" s="842">
        <f>+H133*Ratios!$D$20</f>
        <v>648.25252502373496</v>
      </c>
      <c r="L133" s="846" t="s">
        <v>30</v>
      </c>
      <c r="M133" s="800">
        <f t="shared" si="75"/>
        <v>0</v>
      </c>
      <c r="N133" s="842">
        <f t="shared" si="76"/>
        <v>334.39747497626507</v>
      </c>
      <c r="O133" s="805"/>
      <c r="P133" s="805"/>
      <c r="Q133" s="805"/>
      <c r="R133" s="805"/>
      <c r="S133" s="805"/>
    </row>
    <row r="134" spans="1:19">
      <c r="A134" s="867">
        <v>57255</v>
      </c>
      <c r="B134" s="799" t="s">
        <v>1420</v>
      </c>
      <c r="C134" s="842">
        <f>+IFERROR(VLOOKUP($A134,'2010_IS'!$A:$AE,31,FALSE),0)</f>
        <v>20044.169999999998</v>
      </c>
      <c r="D134" s="847"/>
      <c r="E134" s="844">
        <f t="shared" si="73"/>
        <v>20044.169999999998</v>
      </c>
      <c r="F134" s="845"/>
      <c r="G134" s="847"/>
      <c r="H134" s="844">
        <f t="shared" si="74"/>
        <v>20044.169999999998</v>
      </c>
      <c r="I134" s="844"/>
      <c r="J134" s="842">
        <f>H134*Ratios!$C$20</f>
        <v>6821.0653192845903</v>
      </c>
      <c r="K134" s="842">
        <f>+H134*Ratios!$D$20</f>
        <v>13223.104680715411</v>
      </c>
      <c r="L134" s="846" t="s">
        <v>30</v>
      </c>
      <c r="M134" s="800">
        <f t="shared" si="75"/>
        <v>0</v>
      </c>
      <c r="N134" s="842">
        <f t="shared" si="76"/>
        <v>6821.0653192845903</v>
      </c>
      <c r="O134" s="805"/>
      <c r="P134" s="805"/>
      <c r="Q134" s="805"/>
      <c r="R134" s="805"/>
      <c r="S134" s="805"/>
    </row>
    <row r="135" spans="1:19">
      <c r="A135" s="867">
        <v>57324</v>
      </c>
      <c r="B135" s="799" t="s">
        <v>87</v>
      </c>
      <c r="C135" s="842">
        <f>+IFERROR(VLOOKUP($A135,'2010_IS'!$A:$AE,31,FALSE),0)</f>
        <v>275</v>
      </c>
      <c r="D135" s="844"/>
      <c r="E135" s="844">
        <f t="shared" si="73"/>
        <v>275</v>
      </c>
      <c r="F135" s="845"/>
      <c r="G135" s="847"/>
      <c r="H135" s="844">
        <f t="shared" si="74"/>
        <v>275</v>
      </c>
      <c r="I135" s="844"/>
      <c r="J135" s="842">
        <f>H135*Ratios!$C$20</f>
        <v>93.582970150585552</v>
      </c>
      <c r="K135" s="842">
        <f>+H135*Ratios!$D$20</f>
        <v>181.41702984941446</v>
      </c>
      <c r="L135" s="846" t="s">
        <v>30</v>
      </c>
      <c r="M135" s="800">
        <f t="shared" si="75"/>
        <v>0</v>
      </c>
      <c r="N135" s="842">
        <f t="shared" si="76"/>
        <v>93.582970150585552</v>
      </c>
      <c r="O135" s="805"/>
      <c r="P135" s="805"/>
      <c r="Q135" s="805"/>
      <c r="R135" s="805"/>
      <c r="S135" s="805"/>
    </row>
    <row r="136" spans="1:19">
      <c r="A136" s="867">
        <v>57335</v>
      </c>
      <c r="B136" s="799" t="s">
        <v>83</v>
      </c>
      <c r="C136" s="842">
        <f>+IFERROR(VLOOKUP($A136,'2010_IS'!$A:$AE,31,FALSE),0)</f>
        <v>22.19</v>
      </c>
      <c r="D136" s="844"/>
      <c r="E136" s="844">
        <f t="shared" ref="E136" si="86">SUM(C136:D136)</f>
        <v>22.19</v>
      </c>
      <c r="F136" s="845"/>
      <c r="G136" s="847"/>
      <c r="H136" s="844">
        <f t="shared" ref="H136" si="87">C136+D136+G136</f>
        <v>22.19</v>
      </c>
      <c r="I136" s="844"/>
      <c r="J136" s="842">
        <f>H136*Ratios!$C$20</f>
        <v>7.5512949368781586</v>
      </c>
      <c r="K136" s="842">
        <f>+H136*Ratios!$D$20</f>
        <v>14.638705063121845</v>
      </c>
      <c r="L136" s="846" t="s">
        <v>30</v>
      </c>
      <c r="M136" s="800">
        <f t="shared" ref="M136" si="88">H136-J136-K136</f>
        <v>0</v>
      </c>
      <c r="N136" s="842">
        <f t="shared" ref="N136" si="89">J136</f>
        <v>7.5512949368781586</v>
      </c>
      <c r="O136" s="805"/>
      <c r="P136" s="805"/>
      <c r="Q136" s="805"/>
      <c r="R136" s="805"/>
      <c r="S136" s="805"/>
    </row>
    <row r="137" spans="1:19">
      <c r="A137" s="867">
        <v>60205</v>
      </c>
      <c r="B137" s="799" t="s">
        <v>299</v>
      </c>
      <c r="C137" s="842">
        <f>+IFERROR(VLOOKUP($A137,'2010_IS'!$A:$AE,31,FALSE),0)</f>
        <v>75.430000000000007</v>
      </c>
      <c r="D137" s="844"/>
      <c r="E137" s="844">
        <f t="shared" ref="E137" si="90">SUM(C137:D137)</f>
        <v>75.430000000000007</v>
      </c>
      <c r="F137" s="845"/>
      <c r="G137" s="847"/>
      <c r="H137" s="844">
        <f t="shared" ref="H137" si="91">C137+D137+G137</f>
        <v>75.430000000000007</v>
      </c>
      <c r="I137" s="844"/>
      <c r="J137" s="842">
        <f>H137*Ratios!$C$20</f>
        <v>25.668957958031523</v>
      </c>
      <c r="K137" s="842">
        <f>+H137*Ratios!$D$20</f>
        <v>49.761042041968494</v>
      </c>
      <c r="L137" s="846" t="s">
        <v>30</v>
      </c>
      <c r="M137" s="800">
        <f t="shared" ref="M137" si="92">H137-J137-K137</f>
        <v>0</v>
      </c>
      <c r="N137" s="842">
        <f t="shared" ref="N137" si="93">J137</f>
        <v>25.668957958031523</v>
      </c>
      <c r="O137" s="805"/>
      <c r="P137" s="805"/>
      <c r="Q137" s="805"/>
      <c r="R137" s="805"/>
      <c r="S137" s="805"/>
    </row>
    <row r="138" spans="1:19">
      <c r="A138" s="867">
        <v>60255</v>
      </c>
      <c r="B138" s="799" t="s">
        <v>86</v>
      </c>
      <c r="C138" s="842">
        <f>+IFERROR(VLOOKUP($A138,'2010_IS'!$A:$AE,31,FALSE),0)</f>
        <v>7354.74</v>
      </c>
      <c r="D138" s="844"/>
      <c r="E138" s="844">
        <f t="shared" ref="E138" si="94">SUM(C138:D138)</f>
        <v>7354.74</v>
      </c>
      <c r="F138" s="845"/>
      <c r="G138" s="847"/>
      <c r="H138" s="844">
        <f t="shared" ref="H138" si="95">C138+D138+G138</f>
        <v>7354.74</v>
      </c>
      <c r="I138" s="844"/>
      <c r="J138" s="842">
        <f>H138*Ratios!$C$20</f>
        <v>2502.8305959466093</v>
      </c>
      <c r="K138" s="842">
        <f>+H138*Ratios!$D$20</f>
        <v>4851.909404053391</v>
      </c>
      <c r="L138" s="846" t="s">
        <v>30</v>
      </c>
      <c r="M138" s="800">
        <f t="shared" ref="M138" si="96">H138-J138-K138</f>
        <v>0</v>
      </c>
      <c r="N138" s="842">
        <f t="shared" ref="N138" si="97">J138</f>
        <v>2502.8305959466093</v>
      </c>
      <c r="O138" s="805"/>
      <c r="P138" s="805"/>
      <c r="Q138" s="805"/>
      <c r="R138" s="805"/>
      <c r="S138" s="805"/>
    </row>
    <row r="139" spans="1:19">
      <c r="A139" s="869">
        <v>42800</v>
      </c>
      <c r="B139" s="794" t="s">
        <v>81</v>
      </c>
      <c r="C139" s="848">
        <f>SUM(C121:C138)</f>
        <v>372396.54</v>
      </c>
      <c r="D139" s="848">
        <f>SUM(D121:D138)</f>
        <v>0</v>
      </c>
      <c r="E139" s="848">
        <f>SUM(E121:E138)</f>
        <v>372396.54</v>
      </c>
      <c r="F139" s="849"/>
      <c r="G139" s="848">
        <f>SUM(G121:G138)</f>
        <v>0</v>
      </c>
      <c r="H139" s="848">
        <f>SUM(H121:H138)</f>
        <v>372396.54</v>
      </c>
      <c r="I139" s="848"/>
      <c r="J139" s="848">
        <f>SUM(J121:J138)</f>
        <v>112735.81900935022</v>
      </c>
      <c r="K139" s="848">
        <f>SUM(K121:K138)</f>
        <v>259660.72099064983</v>
      </c>
      <c r="L139" s="850"/>
      <c r="M139" s="850"/>
      <c r="N139" s="848">
        <f>SUM(N121:N138)</f>
        <v>112735.81900935022</v>
      </c>
    </row>
    <row r="140" spans="1:19">
      <c r="A140" s="869"/>
      <c r="B140" s="794"/>
      <c r="C140" s="864"/>
      <c r="D140" s="864"/>
      <c r="E140" s="864"/>
      <c r="F140" s="865"/>
      <c r="G140" s="864"/>
      <c r="H140" s="864"/>
      <c r="I140" s="864"/>
      <c r="J140" s="864"/>
      <c r="K140" s="864"/>
      <c r="L140" s="795"/>
      <c r="M140" s="795"/>
      <c r="N140" s="864"/>
    </row>
    <row r="141" spans="1:19">
      <c r="A141" s="879"/>
      <c r="B141" s="855" t="s">
        <v>88</v>
      </c>
      <c r="C141" s="857"/>
      <c r="D141" s="858"/>
      <c r="E141" s="858"/>
      <c r="F141" s="859"/>
      <c r="G141" s="858"/>
      <c r="H141" s="858"/>
      <c r="I141" s="858"/>
      <c r="J141" s="857"/>
      <c r="K141" s="857"/>
      <c r="L141" s="860"/>
      <c r="M141" s="860"/>
      <c r="N141" s="857"/>
    </row>
    <row r="142" spans="1:19">
      <c r="A142" s="884">
        <v>40101</v>
      </c>
      <c r="B142" s="881" t="s">
        <v>89</v>
      </c>
      <c r="C142" s="842">
        <f>+IFERROR(VLOOKUP($A142,'2010_IS'!$A:$AE,31,FALSE),0)</f>
        <v>786259.39999999991</v>
      </c>
      <c r="D142" s="843"/>
      <c r="E142" s="843">
        <f>SUM(C142:D142)</f>
        <v>786259.39999999991</v>
      </c>
      <c r="F142" s="882"/>
      <c r="G142" s="883"/>
      <c r="H142" s="843">
        <f>C142+D142+G142</f>
        <v>786259.39999999991</v>
      </c>
      <c r="I142" s="843"/>
      <c r="J142" s="846">
        <v>0</v>
      </c>
      <c r="K142" s="846">
        <f t="shared" ref="K142:K144" si="98">+H142-J142</f>
        <v>786259.39999999991</v>
      </c>
      <c r="L142" s="846" t="s">
        <v>17</v>
      </c>
      <c r="M142" s="800">
        <f t="shared" ref="M142:M146" si="99">H142-J142-K142</f>
        <v>0</v>
      </c>
      <c r="N142" s="842">
        <f t="shared" ref="N142:N146" si="100">J142</f>
        <v>0</v>
      </c>
    </row>
    <row r="143" spans="1:19">
      <c r="A143" s="884">
        <v>40109</v>
      </c>
      <c r="B143" s="881" t="s">
        <v>247</v>
      </c>
      <c r="C143" s="842">
        <f>+IFERROR(VLOOKUP($A143,'2010_IS'!$A:$AE,31,FALSE),0)</f>
        <v>223134.00999999998</v>
      </c>
      <c r="D143" s="843"/>
      <c r="E143" s="843">
        <f t="shared" ref="E143:E146" si="101">SUM(C143:D143)</f>
        <v>223134.00999999998</v>
      </c>
      <c r="F143" s="882"/>
      <c r="G143" s="883"/>
      <c r="H143" s="843">
        <f t="shared" ref="H143:H146" si="102">C143+D143+G143</f>
        <v>223134.00999999998</v>
      </c>
      <c r="I143" s="843"/>
      <c r="J143" s="846">
        <v>0</v>
      </c>
      <c r="K143" s="846">
        <f t="shared" si="98"/>
        <v>223134.00999999998</v>
      </c>
      <c r="L143" s="846" t="s">
        <v>17</v>
      </c>
      <c r="M143" s="800">
        <f t="shared" si="99"/>
        <v>0</v>
      </c>
      <c r="N143" s="842">
        <f t="shared" si="100"/>
        <v>0</v>
      </c>
    </row>
    <row r="144" spans="1:19">
      <c r="A144" s="884">
        <v>40131</v>
      </c>
      <c r="B144" s="881" t="s">
        <v>248</v>
      </c>
      <c r="C144" s="842">
        <f>+IFERROR(VLOOKUP($A144,'2010_IS'!$A:$AE,31,FALSE),0)</f>
        <v>4300.1000000000004</v>
      </c>
      <c r="D144" s="843"/>
      <c r="E144" s="843">
        <f t="shared" si="101"/>
        <v>4300.1000000000004</v>
      </c>
      <c r="F144" s="882"/>
      <c r="G144" s="883"/>
      <c r="H144" s="843">
        <f t="shared" si="102"/>
        <v>4300.1000000000004</v>
      </c>
      <c r="I144" s="843"/>
      <c r="J144" s="846">
        <v>0</v>
      </c>
      <c r="K144" s="846">
        <f t="shared" si="98"/>
        <v>4300.1000000000004</v>
      </c>
      <c r="L144" s="846" t="s">
        <v>17</v>
      </c>
      <c r="M144" s="800">
        <f t="shared" si="99"/>
        <v>0</v>
      </c>
      <c r="N144" s="842">
        <f t="shared" si="100"/>
        <v>0</v>
      </c>
    </row>
    <row r="145" spans="1:14">
      <c r="A145" s="884">
        <v>40139</v>
      </c>
      <c r="B145" s="881" t="s">
        <v>249</v>
      </c>
      <c r="C145" s="842">
        <f>+IFERROR(VLOOKUP($A145,'2010_IS'!$A:$AE,31,FALSE),0)</f>
        <v>19473174.080000002</v>
      </c>
      <c r="D145" s="843">
        <f>-E17+Disposal!I19</f>
        <v>-6386917.4000000432</v>
      </c>
      <c r="E145" s="843">
        <f t="shared" si="101"/>
        <v>13086256.679999959</v>
      </c>
      <c r="F145" s="882"/>
      <c r="G145" s="882">
        <f>'Pro-forma Adj''s'!B54</f>
        <v>314982</v>
      </c>
      <c r="H145" s="843">
        <f>C145+D145+G145</f>
        <v>13401238.679999959</v>
      </c>
      <c r="I145" s="843"/>
      <c r="J145" s="846">
        <f>((H145-G145)*[49]Regulated!$G$123)+G145</f>
        <v>6859323.5660418328</v>
      </c>
      <c r="K145" s="846">
        <f>(H145-G145)*[49]Regulated!$G$124</f>
        <v>6541915.1139581259</v>
      </c>
      <c r="L145" s="846" t="s">
        <v>1248</v>
      </c>
      <c r="M145" s="800">
        <f>H145-J145-K145</f>
        <v>0</v>
      </c>
      <c r="N145" s="842">
        <f t="shared" si="100"/>
        <v>6859323.5660418328</v>
      </c>
    </row>
    <row r="146" spans="1:14">
      <c r="A146" s="884"/>
      <c r="B146" s="881" t="s">
        <v>1273</v>
      </c>
      <c r="C146" s="842">
        <v>0</v>
      </c>
      <c r="D146" s="843">
        <f>-D145</f>
        <v>6386917.4000000432</v>
      </c>
      <c r="E146" s="843">
        <f t="shared" si="101"/>
        <v>6386917.4000000432</v>
      </c>
      <c r="F146" s="882"/>
      <c r="G146" s="883"/>
      <c r="H146" s="843">
        <f t="shared" si="102"/>
        <v>6386917.4000000432</v>
      </c>
      <c r="I146" s="843"/>
      <c r="J146" s="846">
        <f>J17</f>
        <v>2315814.08</v>
      </c>
      <c r="K146" s="846">
        <f>E146-J146</f>
        <v>4071103.3200000431</v>
      </c>
      <c r="L146" s="846" t="s">
        <v>17</v>
      </c>
      <c r="M146" s="800">
        <f t="shared" si="99"/>
        <v>0</v>
      </c>
      <c r="N146" s="842">
        <f t="shared" si="100"/>
        <v>2315814.08</v>
      </c>
    </row>
    <row r="147" spans="1:14">
      <c r="A147" s="884"/>
      <c r="B147" s="881"/>
      <c r="C147" s="842"/>
      <c r="D147" s="843"/>
      <c r="E147" s="843"/>
      <c r="F147" s="882"/>
      <c r="G147" s="883"/>
      <c r="H147" s="843"/>
      <c r="I147" s="843"/>
      <c r="J147" s="846"/>
      <c r="K147" s="846"/>
      <c r="L147" s="846"/>
      <c r="M147" s="800"/>
      <c r="N147" s="842"/>
    </row>
    <row r="148" spans="1:14">
      <c r="A148" s="869">
        <v>43600</v>
      </c>
      <c r="B148" s="794" t="s">
        <v>88</v>
      </c>
      <c r="C148" s="848">
        <f>SUM(C142:C147)</f>
        <v>20486867.590000004</v>
      </c>
      <c r="D148" s="848">
        <f>SUM(D142:D147)</f>
        <v>0</v>
      </c>
      <c r="E148" s="848">
        <f>SUM(E142:E147)</f>
        <v>20486867.590000004</v>
      </c>
      <c r="F148" s="849"/>
      <c r="G148" s="848">
        <f>SUM(G142:G146)</f>
        <v>314982</v>
      </c>
      <c r="H148" s="848">
        <f>SUM(H142:H147)</f>
        <v>20801849.590000004</v>
      </c>
      <c r="I148" s="848"/>
      <c r="J148" s="848">
        <f>SUM(J142:J147)</f>
        <v>9175137.6460418329</v>
      </c>
      <c r="K148" s="848">
        <f>SUM(K142:K147)</f>
        <v>11626711.943958169</v>
      </c>
      <c r="L148" s="848">
        <f>SUM(L142:L147)</f>
        <v>0</v>
      </c>
      <c r="M148" s="848"/>
      <c r="N148" s="848">
        <f>SUM(N142:N147)</f>
        <v>9175137.6460418329</v>
      </c>
    </row>
    <row r="149" spans="1:14">
      <c r="A149" s="869"/>
      <c r="B149" s="794"/>
      <c r="C149" s="864"/>
      <c r="D149" s="864"/>
      <c r="E149" s="864"/>
      <c r="F149" s="865"/>
      <c r="G149" s="864"/>
      <c r="H149" s="864"/>
      <c r="I149" s="864"/>
      <c r="J149" s="864"/>
      <c r="K149" s="864"/>
      <c r="L149" s="885"/>
      <c r="M149" s="885"/>
      <c r="N149" s="864"/>
    </row>
    <row r="150" spans="1:14">
      <c r="A150" s="866">
        <v>44000</v>
      </c>
      <c r="B150" s="855" t="s">
        <v>91</v>
      </c>
      <c r="C150" s="857"/>
      <c r="D150" s="858"/>
      <c r="E150" s="858"/>
      <c r="F150" s="859"/>
      <c r="G150" s="858"/>
      <c r="H150" s="858"/>
      <c r="I150" s="858"/>
      <c r="J150" s="857"/>
      <c r="K150" s="857"/>
      <c r="L150" s="860"/>
      <c r="M150" s="860"/>
      <c r="N150" s="857"/>
    </row>
    <row r="151" spans="1:14">
      <c r="A151" s="836">
        <v>60010</v>
      </c>
      <c r="B151" s="799" t="s">
        <v>33</v>
      </c>
      <c r="C151" s="842">
        <f>+IFERROR(VLOOKUP($A151,'2010_IS'!$A:$AE,31,FALSE),0)</f>
        <v>64666.800000000017</v>
      </c>
      <c r="D151" s="844"/>
      <c r="E151" s="844">
        <f t="shared" ref="E151:E154" si="103">SUM(C151:D151)</f>
        <v>64666.800000000017</v>
      </c>
      <c r="F151" s="845"/>
      <c r="G151" s="844"/>
      <c r="H151" s="844">
        <f t="shared" ref="H151:H154" si="104">C151+D151+G151</f>
        <v>64666.800000000017</v>
      </c>
      <c r="I151" s="844"/>
      <c r="J151" s="842">
        <v>0</v>
      </c>
      <c r="K151" s="842">
        <f>+H151</f>
        <v>64666.800000000017</v>
      </c>
      <c r="L151" s="846" t="s">
        <v>17</v>
      </c>
      <c r="M151" s="800">
        <f t="shared" ref="M151" si="105">H151-J151-K151</f>
        <v>0</v>
      </c>
      <c r="N151" s="842">
        <f t="shared" ref="N151" si="106">J151</f>
        <v>0</v>
      </c>
    </row>
    <row r="152" spans="1:14">
      <c r="A152" s="836">
        <v>60030</v>
      </c>
      <c r="B152" s="799" t="s">
        <v>298</v>
      </c>
      <c r="C152" s="842">
        <f>+IFERROR(VLOOKUP($A152,'2010_IS'!$A:$AE,31,FALSE),0)</f>
        <v>706.45</v>
      </c>
      <c r="D152" s="844"/>
      <c r="E152" s="844">
        <f t="shared" si="103"/>
        <v>706.45</v>
      </c>
      <c r="F152" s="845"/>
      <c r="G152" s="844"/>
      <c r="H152" s="844">
        <f t="shared" si="104"/>
        <v>706.45</v>
      </c>
      <c r="I152" s="844"/>
      <c r="J152" s="842">
        <v>0</v>
      </c>
      <c r="K152" s="842">
        <f t="shared" ref="K152:K154" si="107">+H152</f>
        <v>706.45</v>
      </c>
      <c r="L152" s="846" t="s">
        <v>17</v>
      </c>
      <c r="M152" s="800">
        <f t="shared" ref="M152:M154" si="108">H152-J152-K152</f>
        <v>0</v>
      </c>
      <c r="N152" s="842">
        <f t="shared" ref="N152:N154" si="109">J152</f>
        <v>0</v>
      </c>
    </row>
    <row r="153" spans="1:14">
      <c r="A153" s="836">
        <v>60065</v>
      </c>
      <c r="B153" s="799" t="s">
        <v>39</v>
      </c>
      <c r="C153" s="842">
        <f>+IFERROR(VLOOKUP($A153,'2010_IS'!$A:$AE,31,FALSE),0)</f>
        <v>1629.29</v>
      </c>
      <c r="D153" s="844"/>
      <c r="E153" s="844">
        <f t="shared" si="103"/>
        <v>1629.29</v>
      </c>
      <c r="F153" s="845"/>
      <c r="G153" s="844"/>
      <c r="H153" s="844">
        <f t="shared" si="104"/>
        <v>1629.29</v>
      </c>
      <c r="I153" s="844"/>
      <c r="J153" s="842">
        <v>0</v>
      </c>
      <c r="K153" s="842">
        <f t="shared" si="107"/>
        <v>1629.29</v>
      </c>
      <c r="L153" s="846" t="s">
        <v>17</v>
      </c>
      <c r="M153" s="800">
        <f t="shared" si="108"/>
        <v>0</v>
      </c>
      <c r="N153" s="842">
        <f t="shared" si="109"/>
        <v>0</v>
      </c>
    </row>
    <row r="154" spans="1:14">
      <c r="A154" s="836">
        <v>60070</v>
      </c>
      <c r="B154" s="799" t="s">
        <v>40</v>
      </c>
      <c r="C154" s="842">
        <f>+IFERROR(VLOOKUP($A154,'2010_IS'!$A:$AE,31,FALSE),0)</f>
        <v>0</v>
      </c>
      <c r="D154" s="844"/>
      <c r="E154" s="844">
        <f t="shared" si="103"/>
        <v>0</v>
      </c>
      <c r="F154" s="845"/>
      <c r="G154" s="844"/>
      <c r="H154" s="844">
        <f t="shared" si="104"/>
        <v>0</v>
      </c>
      <c r="I154" s="844"/>
      <c r="J154" s="842">
        <v>0</v>
      </c>
      <c r="K154" s="842">
        <f t="shared" si="107"/>
        <v>0</v>
      </c>
      <c r="L154" s="846" t="s">
        <v>17</v>
      </c>
      <c r="M154" s="800">
        <f t="shared" si="108"/>
        <v>0</v>
      </c>
      <c r="N154" s="842">
        <f t="shared" si="109"/>
        <v>0</v>
      </c>
    </row>
    <row r="155" spans="1:14">
      <c r="A155" s="886">
        <v>44000</v>
      </c>
      <c r="B155" s="875" t="s">
        <v>91</v>
      </c>
      <c r="C155" s="850">
        <f>+SUM(C151:C154)</f>
        <v>67002.540000000008</v>
      </c>
      <c r="D155" s="850">
        <f>+SUM(D151:D154)</f>
        <v>0</v>
      </c>
      <c r="E155" s="850">
        <f>+SUM(E151:E154)</f>
        <v>67002.540000000008</v>
      </c>
      <c r="F155" s="849"/>
      <c r="G155" s="850">
        <f>+SUM(G151:G154)</f>
        <v>0</v>
      </c>
      <c r="H155" s="850">
        <f>+SUM(H151:H154)</f>
        <v>67002.540000000008</v>
      </c>
      <c r="I155" s="887"/>
      <c r="J155" s="850">
        <f>+SUM(J151:J154)</f>
        <v>0</v>
      </c>
      <c r="K155" s="850">
        <f>+SUM(K151:K154)</f>
        <v>67002.540000000008</v>
      </c>
      <c r="L155" s="850"/>
      <c r="M155" s="850"/>
      <c r="N155" s="850">
        <f>+SUM(N151:N154)</f>
        <v>0</v>
      </c>
    </row>
    <row r="156" spans="1:14">
      <c r="A156" s="886"/>
      <c r="B156" s="875"/>
      <c r="C156" s="842"/>
      <c r="D156" s="864"/>
      <c r="E156" s="844"/>
      <c r="F156" s="865"/>
      <c r="G156" s="864"/>
      <c r="H156" s="864"/>
      <c r="I156" s="847"/>
      <c r="J156" s="864"/>
      <c r="K156" s="864"/>
      <c r="L156" s="795"/>
      <c r="M156" s="795"/>
      <c r="N156" s="864"/>
    </row>
    <row r="157" spans="1:14">
      <c r="A157" s="866">
        <v>44300</v>
      </c>
      <c r="B157" s="855" t="s">
        <v>92</v>
      </c>
      <c r="C157" s="857"/>
      <c r="D157" s="858"/>
      <c r="E157" s="858"/>
      <c r="F157" s="859"/>
      <c r="G157" s="858"/>
      <c r="H157" s="858"/>
      <c r="I157" s="858"/>
      <c r="J157" s="857"/>
      <c r="K157" s="857"/>
      <c r="L157" s="860"/>
      <c r="M157" s="860"/>
      <c r="N157" s="857"/>
    </row>
    <row r="158" spans="1:14">
      <c r="A158" s="867">
        <v>43002</v>
      </c>
      <c r="B158" s="799" t="s">
        <v>93</v>
      </c>
      <c r="C158" s="842">
        <f>+IFERROR(VLOOKUP($A158,'2010_IS'!$A:$AE,31,FALSE),0)</f>
        <v>117672.32000000001</v>
      </c>
      <c r="D158" s="844">
        <f>'Restating Adj''s'!B81</f>
        <v>-11656.700869999971</v>
      </c>
      <c r="E158" s="844">
        <f>SUM(C158:D158)</f>
        <v>106015.61913000004</v>
      </c>
      <c r="F158" s="888" t="s">
        <v>108</v>
      </c>
      <c r="G158" s="847"/>
      <c r="H158" s="844">
        <f>C158+D158+G158</f>
        <v>106015.61913000004</v>
      </c>
      <c r="I158" s="844"/>
      <c r="J158" s="842">
        <f>H158</f>
        <v>106015.61913000004</v>
      </c>
      <c r="K158" s="842"/>
      <c r="L158" s="846" t="s">
        <v>17</v>
      </c>
      <c r="M158" s="800">
        <f t="shared" ref="M158" si="110">H158-J158-K158</f>
        <v>0</v>
      </c>
      <c r="N158" s="842">
        <f t="shared" ref="N158" si="111">J158</f>
        <v>106015.61913000004</v>
      </c>
    </row>
    <row r="159" spans="1:14">
      <c r="A159" s="886">
        <v>44300</v>
      </c>
      <c r="B159" s="875" t="s">
        <v>92</v>
      </c>
      <c r="C159" s="848">
        <f>SUM(C158)</f>
        <v>117672.32000000001</v>
      </c>
      <c r="D159" s="848">
        <f>SUM(D158)</f>
        <v>-11656.700869999971</v>
      </c>
      <c r="E159" s="848">
        <f>SUM(E158)</f>
        <v>106015.61913000004</v>
      </c>
      <c r="F159" s="849"/>
      <c r="G159" s="848">
        <f>SUM(G158)</f>
        <v>0</v>
      </c>
      <c r="H159" s="848">
        <f>SUM(H158)</f>
        <v>106015.61913000004</v>
      </c>
      <c r="I159" s="848"/>
      <c r="J159" s="848">
        <f>SUM(J158)</f>
        <v>106015.61913000004</v>
      </c>
      <c r="K159" s="848">
        <f>SUM(K158)</f>
        <v>0</v>
      </c>
      <c r="L159" s="850"/>
      <c r="M159" s="850"/>
      <c r="N159" s="848">
        <f>SUM(N158)</f>
        <v>106015.61913000004</v>
      </c>
    </row>
    <row r="160" spans="1:14">
      <c r="A160" s="886"/>
      <c r="B160" s="875"/>
      <c r="C160" s="864"/>
      <c r="D160" s="864"/>
      <c r="E160" s="864"/>
      <c r="F160" s="865"/>
      <c r="G160" s="864"/>
      <c r="H160" s="864"/>
      <c r="I160" s="864"/>
      <c r="J160" s="864"/>
      <c r="K160" s="864"/>
      <c r="L160" s="795"/>
      <c r="M160" s="795"/>
      <c r="N160" s="864"/>
    </row>
    <row r="161" spans="1:19">
      <c r="A161" s="866">
        <v>44500</v>
      </c>
      <c r="B161" s="855" t="s">
        <v>96</v>
      </c>
      <c r="C161" s="857"/>
      <c r="D161" s="858"/>
      <c r="E161" s="858"/>
      <c r="F161" s="859"/>
      <c r="G161" s="858"/>
      <c r="H161" s="858"/>
      <c r="I161" s="858"/>
      <c r="J161" s="857"/>
      <c r="K161" s="857"/>
      <c r="L161" s="860"/>
      <c r="M161" s="860"/>
      <c r="N161" s="857"/>
    </row>
    <row r="162" spans="1:19">
      <c r="A162" s="836">
        <v>60225</v>
      </c>
      <c r="B162" s="799" t="s">
        <v>97</v>
      </c>
      <c r="C162" s="842">
        <f>+IFERROR(VLOOKUP($A162,'2010_IS'!$A:$AE,31,FALSE),0)</f>
        <v>140142.23000000001</v>
      </c>
      <c r="D162" s="844">
        <f>-'60225'!D305</f>
        <v>-89110.24000000002</v>
      </c>
      <c r="E162" s="844">
        <f>SUM(C162:D162)</f>
        <v>51031.989999999991</v>
      </c>
      <c r="F162" s="888" t="s">
        <v>173</v>
      </c>
      <c r="G162" s="847"/>
      <c r="H162" s="844">
        <f>C162+D162+G162</f>
        <v>51031.989999999991</v>
      </c>
      <c r="I162" s="847"/>
      <c r="J162" s="842">
        <f>+H162*Ratios!$C$65</f>
        <v>27261.890688935055</v>
      </c>
      <c r="K162" s="842">
        <f>+H162*Ratios!$D$65</f>
        <v>23770.099311064936</v>
      </c>
      <c r="L162" s="846" t="s">
        <v>98</v>
      </c>
      <c r="M162" s="800">
        <f t="shared" ref="M162:M163" si="112">H162-J162-K162</f>
        <v>0</v>
      </c>
      <c r="N162" s="842">
        <f t="shared" ref="N162:N163" si="113">J162</f>
        <v>27261.890688935055</v>
      </c>
      <c r="O162" s="805"/>
      <c r="P162" s="805"/>
      <c r="Q162" s="805"/>
      <c r="R162" s="805"/>
      <c r="S162" s="805"/>
    </row>
    <row r="163" spans="1:19">
      <c r="A163" s="867">
        <v>70225</v>
      </c>
      <c r="B163" s="799" t="s">
        <v>99</v>
      </c>
      <c r="C163" s="842">
        <f>+IFERROR(VLOOKUP($A163,'2010_IS'!$A:$AE,31,FALSE),0)</f>
        <v>26267.45</v>
      </c>
      <c r="D163" s="842">
        <f>-'70225'!D97</f>
        <v>-888.93000000000006</v>
      </c>
      <c r="E163" s="844">
        <f>SUM(C163:D163)</f>
        <v>25378.52</v>
      </c>
      <c r="F163" s="888" t="s">
        <v>173</v>
      </c>
      <c r="G163" s="847"/>
      <c r="H163" s="844">
        <f>C163+D163+G163</f>
        <v>25378.52</v>
      </c>
      <c r="I163" s="844"/>
      <c r="J163" s="842">
        <f>+H163*Ratios!$C$65</f>
        <v>13557.504578734872</v>
      </c>
      <c r="K163" s="842">
        <f>+H163*Ratios!$D$65</f>
        <v>11821.015421265129</v>
      </c>
      <c r="L163" s="846" t="s">
        <v>98</v>
      </c>
      <c r="M163" s="800">
        <f t="shared" si="112"/>
        <v>0</v>
      </c>
      <c r="N163" s="842">
        <f t="shared" si="113"/>
        <v>13557.504578734872</v>
      </c>
      <c r="O163" s="805"/>
      <c r="P163" s="805"/>
      <c r="Q163" s="805"/>
      <c r="R163" s="805"/>
      <c r="S163" s="805"/>
    </row>
    <row r="164" spans="1:19">
      <c r="A164" s="869">
        <v>44500</v>
      </c>
      <c r="B164" s="794" t="s">
        <v>100</v>
      </c>
      <c r="C164" s="848">
        <f>SUM(C162:C163)</f>
        <v>166409.68000000002</v>
      </c>
      <c r="D164" s="848">
        <f t="shared" ref="D164:G164" si="114">SUM(D162:D163)</f>
        <v>-89999.170000000013</v>
      </c>
      <c r="E164" s="848">
        <f>SUM(E162:E163)</f>
        <v>76410.509999999995</v>
      </c>
      <c r="F164" s="849"/>
      <c r="G164" s="848">
        <f t="shared" si="114"/>
        <v>0</v>
      </c>
      <c r="H164" s="848">
        <f>SUM(H162:H163)</f>
        <v>76410.509999999995</v>
      </c>
      <c r="I164" s="848"/>
      <c r="J164" s="848">
        <f t="shared" ref="J164" si="115">SUM(J162:J163)</f>
        <v>40819.395267669926</v>
      </c>
      <c r="K164" s="848">
        <f>SUM(K162:K163)</f>
        <v>35591.114732330068</v>
      </c>
      <c r="L164" s="850"/>
      <c r="M164" s="850"/>
      <c r="N164" s="848">
        <f t="shared" ref="N164" si="116">SUM(N162:N163)</f>
        <v>40819.395267669926</v>
      </c>
    </row>
    <row r="165" spans="1:19">
      <c r="A165" s="869"/>
      <c r="B165" s="794"/>
      <c r="C165" s="864"/>
      <c r="D165" s="864"/>
      <c r="E165" s="864"/>
      <c r="F165" s="865"/>
      <c r="G165" s="864"/>
      <c r="H165" s="864"/>
      <c r="I165" s="864"/>
      <c r="J165" s="864"/>
      <c r="K165" s="864"/>
      <c r="L165" s="795"/>
      <c r="M165" s="795"/>
      <c r="N165" s="864"/>
    </row>
    <row r="166" spans="1:19">
      <c r="A166" s="866">
        <v>45300</v>
      </c>
      <c r="B166" s="855" t="s">
        <v>101</v>
      </c>
      <c r="C166" s="857"/>
      <c r="D166" s="858"/>
      <c r="E166" s="858"/>
      <c r="F166" s="859"/>
      <c r="G166" s="858"/>
      <c r="H166" s="858"/>
      <c r="I166" s="858"/>
      <c r="J166" s="857"/>
      <c r="K166" s="857"/>
      <c r="L166" s="860"/>
      <c r="M166" s="860"/>
      <c r="N166" s="857"/>
    </row>
    <row r="167" spans="1:19">
      <c r="A167" s="867">
        <v>59340</v>
      </c>
      <c r="B167" s="799" t="s">
        <v>102</v>
      </c>
      <c r="C167" s="842">
        <f>+IFERROR(VLOOKUP($A167,'2010_IS'!$A:$AE,31,FALSE),0)</f>
        <v>192945.54000000004</v>
      </c>
      <c r="D167" s="847"/>
      <c r="E167" s="844">
        <f>SUM(C167:D167)</f>
        <v>192945.54000000004</v>
      </c>
      <c r="F167" s="845"/>
      <c r="G167" s="847"/>
      <c r="H167" s="844">
        <f>C167+D167+G167</f>
        <v>192945.54000000004</v>
      </c>
      <c r="I167" s="844"/>
      <c r="J167" s="842">
        <f>H167*Ratios!$C$20</f>
        <v>65659.697129122243</v>
      </c>
      <c r="K167" s="842">
        <f>+H167*Ratios!$D$20</f>
        <v>127285.84287087782</v>
      </c>
      <c r="L167" s="846" t="s">
        <v>30</v>
      </c>
      <c r="M167" s="800">
        <f t="shared" ref="M167:M169" si="117">H167-J167-K167</f>
        <v>0</v>
      </c>
      <c r="N167" s="842">
        <f t="shared" ref="N167:N169" si="118">J167</f>
        <v>65659.697129122243</v>
      </c>
      <c r="O167" s="805"/>
      <c r="P167" s="805"/>
      <c r="Q167" s="805"/>
      <c r="R167" s="805"/>
      <c r="S167" s="805"/>
    </row>
    <row r="168" spans="1:19">
      <c r="A168" s="867">
        <v>59341</v>
      </c>
      <c r="B168" s="799" t="s">
        <v>103</v>
      </c>
      <c r="C168" s="842">
        <f>+IFERROR(VLOOKUP($A168,'2010_IS'!$A:$AE,31,FALSE),0)</f>
        <v>57096.28</v>
      </c>
      <c r="D168" s="847"/>
      <c r="E168" s="844">
        <f>SUM(C168:D168)</f>
        <v>57096.28</v>
      </c>
      <c r="F168" s="845"/>
      <c r="G168" s="847"/>
      <c r="H168" s="844">
        <f>C168+D168+G168</f>
        <v>57096.28</v>
      </c>
      <c r="I168" s="844"/>
      <c r="J168" s="842">
        <f>H168*Ratios!$C$20</f>
        <v>19429.961697998089</v>
      </c>
      <c r="K168" s="842">
        <f>+H168*Ratios!$D$20</f>
        <v>37666.318302001913</v>
      </c>
      <c r="L168" s="846" t="s">
        <v>30</v>
      </c>
      <c r="M168" s="800">
        <f t="shared" si="117"/>
        <v>0</v>
      </c>
      <c r="N168" s="842">
        <f t="shared" si="118"/>
        <v>19429.961697998089</v>
      </c>
      <c r="O168" s="805"/>
      <c r="P168" s="805"/>
      <c r="Q168" s="805"/>
      <c r="R168" s="805"/>
      <c r="S168" s="805"/>
    </row>
    <row r="169" spans="1:19">
      <c r="A169" s="867">
        <v>59342</v>
      </c>
      <c r="B169" s="799" t="s">
        <v>104</v>
      </c>
      <c r="C169" s="842">
        <f>+IFERROR(VLOOKUP($A169,'2010_IS'!$A:$AE,31,FALSE),0)</f>
        <v>161247.76000000004</v>
      </c>
      <c r="D169" s="847"/>
      <c r="E169" s="844">
        <f>SUM(C169:D169)</f>
        <v>161247.76000000004</v>
      </c>
      <c r="F169" s="845"/>
      <c r="G169" s="847"/>
      <c r="H169" s="844">
        <f>C169+D169+G169</f>
        <v>161247.76000000004</v>
      </c>
      <c r="I169" s="844"/>
      <c r="J169" s="842">
        <f>H169*Ratios!$C$20</f>
        <v>54872.888403377408</v>
      </c>
      <c r="K169" s="842">
        <f>+H169*Ratios!$D$20</f>
        <v>106374.87159662264</v>
      </c>
      <c r="L169" s="846" t="s">
        <v>30</v>
      </c>
      <c r="M169" s="800">
        <f t="shared" si="117"/>
        <v>0</v>
      </c>
      <c r="N169" s="842">
        <f t="shared" si="118"/>
        <v>54872.888403377408</v>
      </c>
      <c r="O169" s="805"/>
      <c r="P169" s="805"/>
      <c r="Q169" s="805"/>
      <c r="R169" s="805"/>
      <c r="S169" s="805"/>
    </row>
    <row r="170" spans="1:19">
      <c r="A170" s="886">
        <v>45300</v>
      </c>
      <c r="B170" s="794" t="s">
        <v>101</v>
      </c>
      <c r="C170" s="848">
        <f>SUM(C167:C169)</f>
        <v>411289.58000000007</v>
      </c>
      <c r="D170" s="848">
        <f>SUM(D167:D169)</f>
        <v>0</v>
      </c>
      <c r="E170" s="848">
        <f>SUM(E167:E169)</f>
        <v>411289.58000000007</v>
      </c>
      <c r="F170" s="849"/>
      <c r="G170" s="848">
        <f>SUM(G167:G169)</f>
        <v>0</v>
      </c>
      <c r="H170" s="848">
        <f>SUM(H167:H169)</f>
        <v>411289.58000000007</v>
      </c>
      <c r="I170" s="848"/>
      <c r="J170" s="848">
        <f>SUM(J167:J169)</f>
        <v>139962.54723049776</v>
      </c>
      <c r="K170" s="848">
        <f>SUM(K167:K169)</f>
        <v>271327.03276950237</v>
      </c>
      <c r="L170" s="850"/>
      <c r="M170" s="850"/>
      <c r="N170" s="848">
        <f>SUM(N167:N169)</f>
        <v>139962.54723049776</v>
      </c>
    </row>
    <row r="171" spans="1:19">
      <c r="A171" s="886"/>
      <c r="B171" s="794"/>
      <c r="C171" s="864"/>
      <c r="D171" s="864"/>
      <c r="E171" s="864"/>
      <c r="F171" s="865"/>
      <c r="G171" s="864"/>
      <c r="H171" s="864"/>
      <c r="I171" s="864"/>
      <c r="J171" s="864"/>
      <c r="K171" s="864"/>
      <c r="L171" s="795"/>
      <c r="M171" s="795"/>
      <c r="N171" s="864"/>
    </row>
    <row r="172" spans="1:19">
      <c r="A172" s="866">
        <v>45400</v>
      </c>
      <c r="B172" s="855" t="s">
        <v>105</v>
      </c>
      <c r="C172" s="857"/>
      <c r="D172" s="858"/>
      <c r="E172" s="858"/>
      <c r="F172" s="859"/>
      <c r="G172" s="858"/>
      <c r="H172" s="858"/>
      <c r="I172" s="858"/>
      <c r="J172" s="857"/>
      <c r="K172" s="857"/>
      <c r="L172" s="860"/>
      <c r="M172" s="860"/>
      <c r="N172" s="857"/>
    </row>
    <row r="173" spans="1:19">
      <c r="A173" s="867">
        <v>59343</v>
      </c>
      <c r="B173" s="799" t="s">
        <v>106</v>
      </c>
      <c r="C173" s="842">
        <f>+IFERROR(VLOOKUP($A173,'2010_IS'!$A:$AE,31,FALSE),0)</f>
        <v>74438</v>
      </c>
      <c r="D173" s="847"/>
      <c r="E173" s="844">
        <f>SUM(C173:D173)</f>
        <v>74438</v>
      </c>
      <c r="F173" s="845"/>
      <c r="G173" s="847"/>
      <c r="H173" s="844">
        <f>C173+D173+G173</f>
        <v>74438</v>
      </c>
      <c r="I173" s="844"/>
      <c r="J173" s="842">
        <f>H173*Ratios!$C$20</f>
        <v>25331.378662070136</v>
      </c>
      <c r="K173" s="842">
        <f>+H173*Ratios!$D$20</f>
        <v>49106.621337929872</v>
      </c>
      <c r="L173" s="846" t="s">
        <v>30</v>
      </c>
      <c r="M173" s="800">
        <f t="shared" ref="M173:M176" si="119">H173-J173-K173</f>
        <v>0</v>
      </c>
      <c r="N173" s="842">
        <f t="shared" ref="N173:N176" si="120">J173</f>
        <v>25331.378662070136</v>
      </c>
      <c r="O173" s="805"/>
      <c r="P173" s="805"/>
      <c r="Q173" s="805"/>
      <c r="R173" s="805"/>
      <c r="S173" s="805"/>
    </row>
    <row r="174" spans="1:19">
      <c r="A174" s="867">
        <v>59344</v>
      </c>
      <c r="B174" s="799" t="s">
        <v>107</v>
      </c>
      <c r="C174" s="842">
        <f>+IFERROR(VLOOKUP($A174,'2010_IS'!$A:$AE,31,FALSE),0)</f>
        <v>-35994.160000000003</v>
      </c>
      <c r="D174" s="882">
        <f>-C174</f>
        <v>35994.160000000003</v>
      </c>
      <c r="E174" s="844">
        <f>SUM(C174:D174)</f>
        <v>0</v>
      </c>
      <c r="F174" s="888" t="s">
        <v>173</v>
      </c>
      <c r="G174" s="847"/>
      <c r="H174" s="844">
        <f>C174+D174+G174</f>
        <v>0</v>
      </c>
      <c r="I174" s="844"/>
      <c r="J174" s="842">
        <f>H174*Ratios!$C$20</f>
        <v>0</v>
      </c>
      <c r="K174" s="842">
        <f>+H174*Ratios!$D$20</f>
        <v>0</v>
      </c>
      <c r="L174" s="846" t="s">
        <v>30</v>
      </c>
      <c r="M174" s="800">
        <f t="shared" si="119"/>
        <v>0</v>
      </c>
      <c r="N174" s="842">
        <f t="shared" si="120"/>
        <v>0</v>
      </c>
      <c r="O174" s="805"/>
      <c r="P174" s="805"/>
      <c r="Q174" s="805"/>
      <c r="R174" s="805"/>
      <c r="S174" s="805"/>
    </row>
    <row r="175" spans="1:19">
      <c r="A175" s="867">
        <v>59500</v>
      </c>
      <c r="B175" s="799" t="s">
        <v>109</v>
      </c>
      <c r="C175" s="842">
        <f>+IFERROR(VLOOKUP($A175,'2010_IS'!$A:$AE,31,FALSE),0)</f>
        <v>45679.24</v>
      </c>
      <c r="D175" s="847"/>
      <c r="E175" s="844">
        <f>SUM(C175:D175)</f>
        <v>45679.24</v>
      </c>
      <c r="F175" s="845"/>
      <c r="G175" s="847"/>
      <c r="H175" s="844">
        <f>C175+D175+G175</f>
        <v>45679.24</v>
      </c>
      <c r="I175" s="844"/>
      <c r="J175" s="842">
        <f>H175*Ratios!$C$20</f>
        <v>15544.72346698703</v>
      </c>
      <c r="K175" s="842">
        <f>+H175*Ratios!$D$20</f>
        <v>30134.516533012971</v>
      </c>
      <c r="L175" s="846" t="s">
        <v>30</v>
      </c>
      <c r="M175" s="800">
        <f t="shared" si="119"/>
        <v>0</v>
      </c>
      <c r="N175" s="842">
        <f t="shared" si="120"/>
        <v>15544.72346698703</v>
      </c>
      <c r="O175" s="805"/>
      <c r="P175" s="805"/>
      <c r="Q175" s="805"/>
      <c r="R175" s="805"/>
      <c r="S175" s="805"/>
    </row>
    <row r="176" spans="1:19">
      <c r="A176" s="836">
        <v>57370</v>
      </c>
      <c r="B176" s="799" t="s">
        <v>110</v>
      </c>
      <c r="C176" s="842">
        <f>+IFERROR(VLOOKUP($A176,'2010_IS'!$A:$AE,31,FALSE),0)</f>
        <v>35288.270000000004</v>
      </c>
      <c r="D176" s="847"/>
      <c r="E176" s="844">
        <f>SUM(C176:D176)</f>
        <v>35288.270000000004</v>
      </c>
      <c r="F176" s="845"/>
      <c r="G176" s="847"/>
      <c r="H176" s="844">
        <f>C176+D176+G176</f>
        <v>35288.270000000004</v>
      </c>
      <c r="I176" s="844"/>
      <c r="J176" s="842">
        <f>H176*Ratios!$C$20</f>
        <v>12008.658611184743</v>
      </c>
      <c r="K176" s="842">
        <f>+H176*Ratios!$D$20</f>
        <v>23279.611388815265</v>
      </c>
      <c r="L176" s="846" t="s">
        <v>30</v>
      </c>
      <c r="M176" s="800">
        <f t="shared" si="119"/>
        <v>0</v>
      </c>
      <c r="N176" s="842">
        <f t="shared" si="120"/>
        <v>12008.658611184743</v>
      </c>
      <c r="O176" s="805"/>
      <c r="P176" s="805"/>
      <c r="Q176" s="805"/>
      <c r="R176" s="805"/>
      <c r="S176" s="805"/>
    </row>
    <row r="177" spans="1:19">
      <c r="A177" s="869">
        <v>45400</v>
      </c>
      <c r="B177" s="794" t="s">
        <v>105</v>
      </c>
      <c r="C177" s="848">
        <f>SUM(C173:C176)</f>
        <v>119411.34999999999</v>
      </c>
      <c r="D177" s="848">
        <f>SUM(D173:D176)</f>
        <v>35994.160000000003</v>
      </c>
      <c r="E177" s="848">
        <f>SUM(E173:E176)</f>
        <v>155405.51</v>
      </c>
      <c r="F177" s="849"/>
      <c r="G177" s="848">
        <f>SUM(G173:G176)</f>
        <v>0</v>
      </c>
      <c r="H177" s="848">
        <f>SUM(H173:H176)</f>
        <v>155405.51</v>
      </c>
      <c r="I177" s="848"/>
      <c r="J177" s="848">
        <f t="shared" ref="J177:K177" si="121">SUM(J173:J176)</f>
        <v>52884.760740241909</v>
      </c>
      <c r="K177" s="848">
        <f t="shared" si="121"/>
        <v>102520.7492597581</v>
      </c>
      <c r="L177" s="850"/>
      <c r="M177" s="850"/>
      <c r="N177" s="848">
        <f>SUM(N173:N176)</f>
        <v>52884.760740241909</v>
      </c>
    </row>
    <row r="178" spans="1:19">
      <c r="A178" s="869"/>
      <c r="B178" s="794"/>
      <c r="C178" s="864"/>
      <c r="D178" s="864"/>
      <c r="E178" s="864"/>
      <c r="F178" s="865"/>
      <c r="G178" s="864"/>
      <c r="H178" s="864"/>
      <c r="I178" s="864"/>
      <c r="J178" s="864"/>
      <c r="K178" s="864"/>
      <c r="L178" s="795"/>
      <c r="M178" s="795"/>
      <c r="N178" s="864"/>
    </row>
    <row r="179" spans="1:19">
      <c r="A179" s="866">
        <v>46130</v>
      </c>
      <c r="B179" s="855" t="s">
        <v>111</v>
      </c>
      <c r="C179" s="857"/>
      <c r="D179" s="858"/>
      <c r="E179" s="858"/>
      <c r="F179" s="859"/>
      <c r="G179" s="858"/>
      <c r="H179" s="858"/>
      <c r="I179" s="858"/>
      <c r="J179" s="857"/>
      <c r="K179" s="857"/>
      <c r="L179" s="860"/>
      <c r="M179" s="860"/>
      <c r="N179" s="857"/>
    </row>
    <row r="180" spans="1:19">
      <c r="A180" s="867">
        <v>70010</v>
      </c>
      <c r="B180" s="799" t="s">
        <v>33</v>
      </c>
      <c r="C180" s="842">
        <f>+IFERROR(VLOOKUP($A180,'2010_IS'!$A:$AE,31,FALSE),0)</f>
        <v>1580855.14</v>
      </c>
      <c r="D180" s="844">
        <f>'Restating Adj''s'!C55-D181-'DivCon-DVP Alloc Out'!C25-D182</f>
        <v>-776263.12463133072</v>
      </c>
      <c r="E180" s="844">
        <f t="shared" ref="E180:E187" si="122">SUM(C180:D180)</f>
        <v>804592.01536866918</v>
      </c>
      <c r="F180" s="888" t="s">
        <v>90</v>
      </c>
      <c r="G180" s="844">
        <f>'Pro-forma Adj''s'!B17</f>
        <v>41561.586019877257</v>
      </c>
      <c r="H180" s="844">
        <f t="shared" ref="H180:H187" si="123">C180+D180+G180</f>
        <v>846153.60138854641</v>
      </c>
      <c r="I180" s="844"/>
      <c r="J180" s="842">
        <f>H180*Ratios!$C$44</f>
        <v>339992.41509618558</v>
      </c>
      <c r="K180" s="842">
        <f>+H180*Ratios!$D$44</f>
        <v>506161.18629236071</v>
      </c>
      <c r="L180" s="881" t="s">
        <v>134</v>
      </c>
      <c r="M180" s="800">
        <f t="shared" ref="M180:M187" si="124">H180-J180-K180</f>
        <v>0</v>
      </c>
      <c r="N180" s="842">
        <f t="shared" ref="N180:N187" si="125">J180</f>
        <v>339992.41509618558</v>
      </c>
      <c r="O180" s="805"/>
      <c r="P180" s="805"/>
      <c r="Q180" s="805"/>
      <c r="R180" s="805"/>
      <c r="S180" s="805"/>
    </row>
    <row r="181" spans="1:19">
      <c r="A181" s="867"/>
      <c r="B181" s="799" t="s">
        <v>2118</v>
      </c>
      <c r="C181" s="842">
        <v>0</v>
      </c>
      <c r="D181" s="844">
        <f>-'Restating Adj''s'!B53</f>
        <v>262923.91019999998</v>
      </c>
      <c r="E181" s="844">
        <f t="shared" si="122"/>
        <v>262923.91019999998</v>
      </c>
      <c r="F181" s="888" t="s">
        <v>90</v>
      </c>
      <c r="G181" s="844"/>
      <c r="H181" s="844">
        <f t="shared" ref="H181" si="126">C181+D181+G181</f>
        <v>262923.91019999998</v>
      </c>
      <c r="I181" s="844"/>
      <c r="J181" s="842">
        <v>0</v>
      </c>
      <c r="K181" s="842">
        <f>H181</f>
        <v>262923.91019999998</v>
      </c>
      <c r="L181" s="881" t="s">
        <v>17</v>
      </c>
      <c r="M181" s="800">
        <f t="shared" ref="M181" si="127">H181-J181-K181</f>
        <v>0</v>
      </c>
      <c r="N181" s="842">
        <f t="shared" ref="N181" si="128">J181</f>
        <v>0</v>
      </c>
      <c r="O181" s="805"/>
      <c r="P181" s="805"/>
      <c r="Q181" s="805"/>
      <c r="R181" s="805"/>
      <c r="S181" s="805"/>
    </row>
    <row r="182" spans="1:19">
      <c r="A182" s="867"/>
      <c r="B182" s="799" t="s">
        <v>2990</v>
      </c>
      <c r="C182" s="842">
        <v>0</v>
      </c>
      <c r="D182" s="844">
        <f>-'Restating Adj''s'!B54</f>
        <v>331156.95979999995</v>
      </c>
      <c r="E182" s="844">
        <f t="shared" ref="E182" si="129">SUM(C182:D182)</f>
        <v>331156.95979999995</v>
      </c>
      <c r="F182" s="888" t="s">
        <v>117</v>
      </c>
      <c r="G182" s="844"/>
      <c r="H182" s="844">
        <f t="shared" ref="H182" si="130">C182+D182+G182</f>
        <v>331156.95979999995</v>
      </c>
      <c r="I182" s="844"/>
      <c r="J182" s="842">
        <f>+H182*Ratios!$C$65</f>
        <v>176907.95203063139</v>
      </c>
      <c r="K182" s="842">
        <f>+H182*Ratios!$D$65</f>
        <v>154249.00776936856</v>
      </c>
      <c r="L182" s="846" t="s">
        <v>98</v>
      </c>
      <c r="M182" s="800">
        <f t="shared" ref="M182" si="131">H182-J182-K182</f>
        <v>0</v>
      </c>
      <c r="N182" s="842">
        <f t="shared" ref="N182" si="132">J182</f>
        <v>176907.95203063139</v>
      </c>
      <c r="O182" s="805"/>
      <c r="P182" s="805"/>
      <c r="Q182" s="805"/>
      <c r="R182" s="805"/>
      <c r="S182" s="805"/>
    </row>
    <row r="183" spans="1:19">
      <c r="A183" s="867">
        <v>70020</v>
      </c>
      <c r="B183" s="799" t="s">
        <v>42</v>
      </c>
      <c r="C183" s="842">
        <f>+IFERROR(VLOOKUP($A183,'2010_IS'!$A:$AE,31,FALSE),0)</f>
        <v>1313239.4000000001</v>
      </c>
      <c r="D183" s="844"/>
      <c r="E183" s="844">
        <f t="shared" si="122"/>
        <v>1313239.4000000001</v>
      </c>
      <c r="F183" s="845"/>
      <c r="G183" s="844"/>
      <c r="H183" s="844">
        <f t="shared" si="123"/>
        <v>1313239.4000000001</v>
      </c>
      <c r="I183" s="844"/>
      <c r="J183" s="842">
        <f>H183*Ratios!$C$44</f>
        <v>527671.84879053745</v>
      </c>
      <c r="K183" s="842">
        <f>+H183*Ratios!$D$44</f>
        <v>785567.55120946257</v>
      </c>
      <c r="L183" s="881" t="s">
        <v>134</v>
      </c>
      <c r="M183" s="800">
        <f t="shared" si="124"/>
        <v>0</v>
      </c>
      <c r="N183" s="842">
        <f t="shared" si="125"/>
        <v>527671.84879053745</v>
      </c>
      <c r="O183" s="805"/>
      <c r="P183" s="805"/>
      <c r="Q183" s="805"/>
      <c r="R183" s="805"/>
      <c r="S183" s="805"/>
    </row>
    <row r="184" spans="1:19">
      <c r="A184" s="867">
        <v>70025</v>
      </c>
      <c r="B184" s="799" t="s">
        <v>74</v>
      </c>
      <c r="C184" s="842">
        <f>+IFERROR(VLOOKUP($A184,'2010_IS'!$A:$AE,31,FALSE),0)</f>
        <v>97757.919999999984</v>
      </c>
      <c r="D184" s="847"/>
      <c r="E184" s="844">
        <f t="shared" si="122"/>
        <v>97757.919999999984</v>
      </c>
      <c r="F184" s="845"/>
      <c r="G184" s="847"/>
      <c r="H184" s="844">
        <f t="shared" si="123"/>
        <v>97757.919999999984</v>
      </c>
      <c r="I184" s="844"/>
      <c r="J184" s="842">
        <f>H184*Ratios!$C$44</f>
        <v>39280.044735421012</v>
      </c>
      <c r="K184" s="842">
        <f>+H184*Ratios!$D$44</f>
        <v>58477.875264578965</v>
      </c>
      <c r="L184" s="881" t="s">
        <v>134</v>
      </c>
      <c r="M184" s="800">
        <f t="shared" si="124"/>
        <v>0</v>
      </c>
      <c r="N184" s="842">
        <f t="shared" si="125"/>
        <v>39280.044735421012</v>
      </c>
      <c r="O184" s="805"/>
      <c r="P184" s="805"/>
      <c r="Q184" s="805"/>
      <c r="R184" s="805"/>
      <c r="S184" s="805"/>
    </row>
    <row r="185" spans="1:19">
      <c r="A185" s="867">
        <v>70036</v>
      </c>
      <c r="B185" s="799" t="s">
        <v>38</v>
      </c>
      <c r="C185" s="842">
        <f>+IFERROR(VLOOKUP($A185,'2010_IS'!$A:$AE,31,FALSE),0)</f>
        <v>37224.39</v>
      </c>
      <c r="D185" s="847"/>
      <c r="E185" s="844">
        <f t="shared" si="122"/>
        <v>37224.39</v>
      </c>
      <c r="F185" s="845"/>
      <c r="G185" s="847"/>
      <c r="H185" s="844">
        <f t="shared" si="123"/>
        <v>37224.39</v>
      </c>
      <c r="I185" s="844"/>
      <c r="J185" s="842">
        <f>H185*Ratios!$C$44</f>
        <v>14957.107357120105</v>
      </c>
      <c r="K185" s="842">
        <f>+H185*Ratios!$D$44</f>
        <v>22267.282642879891</v>
      </c>
      <c r="L185" s="881" t="s">
        <v>134</v>
      </c>
      <c r="M185" s="800">
        <f t="shared" si="124"/>
        <v>0</v>
      </c>
      <c r="N185" s="842">
        <f t="shared" si="125"/>
        <v>14957.107357120105</v>
      </c>
      <c r="O185" s="805"/>
      <c r="P185" s="805"/>
      <c r="Q185" s="805"/>
      <c r="R185" s="805"/>
      <c r="S185" s="805"/>
    </row>
    <row r="186" spans="1:19">
      <c r="A186" s="867">
        <v>70065</v>
      </c>
      <c r="B186" s="799" t="s">
        <v>112</v>
      </c>
      <c r="C186" s="842">
        <f>+IFERROR(VLOOKUP($A186,'2010_IS'!$A:$AE,31,FALSE),0)</f>
        <v>135400.85</v>
      </c>
      <c r="D186" s="847"/>
      <c r="E186" s="844">
        <f t="shared" si="122"/>
        <v>135400.85</v>
      </c>
      <c r="F186" s="845"/>
      <c r="G186" s="847"/>
      <c r="H186" s="844">
        <f t="shared" si="123"/>
        <v>135400.85</v>
      </c>
      <c r="I186" s="844"/>
      <c r="J186" s="842">
        <f>H186*Ratios!$C$44</f>
        <v>54405.325371223436</v>
      </c>
      <c r="K186" s="842">
        <f>+H186*Ratios!$D$44</f>
        <v>80995.524628776562</v>
      </c>
      <c r="L186" s="881" t="s">
        <v>134</v>
      </c>
      <c r="M186" s="800">
        <f t="shared" si="124"/>
        <v>0</v>
      </c>
      <c r="N186" s="842">
        <f t="shared" si="125"/>
        <v>54405.325371223436</v>
      </c>
      <c r="O186" s="805"/>
      <c r="P186" s="805"/>
      <c r="Q186" s="805"/>
      <c r="R186" s="805"/>
      <c r="S186" s="805"/>
    </row>
    <row r="187" spans="1:19">
      <c r="A187" s="836">
        <v>70070</v>
      </c>
      <c r="B187" s="799" t="s">
        <v>113</v>
      </c>
      <c r="C187" s="842">
        <f>+IFERROR(VLOOKUP($A187,'2010_IS'!$A:$AE,31,FALSE),0)</f>
        <v>32538.19</v>
      </c>
      <c r="D187" s="847"/>
      <c r="E187" s="844">
        <f t="shared" si="122"/>
        <v>32538.19</v>
      </c>
      <c r="F187" s="845"/>
      <c r="G187" s="847"/>
      <c r="H187" s="844">
        <f t="shared" si="123"/>
        <v>32538.19</v>
      </c>
      <c r="I187" s="844"/>
      <c r="J187" s="842">
        <f>H187*Ratios!$C$44</f>
        <v>13074.148455793951</v>
      </c>
      <c r="K187" s="842">
        <f>+H187*Ratios!$D$44</f>
        <v>19464.041544206044</v>
      </c>
      <c r="L187" s="881" t="s">
        <v>134</v>
      </c>
      <c r="M187" s="800">
        <f t="shared" si="124"/>
        <v>0</v>
      </c>
      <c r="N187" s="842">
        <f t="shared" si="125"/>
        <v>13074.148455793951</v>
      </c>
      <c r="O187" s="805"/>
      <c r="P187" s="805"/>
      <c r="Q187" s="805"/>
      <c r="R187" s="805"/>
      <c r="S187" s="805"/>
    </row>
    <row r="188" spans="1:19">
      <c r="A188" s="869">
        <v>46130</v>
      </c>
      <c r="B188" s="794" t="s">
        <v>114</v>
      </c>
      <c r="C188" s="848">
        <f>SUM(C180:C187)</f>
        <v>3197015.89</v>
      </c>
      <c r="D188" s="848">
        <f>SUM(D180:D187)</f>
        <v>-182182.25463133078</v>
      </c>
      <c r="E188" s="848">
        <f>SUM(E180:E187)</f>
        <v>3014833.6353686689</v>
      </c>
      <c r="F188" s="849"/>
      <c r="G188" s="848">
        <f>SUM(G180:G187)</f>
        <v>41561.586019877257</v>
      </c>
      <c r="H188" s="848">
        <f>SUM(H180:H187)</f>
        <v>3056395.2213885463</v>
      </c>
      <c r="I188" s="848"/>
      <c r="J188" s="848">
        <f>SUM(J180:J187)</f>
        <v>1166288.841836913</v>
      </c>
      <c r="K188" s="848">
        <f>SUM(K180:K187)</f>
        <v>1890106.3795516333</v>
      </c>
      <c r="L188" s="850"/>
      <c r="M188" s="850"/>
      <c r="N188" s="848">
        <f>SUM(N180:N187)</f>
        <v>1166288.841836913</v>
      </c>
    </row>
    <row r="189" spans="1:19">
      <c r="A189" s="869"/>
      <c r="B189" s="794"/>
      <c r="C189" s="864"/>
      <c r="D189" s="864"/>
      <c r="E189" s="864"/>
      <c r="F189" s="865"/>
      <c r="G189" s="864"/>
      <c r="H189" s="864"/>
      <c r="I189" s="864"/>
      <c r="J189" s="1115"/>
      <c r="K189" s="864"/>
      <c r="L189" s="795"/>
      <c r="M189" s="795"/>
      <c r="N189" s="864"/>
    </row>
    <row r="190" spans="1:19">
      <c r="A190" s="866">
        <v>70149</v>
      </c>
      <c r="B190" s="855" t="s">
        <v>115</v>
      </c>
      <c r="C190" s="857"/>
      <c r="D190" s="858"/>
      <c r="E190" s="858"/>
      <c r="F190" s="859"/>
      <c r="G190" s="858"/>
      <c r="H190" s="858"/>
      <c r="I190" s="858"/>
      <c r="J190" s="857"/>
      <c r="K190" s="857"/>
      <c r="L190" s="860"/>
      <c r="M190" s="860"/>
      <c r="N190" s="857"/>
    </row>
    <row r="191" spans="1:19">
      <c r="A191" s="836">
        <v>70149</v>
      </c>
      <c r="B191" s="799" t="s">
        <v>116</v>
      </c>
      <c r="C191" s="842">
        <f>+IFERROR(VLOOKUP($A191,'2010_IS'!$A:$AE,31,FALSE),0)</f>
        <v>1158236.73</v>
      </c>
      <c r="D191" s="843">
        <f>+'Restating Adj''s'!B66</f>
        <v>374110.74186185235</v>
      </c>
      <c r="E191" s="844">
        <f>SUM(C191:D191)</f>
        <v>1532347.4718618523</v>
      </c>
      <c r="F191" s="888" t="s">
        <v>117</v>
      </c>
      <c r="G191" s="844"/>
      <c r="H191" s="844">
        <f>C191+D191+G191</f>
        <v>1532347.4718618523</v>
      </c>
      <c r="I191" s="844"/>
      <c r="J191" s="842">
        <f>$H$191*J23</f>
        <v>469487.10980129609</v>
      </c>
      <c r="K191" s="842">
        <f>$H$191*K23</f>
        <v>1062860.362060556</v>
      </c>
      <c r="L191" s="799" t="s">
        <v>95</v>
      </c>
      <c r="M191" s="800">
        <f t="shared" ref="M191" si="133">H191-J191-K191</f>
        <v>0</v>
      </c>
      <c r="N191" s="842">
        <f t="shared" ref="N191" si="134">J191</f>
        <v>469487.10980129609</v>
      </c>
    </row>
    <row r="192" spans="1:19">
      <c r="A192" s="869">
        <v>46100</v>
      </c>
      <c r="B192" s="794" t="s">
        <v>115</v>
      </c>
      <c r="C192" s="848">
        <f>SUM(C191)</f>
        <v>1158236.73</v>
      </c>
      <c r="D192" s="848">
        <f>SUM(D191)</f>
        <v>374110.74186185235</v>
      </c>
      <c r="E192" s="848">
        <f>SUM(E191)</f>
        <v>1532347.4718618523</v>
      </c>
      <c r="F192" s="889"/>
      <c r="G192" s="848">
        <f>SUM(G191)</f>
        <v>0</v>
      </c>
      <c r="H192" s="848">
        <f>SUM(H191)</f>
        <v>1532347.4718618523</v>
      </c>
      <c r="I192" s="848"/>
      <c r="J192" s="848">
        <f>SUM(J191)</f>
        <v>469487.10980129609</v>
      </c>
      <c r="K192" s="848">
        <f>SUM(K191)</f>
        <v>1062860.362060556</v>
      </c>
      <c r="L192" s="890"/>
      <c r="M192" s="890"/>
      <c r="N192" s="848">
        <f>SUM(N191)</f>
        <v>469487.10980129609</v>
      </c>
    </row>
    <row r="193" spans="1:19">
      <c r="A193" s="869"/>
      <c r="B193" s="794"/>
      <c r="C193" s="864"/>
      <c r="D193" s="864"/>
      <c r="E193" s="864"/>
      <c r="F193" s="865"/>
      <c r="G193" s="864"/>
      <c r="H193" s="864"/>
      <c r="I193" s="864"/>
      <c r="J193" s="864"/>
      <c r="K193" s="864"/>
      <c r="L193" s="795"/>
      <c r="M193" s="795"/>
      <c r="N193" s="864"/>
    </row>
    <row r="194" spans="1:19">
      <c r="A194" s="866">
        <v>46200</v>
      </c>
      <c r="B194" s="855" t="s">
        <v>118</v>
      </c>
      <c r="C194" s="857"/>
      <c r="D194" s="858"/>
      <c r="E194" s="858"/>
      <c r="F194" s="859"/>
      <c r="G194" s="858"/>
      <c r="H194" s="858"/>
      <c r="I194" s="858"/>
      <c r="J194" s="857"/>
      <c r="K194" s="857"/>
      <c r="L194" s="860"/>
      <c r="M194" s="860"/>
      <c r="N194" s="857"/>
    </row>
    <row r="195" spans="1:19">
      <c r="A195" s="836">
        <v>52181</v>
      </c>
      <c r="B195" s="799" t="s">
        <v>68</v>
      </c>
      <c r="C195" s="842">
        <f>+IFERROR(VLOOKUP($A195,'2010_IS'!$A:$AE,31,FALSE),0)</f>
        <v>1244.54</v>
      </c>
      <c r="D195" s="847"/>
      <c r="E195" s="844">
        <f t="shared" ref="E195:E209" si="135">SUM(C195:D195)</f>
        <v>1244.54</v>
      </c>
      <c r="G195" s="847"/>
      <c r="H195" s="844">
        <f t="shared" ref="H195:H209" si="136">C195+D195+G195</f>
        <v>1244.54</v>
      </c>
      <c r="I195" s="847"/>
      <c r="J195" s="842">
        <f>H195*Ratios!$C$20</f>
        <v>423.51908971348996</v>
      </c>
      <c r="K195" s="842">
        <f>+H195*Ratios!$D$20</f>
        <v>821.02091028651012</v>
      </c>
      <c r="L195" s="881" t="s">
        <v>30</v>
      </c>
      <c r="M195" s="800">
        <f t="shared" ref="M195:M209" si="137">H195-J195-K195</f>
        <v>0</v>
      </c>
      <c r="N195" s="842">
        <f t="shared" ref="N195:N209" si="138">J195</f>
        <v>423.51908971348996</v>
      </c>
      <c r="O195" s="805"/>
      <c r="P195" s="805"/>
      <c r="Q195" s="805"/>
      <c r="R195" s="805"/>
      <c r="S195" s="805"/>
    </row>
    <row r="196" spans="1:19">
      <c r="A196" s="836">
        <v>52200</v>
      </c>
      <c r="B196" s="799" t="s">
        <v>119</v>
      </c>
      <c r="C196" s="842">
        <f>+IFERROR(VLOOKUP($A196,'2010_IS'!$A:$AE,31,FALSE),0)</f>
        <v>2006.48</v>
      </c>
      <c r="D196" s="847"/>
      <c r="E196" s="844">
        <f t="shared" si="135"/>
        <v>2006.48</v>
      </c>
      <c r="G196" s="847"/>
      <c r="H196" s="844">
        <f t="shared" si="136"/>
        <v>2006.48</v>
      </c>
      <c r="I196" s="847"/>
      <c r="J196" s="842">
        <f>H196*Ratios!$C$20</f>
        <v>682.80857435544328</v>
      </c>
      <c r="K196" s="842">
        <f>+H196*Ratios!$D$20</f>
        <v>1323.6714256445568</v>
      </c>
      <c r="L196" s="881" t="s">
        <v>30</v>
      </c>
      <c r="M196" s="800">
        <f t="shared" si="137"/>
        <v>0</v>
      </c>
      <c r="N196" s="842">
        <f t="shared" si="138"/>
        <v>682.80857435544328</v>
      </c>
      <c r="O196" s="805"/>
      <c r="P196" s="805"/>
      <c r="Q196" s="805"/>
      <c r="R196" s="805"/>
      <c r="S196" s="805"/>
    </row>
    <row r="197" spans="1:19">
      <c r="A197" s="836">
        <v>56210</v>
      </c>
      <c r="B197" s="799" t="s">
        <v>275</v>
      </c>
      <c r="C197" s="842">
        <f>+IFERROR(VLOOKUP($A197,'2010_IS'!$A:$AE,31,FALSE),0)</f>
        <v>8936</v>
      </c>
      <c r="D197" s="847"/>
      <c r="E197" s="844">
        <f t="shared" ref="E197" si="139">SUM(C197:D197)</f>
        <v>8936</v>
      </c>
      <c r="G197" s="847"/>
      <c r="H197" s="844">
        <f t="shared" ref="H197" si="140">C197+D197+G197</f>
        <v>8936</v>
      </c>
      <c r="I197" s="847"/>
      <c r="J197" s="842">
        <f>H197*Ratios!$C$20</f>
        <v>3040.936077329573</v>
      </c>
      <c r="K197" s="842">
        <f>+H197*Ratios!$D$20</f>
        <v>5895.0639226704279</v>
      </c>
      <c r="L197" s="881" t="s">
        <v>30</v>
      </c>
      <c r="M197" s="800">
        <f t="shared" ref="M197" si="141">H197-J197-K197</f>
        <v>0</v>
      </c>
      <c r="N197" s="842">
        <f t="shared" ref="N197" si="142">J197</f>
        <v>3040.936077329573</v>
      </c>
      <c r="O197" s="805"/>
      <c r="P197" s="805"/>
      <c r="Q197" s="805"/>
      <c r="R197" s="805"/>
      <c r="S197" s="805"/>
    </row>
    <row r="198" spans="1:19">
      <c r="A198" s="836">
        <v>57345</v>
      </c>
      <c r="B198" s="799" t="s">
        <v>121</v>
      </c>
      <c r="C198" s="842">
        <f>+IFERROR(VLOOKUP($A198,'2010_IS'!$A:$AE,31,FALSE),0)</f>
        <v>13016.210000000001</v>
      </c>
      <c r="D198" s="847"/>
      <c r="E198" s="844">
        <f t="shared" si="135"/>
        <v>13016.210000000001</v>
      </c>
      <c r="G198" s="847"/>
      <c r="H198" s="844">
        <f t="shared" si="136"/>
        <v>13016.210000000001</v>
      </c>
      <c r="I198" s="844"/>
      <c r="J198" s="842">
        <f>H198*Ratios!$C$20</f>
        <v>4429.438516013648</v>
      </c>
      <c r="K198" s="842">
        <f>+H198*Ratios!$D$20</f>
        <v>8586.7714839863547</v>
      </c>
      <c r="L198" s="881" t="s">
        <v>30</v>
      </c>
      <c r="M198" s="800">
        <f t="shared" si="137"/>
        <v>0</v>
      </c>
      <c r="N198" s="842">
        <f t="shared" si="138"/>
        <v>4429.438516013648</v>
      </c>
      <c r="O198" s="805"/>
      <c r="P198" s="805"/>
      <c r="Q198" s="805"/>
      <c r="R198" s="805"/>
      <c r="S198" s="805"/>
    </row>
    <row r="199" spans="1:19">
      <c r="A199" s="836">
        <v>57353</v>
      </c>
      <c r="B199" s="799" t="s">
        <v>122</v>
      </c>
      <c r="C199" s="842">
        <f>+IFERROR(VLOOKUP($A199,'2010_IS'!$A:$AE,31,FALSE),0)</f>
        <v>7502</v>
      </c>
      <c r="D199" s="847"/>
      <c r="E199" s="844">
        <f t="shared" si="135"/>
        <v>7502</v>
      </c>
      <c r="G199" s="847"/>
      <c r="H199" s="844">
        <f t="shared" si="136"/>
        <v>7502</v>
      </c>
      <c r="I199" s="844"/>
      <c r="J199" s="842">
        <f>H199*Ratios!$C$20</f>
        <v>2552.9434257079738</v>
      </c>
      <c r="K199" s="842">
        <f>+H199*Ratios!$D$20</f>
        <v>4949.0565742920271</v>
      </c>
      <c r="L199" s="881" t="s">
        <v>30</v>
      </c>
      <c r="M199" s="800">
        <f t="shared" si="137"/>
        <v>0</v>
      </c>
      <c r="N199" s="842">
        <f t="shared" si="138"/>
        <v>2552.9434257079738</v>
      </c>
      <c r="O199" s="805"/>
      <c r="P199" s="805"/>
      <c r="Q199" s="805"/>
      <c r="R199" s="805"/>
      <c r="S199" s="805"/>
    </row>
    <row r="200" spans="1:19">
      <c r="A200" s="836">
        <v>70171</v>
      </c>
      <c r="B200" s="799" t="s">
        <v>303</v>
      </c>
      <c r="C200" s="842">
        <f>+IFERROR(VLOOKUP($A200,'2010_IS'!$A:$AE,31,FALSE),0)</f>
        <v>4122.46</v>
      </c>
      <c r="D200" s="847"/>
      <c r="E200" s="844">
        <f t="shared" ref="E200" si="143">SUM(C200:D200)</f>
        <v>4122.46</v>
      </c>
      <c r="G200" s="847"/>
      <c r="H200" s="844">
        <f t="shared" ref="H200" si="144">C200+D200+G200</f>
        <v>4122.46</v>
      </c>
      <c r="I200" s="844"/>
      <c r="J200" s="842">
        <f>H200*Ratios!$C$44</f>
        <v>1656.4429073366507</v>
      </c>
      <c r="K200" s="842">
        <f>+H200*Ratios!$D$44</f>
        <v>2466.0170926633486</v>
      </c>
      <c r="L200" s="881" t="s">
        <v>134</v>
      </c>
      <c r="M200" s="800">
        <f t="shared" ref="M200" si="145">H200-J200-K200</f>
        <v>0</v>
      </c>
      <c r="N200" s="842">
        <f t="shared" ref="N200" si="146">J200</f>
        <v>1656.4429073366507</v>
      </c>
      <c r="O200" s="805"/>
      <c r="P200" s="805"/>
      <c r="Q200" s="805"/>
      <c r="R200" s="805"/>
      <c r="S200" s="805"/>
    </row>
    <row r="201" spans="1:19">
      <c r="A201" s="836">
        <v>70185</v>
      </c>
      <c r="B201" s="799" t="s">
        <v>120</v>
      </c>
      <c r="C201" s="842">
        <f>+IFERROR(VLOOKUP($A201,'2010_IS'!$A:$AE,31,FALSE),0)</f>
        <v>30387.700000000004</v>
      </c>
      <c r="D201" s="847"/>
      <c r="E201" s="844">
        <f t="shared" si="135"/>
        <v>30387.700000000004</v>
      </c>
      <c r="G201" s="847"/>
      <c r="H201" s="844">
        <f t="shared" si="136"/>
        <v>30387.700000000004</v>
      </c>
      <c r="I201" s="844"/>
      <c r="J201" s="842">
        <f>H201*Ratios!$C$44</f>
        <v>12210.061500966402</v>
      </c>
      <c r="K201" s="842">
        <f>+H201*Ratios!$D$44</f>
        <v>18177.638499033601</v>
      </c>
      <c r="L201" s="881" t="s">
        <v>134</v>
      </c>
      <c r="M201" s="800">
        <f t="shared" si="137"/>
        <v>0</v>
      </c>
      <c r="N201" s="842">
        <f t="shared" si="138"/>
        <v>12210.061500966402</v>
      </c>
      <c r="O201" s="805"/>
      <c r="P201" s="805"/>
      <c r="Q201" s="805"/>
      <c r="R201" s="805"/>
      <c r="S201" s="805"/>
    </row>
    <row r="202" spans="1:19">
      <c r="A202" s="836">
        <v>70190</v>
      </c>
      <c r="B202" s="799" t="s">
        <v>304</v>
      </c>
      <c r="C202" s="842">
        <f>+IFERROR(VLOOKUP($A202,'2010_IS'!$A:$AE,31,FALSE),0)</f>
        <v>5631.88</v>
      </c>
      <c r="D202" s="844">
        <f>-C202</f>
        <v>-5631.88</v>
      </c>
      <c r="E202" s="844">
        <f t="shared" ref="E202" si="147">SUM(C202:D202)</f>
        <v>0</v>
      </c>
      <c r="F202" s="888" t="s">
        <v>173</v>
      </c>
      <c r="G202" s="847"/>
      <c r="H202" s="844">
        <f t="shared" ref="H202" si="148">C202+D202+G202</f>
        <v>0</v>
      </c>
      <c r="I202" s="844"/>
      <c r="J202" s="842">
        <f>+H202*Ratios!$C$44</f>
        <v>0</v>
      </c>
      <c r="K202" s="842">
        <f>+H202*Ratios!$D$44</f>
        <v>0</v>
      </c>
      <c r="L202" s="881" t="s">
        <v>134</v>
      </c>
      <c r="M202" s="800">
        <f t="shared" ref="M202" si="149">H202-J202-K202</f>
        <v>0</v>
      </c>
      <c r="N202" s="842">
        <f t="shared" ref="N202" si="150">J202</f>
        <v>0</v>
      </c>
      <c r="O202" s="805"/>
      <c r="P202" s="805"/>
      <c r="Q202" s="805"/>
      <c r="R202" s="805"/>
      <c r="S202" s="805"/>
    </row>
    <row r="203" spans="1:19">
      <c r="A203" s="836">
        <v>70204</v>
      </c>
      <c r="B203" s="799" t="s">
        <v>307</v>
      </c>
      <c r="C203" s="842">
        <f>+IFERROR(VLOOKUP($A203,'2010_IS'!$A:$AE,31,FALSE),0)</f>
        <v>179.27</v>
      </c>
      <c r="D203" s="844">
        <f>-C203</f>
        <v>-179.27</v>
      </c>
      <c r="E203" s="844">
        <f t="shared" ref="E203" si="151">SUM(C203:D203)</f>
        <v>0</v>
      </c>
      <c r="F203" s="888" t="s">
        <v>173</v>
      </c>
      <c r="G203" s="847"/>
      <c r="H203" s="844">
        <f t="shared" ref="H203" si="152">C203+D203+G203</f>
        <v>0</v>
      </c>
      <c r="I203" s="844"/>
      <c r="J203" s="842">
        <f>+H203*Ratios!$C$65</f>
        <v>0</v>
      </c>
      <c r="K203" s="842">
        <f>+H203*Ratios!$D$65</f>
        <v>0</v>
      </c>
      <c r="L203" s="881" t="s">
        <v>98</v>
      </c>
      <c r="M203" s="800">
        <f t="shared" ref="M203" si="153">H203-J203-K203</f>
        <v>0</v>
      </c>
      <c r="N203" s="842">
        <f t="shared" ref="N203" si="154">J203</f>
        <v>0</v>
      </c>
      <c r="O203" s="805"/>
      <c r="P203" s="805"/>
      <c r="Q203" s="805"/>
      <c r="R203" s="805"/>
      <c r="S203" s="805"/>
    </row>
    <row r="204" spans="1:19">
      <c r="A204" s="867">
        <v>70210</v>
      </c>
      <c r="B204" s="799" t="s">
        <v>124</v>
      </c>
      <c r="C204" s="842">
        <f>+IFERROR(VLOOKUP($A204,'2010_IS'!$A:$AE,31,FALSE),0)</f>
        <v>118260.97999999998</v>
      </c>
      <c r="D204" s="847"/>
      <c r="E204" s="844">
        <f t="shared" si="135"/>
        <v>118260.97999999998</v>
      </c>
      <c r="G204" s="847"/>
      <c r="H204" s="844">
        <f t="shared" si="136"/>
        <v>118260.97999999998</v>
      </c>
      <c r="I204" s="844"/>
      <c r="J204" s="842">
        <f>H204*Ratios!$C$44</f>
        <v>47518.365620450284</v>
      </c>
      <c r="K204" s="842">
        <f>+H204*Ratios!$D$44</f>
        <v>70742.61437954969</v>
      </c>
      <c r="L204" s="881" t="s">
        <v>134</v>
      </c>
      <c r="M204" s="800">
        <f t="shared" si="137"/>
        <v>0</v>
      </c>
      <c r="N204" s="842">
        <f t="shared" si="138"/>
        <v>47518.365620450284</v>
      </c>
      <c r="O204" s="805"/>
      <c r="P204" s="805"/>
      <c r="Q204" s="805"/>
      <c r="R204" s="805"/>
      <c r="S204" s="805"/>
    </row>
    <row r="205" spans="1:19">
      <c r="A205" s="836">
        <v>70245</v>
      </c>
      <c r="B205" s="799" t="s">
        <v>126</v>
      </c>
      <c r="C205" s="842">
        <f>+IFERROR(VLOOKUP($A205,'2010_IS'!$A:$AE,31,FALSE),0)</f>
        <v>4648.5</v>
      </c>
      <c r="D205" s="847"/>
      <c r="E205" s="844">
        <f t="shared" si="135"/>
        <v>4648.5</v>
      </c>
      <c r="G205" s="847"/>
      <c r="H205" s="844">
        <f t="shared" si="136"/>
        <v>4648.5</v>
      </c>
      <c r="I205" s="844"/>
      <c r="J205" s="842">
        <f>H205*Ratios!$C$20</f>
        <v>1581.8924972545344</v>
      </c>
      <c r="K205" s="842">
        <f>+H205*Ratios!$D$20</f>
        <v>3066.6075027454663</v>
      </c>
      <c r="L205" s="881" t="s">
        <v>30</v>
      </c>
      <c r="M205" s="800">
        <f t="shared" si="137"/>
        <v>0</v>
      </c>
      <c r="N205" s="842">
        <f t="shared" si="138"/>
        <v>1581.8924972545344</v>
      </c>
      <c r="O205" s="805"/>
      <c r="P205" s="805"/>
      <c r="Q205" s="805"/>
      <c r="R205" s="805"/>
      <c r="S205" s="805"/>
    </row>
    <row r="206" spans="1:19">
      <c r="A206" s="880">
        <v>70300</v>
      </c>
      <c r="B206" s="881" t="s">
        <v>127</v>
      </c>
      <c r="C206" s="842">
        <f>+IFERROR(VLOOKUP($A206,'2010_IS'!$A:$AE,31,FALSE),0)</f>
        <v>347219.38</v>
      </c>
      <c r="D206" s="847"/>
      <c r="E206" s="844">
        <f t="shared" si="135"/>
        <v>347219.38</v>
      </c>
      <c r="G206" s="847"/>
      <c r="H206" s="844">
        <f t="shared" si="136"/>
        <v>347219.38</v>
      </c>
      <c r="I206" s="844"/>
      <c r="J206" s="842">
        <f>+H206*Ratios!$C$65</f>
        <v>185488.68626600303</v>
      </c>
      <c r="K206" s="842">
        <f>+H206*Ratios!$D$65</f>
        <v>161730.69373399697</v>
      </c>
      <c r="L206" s="881" t="s">
        <v>98</v>
      </c>
      <c r="M206" s="800">
        <f t="shared" si="137"/>
        <v>0</v>
      </c>
      <c r="N206" s="842">
        <f t="shared" si="138"/>
        <v>185488.68626600303</v>
      </c>
      <c r="O206" s="805"/>
      <c r="P206" s="805"/>
      <c r="Q206" s="805"/>
      <c r="R206" s="805"/>
      <c r="S206" s="805"/>
    </row>
    <row r="207" spans="1:19">
      <c r="B207" s="799" t="s">
        <v>128</v>
      </c>
      <c r="C207" s="842">
        <f>+IFERROR(VLOOKUP($A207,'2010_IS'!$A:$AE,31,FALSE),0)</f>
        <v>0</v>
      </c>
      <c r="D207" s="847"/>
      <c r="E207" s="844">
        <f t="shared" si="135"/>
        <v>0</v>
      </c>
      <c r="G207" s="843">
        <f>'Pro-forma Adj''s'!D41</f>
        <v>20732.847239614912</v>
      </c>
      <c r="H207" s="844">
        <f t="shared" si="136"/>
        <v>20732.847239614912</v>
      </c>
      <c r="I207" s="844"/>
      <c r="J207" s="842">
        <f>H207</f>
        <v>20732.847239614912</v>
      </c>
      <c r="K207" s="842">
        <f>H207-J207</f>
        <v>0</v>
      </c>
      <c r="L207" s="881" t="s">
        <v>17</v>
      </c>
      <c r="M207" s="800">
        <f t="shared" si="137"/>
        <v>0</v>
      </c>
      <c r="N207" s="846">
        <f t="shared" si="138"/>
        <v>20732.847239614912</v>
      </c>
    </row>
    <row r="208" spans="1:19">
      <c r="A208" s="836">
        <v>70302</v>
      </c>
      <c r="B208" s="799" t="s">
        <v>129</v>
      </c>
      <c r="C208" s="842">
        <f>+IFERROR(VLOOKUP($A208,'2010_IS'!$A:$AE,31,FALSE),0)</f>
        <v>5498.57</v>
      </c>
      <c r="D208" s="847"/>
      <c r="E208" s="844">
        <f t="shared" si="135"/>
        <v>5498.57</v>
      </c>
      <c r="G208" s="847"/>
      <c r="H208" s="844">
        <f t="shared" si="136"/>
        <v>5498.57</v>
      </c>
      <c r="I208" s="844"/>
      <c r="J208" s="842">
        <f>H208*Ratios!$C$44</f>
        <v>2209.3767500458675</v>
      </c>
      <c r="K208" s="842">
        <f>+H208*Ratios!$D$44</f>
        <v>3289.1932499541313</v>
      </c>
      <c r="L208" s="881" t="s">
        <v>134</v>
      </c>
      <c r="M208" s="800">
        <f t="shared" si="137"/>
        <v>0</v>
      </c>
      <c r="N208" s="842">
        <f t="shared" si="138"/>
        <v>2209.3767500458675</v>
      </c>
      <c r="O208" s="805"/>
      <c r="P208" s="805"/>
      <c r="Q208" s="805"/>
      <c r="R208" s="805"/>
      <c r="S208" s="805"/>
    </row>
    <row r="209" spans="1:19">
      <c r="A209" s="836">
        <v>70320</v>
      </c>
      <c r="B209" s="799" t="s">
        <v>130</v>
      </c>
      <c r="C209" s="842">
        <f>+IFERROR(VLOOKUP($A209,'2010_IS'!$A:$AE,31,FALSE),0)</f>
        <v>54635.450000000004</v>
      </c>
      <c r="D209" s="847"/>
      <c r="E209" s="844">
        <f t="shared" si="135"/>
        <v>54635.450000000004</v>
      </c>
      <c r="G209" s="847"/>
      <c r="H209" s="844">
        <f t="shared" si="136"/>
        <v>54635.450000000004</v>
      </c>
      <c r="I209" s="844"/>
      <c r="J209" s="842">
        <f>H209*Ratios!$C$44</f>
        <v>21953.033781200116</v>
      </c>
      <c r="K209" s="842">
        <f>+H209*Ratios!$D$44</f>
        <v>32682.416218799885</v>
      </c>
      <c r="L209" s="881" t="s">
        <v>134</v>
      </c>
      <c r="M209" s="800">
        <f t="shared" si="137"/>
        <v>0</v>
      </c>
      <c r="N209" s="842">
        <f t="shared" si="138"/>
        <v>21953.033781200116</v>
      </c>
      <c r="O209" s="805"/>
      <c r="P209" s="805"/>
      <c r="Q209" s="805"/>
      <c r="R209" s="805"/>
      <c r="S209" s="805"/>
    </row>
    <row r="210" spans="1:19">
      <c r="A210" s="836">
        <v>70345</v>
      </c>
      <c r="B210" s="799" t="s">
        <v>121</v>
      </c>
      <c r="C210" s="842">
        <f>+IFERROR(VLOOKUP($A210,'2010_IS'!$A:$AE,31,FALSE),0)</f>
        <v>1368.58</v>
      </c>
      <c r="D210" s="847"/>
      <c r="E210" s="844">
        <f t="shared" ref="E210" si="155">SUM(C210:D210)</f>
        <v>1368.58</v>
      </c>
      <c r="G210" s="847"/>
      <c r="H210" s="844">
        <f t="shared" ref="H210" si="156">C210+D210+G210</f>
        <v>1368.58</v>
      </c>
      <c r="I210" s="844"/>
      <c r="J210" s="842">
        <f>H210*Ratios!$C$44</f>
        <v>549.90821842365801</v>
      </c>
      <c r="K210" s="842">
        <f>+H210*Ratios!$D$44</f>
        <v>818.67178157634169</v>
      </c>
      <c r="L210" s="881" t="s">
        <v>134</v>
      </c>
      <c r="M210" s="800">
        <f t="shared" ref="M210" si="157">H210-J210-K210</f>
        <v>0</v>
      </c>
      <c r="N210" s="842">
        <f t="shared" ref="N210" si="158">J210</f>
        <v>549.90821842365801</v>
      </c>
      <c r="O210" s="805"/>
      <c r="P210" s="805"/>
      <c r="Q210" s="805"/>
      <c r="R210" s="805"/>
      <c r="S210" s="805"/>
    </row>
    <row r="211" spans="1:19">
      <c r="A211" s="869">
        <v>46200</v>
      </c>
      <c r="B211" s="794" t="s">
        <v>131</v>
      </c>
      <c r="C211" s="848">
        <f>SUM(C195:C210)</f>
        <v>604657.99999999988</v>
      </c>
      <c r="D211" s="848">
        <f>SUM(D195:D210)</f>
        <v>-5811.1500000000005</v>
      </c>
      <c r="E211" s="848">
        <f>SUM(E195:E210)</f>
        <v>598846.84999999986</v>
      </c>
      <c r="F211" s="889"/>
      <c r="G211" s="848">
        <f>SUM(G195:G210)</f>
        <v>20732.847239614912</v>
      </c>
      <c r="H211" s="848">
        <f>SUM(H195:H210)</f>
        <v>619579.69723961479</v>
      </c>
      <c r="I211" s="848"/>
      <c r="J211" s="848">
        <f>SUM(J195:J210)</f>
        <v>305030.26046441559</v>
      </c>
      <c r="K211" s="848">
        <f>SUM(K195:K210)</f>
        <v>314549.43677519937</v>
      </c>
      <c r="L211" s="891"/>
      <c r="M211" s="891"/>
      <c r="N211" s="848">
        <f>SUM(N195:N210)</f>
        <v>305030.26046441559</v>
      </c>
    </row>
    <row r="212" spans="1:19">
      <c r="A212" s="892"/>
      <c r="B212" s="794"/>
      <c r="C212" s="864"/>
      <c r="D212" s="864"/>
      <c r="E212" s="864"/>
      <c r="F212" s="865"/>
      <c r="G212" s="864"/>
      <c r="H212" s="864"/>
      <c r="I212" s="864"/>
      <c r="J212" s="864"/>
      <c r="K212" s="864"/>
      <c r="L212" s="885"/>
      <c r="M212" s="885"/>
      <c r="N212" s="864"/>
    </row>
    <row r="213" spans="1:19">
      <c r="A213" s="866">
        <v>46300</v>
      </c>
      <c r="B213" s="855" t="s">
        <v>132</v>
      </c>
      <c r="C213" s="857"/>
      <c r="D213" s="858"/>
      <c r="E213" s="858"/>
      <c r="F213" s="859"/>
      <c r="G213" s="858"/>
      <c r="H213" s="858"/>
      <c r="I213" s="858"/>
      <c r="J213" s="857"/>
      <c r="K213" s="857"/>
      <c r="L213" s="860"/>
      <c r="M213" s="860"/>
      <c r="N213" s="857"/>
    </row>
    <row r="214" spans="1:19">
      <c r="A214" s="836">
        <v>70235</v>
      </c>
      <c r="B214" s="799" t="s">
        <v>133</v>
      </c>
      <c r="C214" s="842">
        <f>+IFERROR(VLOOKUP($A214,'2010_IS'!$A:$AE,31,FALSE),0)</f>
        <v>-1073.02</v>
      </c>
      <c r="D214" s="847"/>
      <c r="E214" s="844">
        <f>SUM(C214:D214)</f>
        <v>-1073.02</v>
      </c>
      <c r="G214" s="847"/>
      <c r="H214" s="844">
        <f>C214+D214+G214</f>
        <v>-1073.02</v>
      </c>
      <c r="I214" s="844"/>
      <c r="J214" s="842">
        <f>+H214*Ratios!$C$44</f>
        <v>-431.14945164546725</v>
      </c>
      <c r="K214" s="842">
        <f>+H214*Ratios!$D$44</f>
        <v>-641.87054835453262</v>
      </c>
      <c r="L214" s="881" t="s">
        <v>134</v>
      </c>
      <c r="M214" s="800">
        <f t="shared" ref="M214" si="159">H214-J214-K214</f>
        <v>0</v>
      </c>
      <c r="N214" s="842">
        <f t="shared" ref="N214" si="160">J214</f>
        <v>-431.14945164546725</v>
      </c>
      <c r="O214" s="805"/>
      <c r="P214" s="805"/>
      <c r="Q214" s="805"/>
      <c r="R214" s="805"/>
      <c r="S214" s="805"/>
    </row>
    <row r="215" spans="1:19">
      <c r="A215" s="869">
        <v>46300</v>
      </c>
      <c r="B215" s="794" t="s">
        <v>132</v>
      </c>
      <c r="C215" s="848">
        <f>SUM(C214)</f>
        <v>-1073.02</v>
      </c>
      <c r="D215" s="848">
        <f>SUM(D214)</f>
        <v>0</v>
      </c>
      <c r="E215" s="848">
        <f>SUM(E214)</f>
        <v>-1073.02</v>
      </c>
      <c r="F215" s="889"/>
      <c r="G215" s="848">
        <f>SUM(G214)</f>
        <v>0</v>
      </c>
      <c r="H215" s="848">
        <f>SUM(H214)</f>
        <v>-1073.02</v>
      </c>
      <c r="I215" s="848"/>
      <c r="J215" s="848">
        <f>SUM(J214)</f>
        <v>-431.14945164546725</v>
      </c>
      <c r="K215" s="848">
        <f>SUM(K214)</f>
        <v>-641.87054835453262</v>
      </c>
      <c r="L215" s="890"/>
      <c r="M215" s="890"/>
      <c r="N215" s="848">
        <f>SUM(N214)</f>
        <v>-431.14945164546725</v>
      </c>
    </row>
    <row r="216" spans="1:19">
      <c r="A216" s="869"/>
      <c r="B216" s="794"/>
      <c r="C216" s="864"/>
      <c r="D216" s="864"/>
      <c r="E216" s="864"/>
      <c r="F216" s="865"/>
      <c r="G216" s="864"/>
      <c r="H216" s="864"/>
      <c r="I216" s="864"/>
      <c r="J216" s="864"/>
      <c r="K216" s="864"/>
      <c r="L216" s="795"/>
      <c r="M216" s="795"/>
      <c r="N216" s="864"/>
    </row>
    <row r="217" spans="1:19">
      <c r="A217" s="866">
        <v>46400</v>
      </c>
      <c r="B217" s="855" t="s">
        <v>135</v>
      </c>
      <c r="C217" s="857"/>
      <c r="D217" s="858"/>
      <c r="E217" s="858"/>
      <c r="F217" s="859"/>
      <c r="G217" s="858"/>
      <c r="H217" s="858"/>
      <c r="I217" s="858"/>
      <c r="J217" s="857"/>
      <c r="K217" s="857"/>
      <c r="L217" s="860"/>
      <c r="M217" s="860"/>
      <c r="N217" s="857"/>
    </row>
    <row r="218" spans="1:19">
      <c r="A218" s="836">
        <v>52150</v>
      </c>
      <c r="B218" s="799" t="s">
        <v>135</v>
      </c>
      <c r="C218" s="842">
        <f>+IFERROR(VLOOKUP($A218,'2010_IS'!$A:$AE,31,FALSE),0)</f>
        <v>21187.71</v>
      </c>
      <c r="D218" s="847"/>
      <c r="E218" s="844">
        <f>SUM(C218:D218)</f>
        <v>21187.71</v>
      </c>
      <c r="G218" s="847"/>
      <c r="H218" s="844">
        <f>C218+D218+G218</f>
        <v>21187.71</v>
      </c>
      <c r="I218" s="844"/>
      <c r="J218" s="846">
        <f>H218*'Shop Exp'!$L$20</f>
        <v>6206.2287929092199</v>
      </c>
      <c r="K218" s="842">
        <f>H218-J218</f>
        <v>14981.481207090779</v>
      </c>
      <c r="L218" s="846" t="s">
        <v>1280</v>
      </c>
      <c r="M218" s="800">
        <f t="shared" ref="M218:M220" si="161">H218-J218-K218</f>
        <v>0</v>
      </c>
      <c r="N218" s="842">
        <f t="shared" ref="N218:N220" si="162">J218</f>
        <v>6206.2287929092199</v>
      </c>
      <c r="O218" s="805"/>
      <c r="P218" s="805"/>
      <c r="Q218" s="805"/>
      <c r="R218" s="805"/>
      <c r="S218" s="805"/>
    </row>
    <row r="219" spans="1:19">
      <c r="A219" s="836">
        <v>55150</v>
      </c>
      <c r="B219" s="799" t="s">
        <v>135</v>
      </c>
      <c r="C219" s="842">
        <f>+IFERROR(VLOOKUP($A219,'2010_IS'!$A:$AE,31,FALSE),0)</f>
        <v>9142.1999999999989</v>
      </c>
      <c r="D219" s="847"/>
      <c r="E219" s="844">
        <f>SUM(C219:D219)</f>
        <v>9142.1999999999989</v>
      </c>
      <c r="G219" s="847"/>
      <c r="H219" s="844">
        <f>C219+D219+G219</f>
        <v>9142.1999999999989</v>
      </c>
      <c r="I219" s="844"/>
      <c r="J219" s="842">
        <f>H219*Ratios!$F$28</f>
        <v>4444.8375948731809</v>
      </c>
      <c r="K219" s="842">
        <f>H219*Ratios!$G$28</f>
        <v>4697.3624051268198</v>
      </c>
      <c r="L219" s="881" t="s">
        <v>1430</v>
      </c>
      <c r="M219" s="800">
        <f t="shared" ref="M219" si="163">H219-J219-K219</f>
        <v>0</v>
      </c>
      <c r="N219" s="842">
        <f t="shared" ref="N219" si="164">J219</f>
        <v>4444.8375948731809</v>
      </c>
      <c r="O219" s="805"/>
      <c r="P219" s="805"/>
      <c r="Q219" s="805"/>
      <c r="R219" s="805"/>
      <c r="S219" s="805"/>
    </row>
    <row r="220" spans="1:19">
      <c r="A220" s="836">
        <v>57150</v>
      </c>
      <c r="B220" s="799" t="s">
        <v>135</v>
      </c>
      <c r="C220" s="842">
        <f>+IFERROR(VLOOKUP($A220,'2010_IS'!$A:$AE,31,FALSE),0)</f>
        <v>18374.710000000003</v>
      </c>
      <c r="D220" s="847"/>
      <c r="E220" s="844">
        <f>SUM(C220:D220)</f>
        <v>18374.710000000003</v>
      </c>
      <c r="G220" s="847"/>
      <c r="H220" s="844">
        <f>C220+D220+G220</f>
        <v>18374.710000000003</v>
      </c>
      <c r="I220" s="844"/>
      <c r="J220" s="842">
        <f>H220*Ratios!$C$20</f>
        <v>6252.9452271115133</v>
      </c>
      <c r="K220" s="842">
        <f>+H220*Ratios!$D$20</f>
        <v>12121.764772888491</v>
      </c>
      <c r="L220" s="881" t="s">
        <v>30</v>
      </c>
      <c r="M220" s="800">
        <f t="shared" si="161"/>
        <v>0</v>
      </c>
      <c r="N220" s="842">
        <f t="shared" si="162"/>
        <v>6252.9452271115133</v>
      </c>
      <c r="O220" s="805"/>
      <c r="P220" s="805"/>
      <c r="Q220" s="805"/>
      <c r="R220" s="805"/>
      <c r="S220" s="805"/>
    </row>
    <row r="221" spans="1:19">
      <c r="A221" s="869">
        <v>46400</v>
      </c>
      <c r="B221" s="794" t="s">
        <v>135</v>
      </c>
      <c r="C221" s="848">
        <f>SUM(C218:C220)</f>
        <v>48704.619999999995</v>
      </c>
      <c r="D221" s="848">
        <f>SUM(D218:D220)</f>
        <v>0</v>
      </c>
      <c r="E221" s="848">
        <f>SUM(E218:E220)</f>
        <v>48704.619999999995</v>
      </c>
      <c r="F221" s="889"/>
      <c r="G221" s="848">
        <f>SUM(G218:G220)</f>
        <v>0</v>
      </c>
      <c r="H221" s="848">
        <f>SUM(H218:H220)</f>
        <v>48704.619999999995</v>
      </c>
      <c r="I221" s="848"/>
      <c r="J221" s="848">
        <f>SUM(J218:J220)</f>
        <v>16904.011614893912</v>
      </c>
      <c r="K221" s="848">
        <f>SUM(K218:K220)</f>
        <v>31800.60838510609</v>
      </c>
      <c r="L221" s="890"/>
      <c r="M221" s="890"/>
      <c r="N221" s="848">
        <f>SUM(N218:N220)</f>
        <v>16904.011614893912</v>
      </c>
    </row>
    <row r="222" spans="1:19">
      <c r="A222" s="869"/>
      <c r="B222" s="794"/>
      <c r="C222" s="864"/>
      <c r="D222" s="864"/>
      <c r="E222" s="864"/>
      <c r="F222" s="865"/>
      <c r="G222" s="864"/>
      <c r="H222" s="864"/>
      <c r="I222" s="864"/>
      <c r="J222" s="864"/>
      <c r="K222" s="864"/>
      <c r="L222" s="795"/>
      <c r="M222" s="795"/>
      <c r="N222" s="864"/>
    </row>
    <row r="223" spans="1:19">
      <c r="A223" s="866">
        <v>46410</v>
      </c>
      <c r="B223" s="855" t="s">
        <v>136</v>
      </c>
      <c r="C223" s="857"/>
      <c r="D223" s="858"/>
      <c r="E223" s="858"/>
      <c r="F223" s="859"/>
      <c r="G223" s="858"/>
      <c r="H223" s="858"/>
      <c r="I223" s="858"/>
      <c r="J223" s="857"/>
      <c r="K223" s="857"/>
      <c r="L223" s="860"/>
      <c r="M223" s="860"/>
      <c r="N223" s="857"/>
    </row>
    <row r="224" spans="1:19">
      <c r="A224" s="836">
        <v>56165</v>
      </c>
      <c r="B224" s="799" t="s">
        <v>58</v>
      </c>
      <c r="C224" s="842">
        <f>+IFERROR(VLOOKUP($A224,'2010_IS'!$A:$AE,31,FALSE),0)</f>
        <v>12967.390000000001</v>
      </c>
      <c r="D224" s="847"/>
      <c r="E224" s="844">
        <f>SUM(C224:D224)</f>
        <v>12967.390000000001</v>
      </c>
      <c r="G224" s="847"/>
      <c r="H224" s="844">
        <f>C224+D224+G224</f>
        <v>12967.390000000001</v>
      </c>
      <c r="I224" s="844"/>
      <c r="J224" s="842">
        <f>H224*Ratios!$C$20</f>
        <v>4412.824986549097</v>
      </c>
      <c r="K224" s="842">
        <f>+H224*Ratios!$D$20</f>
        <v>8554.5650134509051</v>
      </c>
      <c r="L224" s="881" t="s">
        <v>30</v>
      </c>
      <c r="M224" s="800">
        <f t="shared" ref="M224" si="165">H224-J224-K224</f>
        <v>0</v>
      </c>
      <c r="N224" s="842">
        <f t="shared" ref="N224" si="166">J224</f>
        <v>4412.824986549097</v>
      </c>
    </row>
    <row r="225" spans="1:19">
      <c r="A225" s="836">
        <v>70165</v>
      </c>
      <c r="B225" s="799" t="s">
        <v>136</v>
      </c>
      <c r="C225" s="842">
        <f>+IFERROR(VLOOKUP($A225,'2010_IS'!$A:$AE,31,FALSE),0)</f>
        <v>59993.77</v>
      </c>
      <c r="D225" s="847"/>
      <c r="E225" s="844">
        <f>SUM(C225:D225)</f>
        <v>59993.77</v>
      </c>
      <c r="G225" s="847"/>
      <c r="H225" s="844">
        <f>C225+D225+G225</f>
        <v>59993.77</v>
      </c>
      <c r="I225" s="844"/>
      <c r="J225" s="842">
        <f>H225*Ratios!$C$44</f>
        <v>24106.056772142441</v>
      </c>
      <c r="K225" s="842">
        <f>+H225*Ratios!$D$44</f>
        <v>35887.713227857545</v>
      </c>
      <c r="L225" s="881" t="s">
        <v>134</v>
      </c>
      <c r="M225" s="800">
        <f t="shared" ref="M225" si="167">H225-J225-K225</f>
        <v>0</v>
      </c>
      <c r="N225" s="842">
        <f t="shared" ref="N225" si="168">J225</f>
        <v>24106.056772142441</v>
      </c>
      <c r="O225" s="805"/>
      <c r="P225" s="805"/>
      <c r="Q225" s="805"/>
      <c r="R225" s="805"/>
      <c r="S225" s="805"/>
    </row>
    <row r="226" spans="1:19">
      <c r="A226" s="869">
        <v>46410</v>
      </c>
      <c r="B226" s="794" t="s">
        <v>136</v>
      </c>
      <c r="C226" s="848">
        <f>SUM(C224:C225)</f>
        <v>72961.16</v>
      </c>
      <c r="D226" s="848">
        <f>SUM(D224:D225)</f>
        <v>0</v>
      </c>
      <c r="E226" s="848">
        <f>SUM(E224:E225)</f>
        <v>72961.16</v>
      </c>
      <c r="F226" s="889"/>
      <c r="G226" s="848">
        <f>SUM(G224:G225)</f>
        <v>0</v>
      </c>
      <c r="H226" s="848">
        <f>SUM(H224:H225)</f>
        <v>72961.16</v>
      </c>
      <c r="I226" s="848"/>
      <c r="J226" s="848">
        <f>SUM(J224:J225)</f>
        <v>28518.881758691539</v>
      </c>
      <c r="K226" s="848">
        <f>SUM(K224:K225)</f>
        <v>44442.27824130845</v>
      </c>
      <c r="L226" s="890"/>
      <c r="M226" s="890"/>
      <c r="N226" s="848">
        <f>SUM(N224:N225)</f>
        <v>28518.881758691539</v>
      </c>
    </row>
    <row r="227" spans="1:19">
      <c r="A227" s="869"/>
      <c r="B227" s="794"/>
      <c r="C227" s="864"/>
      <c r="D227" s="864"/>
      <c r="E227" s="864"/>
      <c r="F227" s="865"/>
      <c r="G227" s="864"/>
      <c r="H227" s="864"/>
      <c r="I227" s="864"/>
      <c r="J227" s="864"/>
      <c r="K227" s="864"/>
      <c r="L227" s="795"/>
      <c r="M227" s="795"/>
      <c r="N227" s="864"/>
    </row>
    <row r="228" spans="1:19">
      <c r="A228" s="866">
        <v>46500</v>
      </c>
      <c r="B228" s="855" t="s">
        <v>137</v>
      </c>
      <c r="C228" s="857"/>
      <c r="D228" s="858"/>
      <c r="E228" s="858"/>
      <c r="F228" s="859"/>
      <c r="G228" s="858"/>
      <c r="H228" s="858"/>
      <c r="I228" s="858"/>
      <c r="J228" s="857"/>
      <c r="K228" s="857"/>
      <c r="L228" s="860"/>
      <c r="M228" s="860"/>
      <c r="N228" s="857"/>
    </row>
    <row r="229" spans="1:19">
      <c r="A229" s="836">
        <v>50116</v>
      </c>
      <c r="B229" s="799" t="s">
        <v>266</v>
      </c>
      <c r="C229" s="842">
        <f>+IFERROR(VLOOKUP($A229,'2010_IS'!$A:$AE,31,FALSE),0)</f>
        <v>2076080.73</v>
      </c>
      <c r="D229" s="844"/>
      <c r="E229" s="844">
        <f t="shared" ref="E229:E236" si="169">SUM(C229:D229)</f>
        <v>2076080.73</v>
      </c>
      <c r="G229" s="847"/>
      <c r="H229" s="844">
        <f t="shared" ref="H229:H236" si="170">C229+D229+G229</f>
        <v>2076080.73</v>
      </c>
      <c r="I229" s="844"/>
      <c r="J229" s="842">
        <f>H229*Ratios!$C$20</f>
        <v>706493.8217665304</v>
      </c>
      <c r="K229" s="842">
        <f>+H229*Ratios!$D$20</f>
        <v>1369586.9082334698</v>
      </c>
      <c r="L229" s="881" t="s">
        <v>30</v>
      </c>
      <c r="M229" s="800">
        <f t="shared" ref="M229" si="171">H229-J229-K229</f>
        <v>0</v>
      </c>
      <c r="N229" s="842">
        <f t="shared" ref="N229" si="172">J229</f>
        <v>706493.8217665304</v>
      </c>
      <c r="O229" s="805"/>
      <c r="P229" s="805"/>
      <c r="Q229" s="805"/>
      <c r="R229" s="805"/>
      <c r="S229" s="805"/>
    </row>
    <row r="230" spans="1:19">
      <c r="A230" s="836">
        <v>50060</v>
      </c>
      <c r="B230" s="799" t="s">
        <v>138</v>
      </c>
      <c r="C230" s="842">
        <f>+IFERROR(VLOOKUP($A230,'2010_IS'!$A:$AE,31,FALSE),0)</f>
        <v>55739.609999999993</v>
      </c>
      <c r="D230" s="844"/>
      <c r="E230" s="844">
        <f t="shared" si="169"/>
        <v>55739.609999999993</v>
      </c>
      <c r="G230" s="847"/>
      <c r="H230" s="844">
        <f t="shared" si="170"/>
        <v>55739.609999999993</v>
      </c>
      <c r="I230" s="844"/>
      <c r="J230" s="842">
        <f>H230*Ratios!$C$20</f>
        <v>18968.284577582835</v>
      </c>
      <c r="K230" s="842">
        <f>+H230*Ratios!$D$20</f>
        <v>36771.325422417161</v>
      </c>
      <c r="L230" s="881" t="s">
        <v>30</v>
      </c>
      <c r="M230" s="800">
        <f t="shared" ref="M230:M236" si="173">H230-J230-K230</f>
        <v>0</v>
      </c>
      <c r="N230" s="842">
        <f t="shared" ref="N230:N236" si="174">J230</f>
        <v>18968.284577582835</v>
      </c>
      <c r="O230" s="805"/>
      <c r="P230" s="805"/>
      <c r="Q230" s="805"/>
      <c r="R230" s="805"/>
      <c r="S230" s="805"/>
    </row>
    <row r="231" spans="1:19">
      <c r="A231" s="836">
        <v>52116</v>
      </c>
      <c r="B231" s="799" t="s">
        <v>266</v>
      </c>
      <c r="C231" s="842">
        <f>+IFERROR(VLOOKUP($A231,'2010_IS'!$A:$AE,31,FALSE),0)</f>
        <v>216275.4</v>
      </c>
      <c r="D231" s="844"/>
      <c r="E231" s="844">
        <f t="shared" si="169"/>
        <v>216275.4</v>
      </c>
      <c r="G231" s="847"/>
      <c r="H231" s="844">
        <f t="shared" si="170"/>
        <v>216275.4</v>
      </c>
      <c r="I231" s="844"/>
      <c r="J231" s="842">
        <f>H231*'Shop Exp'!$L$20</f>
        <v>63350.622350313402</v>
      </c>
      <c r="K231" s="842">
        <f>H231-J231</f>
        <v>152924.77764968658</v>
      </c>
      <c r="L231" s="846" t="s">
        <v>1280</v>
      </c>
      <c r="M231" s="800">
        <f t="shared" ref="M231" si="175">H231-J231-K231</f>
        <v>0</v>
      </c>
      <c r="N231" s="842">
        <f t="shared" ref="N231" si="176">J231</f>
        <v>63350.622350313402</v>
      </c>
      <c r="O231" s="805"/>
      <c r="P231" s="805"/>
      <c r="Q231" s="805"/>
      <c r="R231" s="805"/>
      <c r="S231" s="805"/>
    </row>
    <row r="232" spans="1:19">
      <c r="A232" s="836">
        <v>52060</v>
      </c>
      <c r="B232" s="799" t="s">
        <v>138</v>
      </c>
      <c r="C232" s="842">
        <f>+IFERROR(VLOOKUP($A232,'2010_IS'!$A:$AE,31,FALSE),0)</f>
        <v>37155.760000000002</v>
      </c>
      <c r="D232" s="847"/>
      <c r="E232" s="844">
        <f t="shared" si="169"/>
        <v>37155.760000000002</v>
      </c>
      <c r="G232" s="847"/>
      <c r="H232" s="844">
        <f t="shared" si="170"/>
        <v>37155.760000000002</v>
      </c>
      <c r="I232" s="844"/>
      <c r="J232" s="842">
        <f>H232*'Shop Exp'!$L$20</f>
        <v>10883.533309377215</v>
      </c>
      <c r="K232" s="842">
        <f>H232-J232</f>
        <v>26272.226690622789</v>
      </c>
      <c r="L232" s="846" t="s">
        <v>1280</v>
      </c>
      <c r="M232" s="800">
        <f t="shared" si="173"/>
        <v>0</v>
      </c>
      <c r="N232" s="842">
        <f t="shared" si="174"/>
        <v>10883.533309377215</v>
      </c>
      <c r="O232" s="805"/>
      <c r="P232" s="805"/>
      <c r="Q232" s="805"/>
      <c r="R232" s="805"/>
      <c r="S232" s="805"/>
    </row>
    <row r="233" spans="1:19">
      <c r="A233" s="836">
        <v>55060</v>
      </c>
      <c r="B233" s="799" t="s">
        <v>138</v>
      </c>
      <c r="C233" s="842">
        <f>+IFERROR(VLOOKUP($A233,'2010_IS'!$A:$AE,31,FALSE),0)</f>
        <v>105507.17000000001</v>
      </c>
      <c r="D233" s="847"/>
      <c r="E233" s="844">
        <f t="shared" si="169"/>
        <v>105507.17000000001</v>
      </c>
      <c r="G233" s="847"/>
      <c r="H233" s="844">
        <f t="shared" si="170"/>
        <v>105507.17000000001</v>
      </c>
      <c r="I233" s="844"/>
      <c r="J233" s="842">
        <f>H233*Ratios!$F$28</f>
        <v>51296.431465585512</v>
      </c>
      <c r="K233" s="842">
        <f>H233*Ratios!$G$28</f>
        <v>54210.738534414508</v>
      </c>
      <c r="L233" s="881" t="s">
        <v>1430</v>
      </c>
      <c r="M233" s="800">
        <f t="shared" si="173"/>
        <v>0</v>
      </c>
      <c r="N233" s="842">
        <f t="shared" si="174"/>
        <v>51296.431465585512</v>
      </c>
      <c r="O233" s="805"/>
      <c r="P233" s="805"/>
      <c r="Q233" s="805"/>
      <c r="R233" s="805"/>
      <c r="S233" s="805"/>
    </row>
    <row r="234" spans="1:19">
      <c r="A234" s="836">
        <v>56060</v>
      </c>
      <c r="B234" s="799" t="s">
        <v>138</v>
      </c>
      <c r="C234" s="842">
        <f>+IFERROR(VLOOKUP($A234,'2010_IS'!$A:$AE,31,FALSE),0)</f>
        <v>85677.33</v>
      </c>
      <c r="D234" s="843"/>
      <c r="E234" s="844">
        <f t="shared" si="169"/>
        <v>85677.33</v>
      </c>
      <c r="G234" s="844"/>
      <c r="H234" s="844">
        <f t="shared" si="170"/>
        <v>85677.33</v>
      </c>
      <c r="I234" s="844"/>
      <c r="J234" s="842">
        <f>H234*Ratios!$C$20</f>
        <v>29156.141876261339</v>
      </c>
      <c r="K234" s="842">
        <f>+H234*Ratios!$D$20</f>
        <v>56521.18812373867</v>
      </c>
      <c r="L234" s="881" t="s">
        <v>30</v>
      </c>
      <c r="M234" s="800">
        <f t="shared" si="173"/>
        <v>0</v>
      </c>
      <c r="N234" s="842">
        <f>J234</f>
        <v>29156.141876261339</v>
      </c>
      <c r="O234" s="805"/>
      <c r="P234" s="805"/>
      <c r="Q234" s="805"/>
      <c r="R234" s="805"/>
      <c r="S234" s="805"/>
    </row>
    <row r="235" spans="1:19">
      <c r="A235" s="836">
        <v>60060</v>
      </c>
      <c r="B235" s="799" t="s">
        <v>138</v>
      </c>
      <c r="C235" s="842">
        <f>+IFERROR(VLOOKUP($A235,'2010_IS'!$A:$AE,31,FALSE),0)</f>
        <v>2513.5099999999998</v>
      </c>
      <c r="D235" s="843"/>
      <c r="E235" s="844">
        <f t="shared" si="169"/>
        <v>2513.5099999999998</v>
      </c>
      <c r="G235" s="844"/>
      <c r="H235" s="844">
        <f t="shared" si="170"/>
        <v>2513.5099999999998</v>
      </c>
      <c r="I235" s="844"/>
      <c r="J235" s="842">
        <v>0</v>
      </c>
      <c r="K235" s="842">
        <f>H235-J235</f>
        <v>2513.5099999999998</v>
      </c>
      <c r="L235" s="881" t="s">
        <v>17</v>
      </c>
      <c r="M235" s="800">
        <f t="shared" ref="M235" si="177">H235-J235-K235</f>
        <v>0</v>
      </c>
      <c r="N235" s="842">
        <f>J235</f>
        <v>0</v>
      </c>
      <c r="O235" s="805"/>
      <c r="P235" s="805"/>
      <c r="Q235" s="805"/>
      <c r="R235" s="805"/>
      <c r="S235" s="805"/>
    </row>
    <row r="236" spans="1:19">
      <c r="A236" s="836">
        <v>70060</v>
      </c>
      <c r="B236" s="799" t="s">
        <v>138</v>
      </c>
      <c r="C236" s="842">
        <f>+IFERROR(VLOOKUP($A236,'2010_IS'!$A:$AE,31,FALSE),0)</f>
        <v>540701.73</v>
      </c>
      <c r="D236" s="843"/>
      <c r="E236" s="844">
        <f t="shared" si="169"/>
        <v>540701.73</v>
      </c>
      <c r="G236" s="847"/>
      <c r="H236" s="844">
        <f t="shared" si="170"/>
        <v>540701.73</v>
      </c>
      <c r="I236" s="844"/>
      <c r="J236" s="842">
        <f>+H236*Ratios!$C$44</f>
        <v>217259.0020626414</v>
      </c>
      <c r="K236" s="842">
        <f>+H236*Ratios!$D$44</f>
        <v>323442.72793735849</v>
      </c>
      <c r="L236" s="881" t="s">
        <v>134</v>
      </c>
      <c r="M236" s="800">
        <f t="shared" si="173"/>
        <v>0</v>
      </c>
      <c r="N236" s="842">
        <f t="shared" si="174"/>
        <v>217259.0020626414</v>
      </c>
      <c r="O236" s="805"/>
      <c r="P236" s="805"/>
      <c r="Q236" s="805"/>
      <c r="R236" s="805"/>
      <c r="S236" s="805"/>
    </row>
    <row r="237" spans="1:19">
      <c r="A237" s="869">
        <v>46500</v>
      </c>
      <c r="B237" s="794" t="s">
        <v>137</v>
      </c>
      <c r="C237" s="848">
        <f>SUM(C229:C236)</f>
        <v>3119651.2399999993</v>
      </c>
      <c r="D237" s="848">
        <f>SUM(D229:D236)</f>
        <v>0</v>
      </c>
      <c r="E237" s="848">
        <f>SUM(E229:E236)</f>
        <v>3119651.2399999993</v>
      </c>
      <c r="F237" s="889"/>
      <c r="G237" s="848">
        <f>SUM(G229:G236)</f>
        <v>0</v>
      </c>
      <c r="H237" s="848">
        <f>SUM(H229:H236)</f>
        <v>3119651.2399999993</v>
      </c>
      <c r="I237" s="848"/>
      <c r="J237" s="848">
        <f>SUM(J229:J236)</f>
        <v>1097407.8374082921</v>
      </c>
      <c r="K237" s="848">
        <f>SUM(K229:K236)</f>
        <v>2022243.4025917079</v>
      </c>
      <c r="L237" s="890"/>
      <c r="M237" s="890"/>
      <c r="N237" s="848">
        <f>SUM(N229:N236)</f>
        <v>1097407.8374082921</v>
      </c>
    </row>
    <row r="238" spans="1:19">
      <c r="C238" s="842"/>
      <c r="D238" s="847"/>
      <c r="E238" s="847"/>
      <c r="G238" s="847"/>
      <c r="H238" s="847"/>
      <c r="I238" s="847"/>
      <c r="J238" s="842"/>
      <c r="K238" s="842"/>
      <c r="N238" s="842"/>
    </row>
    <row r="239" spans="1:19">
      <c r="A239" s="866">
        <v>46510</v>
      </c>
      <c r="B239" s="855" t="s">
        <v>139</v>
      </c>
      <c r="C239" s="857"/>
      <c r="D239" s="858"/>
      <c r="E239" s="858"/>
      <c r="F239" s="859"/>
      <c r="G239" s="858"/>
      <c r="H239" s="858"/>
      <c r="I239" s="858"/>
      <c r="J239" s="857"/>
      <c r="K239" s="857"/>
      <c r="L239" s="860"/>
      <c r="M239" s="860"/>
      <c r="N239" s="857"/>
    </row>
    <row r="240" spans="1:19">
      <c r="A240" s="836">
        <v>50115</v>
      </c>
      <c r="B240" s="799" t="s">
        <v>139</v>
      </c>
      <c r="C240" s="842">
        <f>+IFERROR(VLOOKUP($A240,'2010_IS'!$A:$AE,31,FALSE),0)</f>
        <v>3039.1</v>
      </c>
      <c r="D240" s="847"/>
      <c r="E240" s="844">
        <f t="shared" ref="E240:E247" si="178">SUM(C240:D240)</f>
        <v>3039.1</v>
      </c>
      <c r="G240" s="847"/>
      <c r="H240" s="844">
        <f t="shared" ref="H240:H247" si="179">C240+D240+G240</f>
        <v>3039.1</v>
      </c>
      <c r="I240" s="844"/>
      <c r="J240" s="842">
        <f>H240*Ratios!$C$20</f>
        <v>1034.2109257623438</v>
      </c>
      <c r="K240" s="842">
        <f>+H240*Ratios!$D$20</f>
        <v>2004.8890742376564</v>
      </c>
      <c r="L240" s="881" t="s">
        <v>30</v>
      </c>
      <c r="M240" s="800">
        <f t="shared" ref="M240:M247" si="180">H240-J240-K240</f>
        <v>0</v>
      </c>
      <c r="N240" s="842">
        <f t="shared" ref="N240:N247" si="181">J240</f>
        <v>1034.2109257623438</v>
      </c>
      <c r="O240" s="805"/>
      <c r="P240" s="805"/>
      <c r="Q240" s="805"/>
      <c r="R240" s="805"/>
      <c r="S240" s="805"/>
    </row>
    <row r="241" spans="1:19">
      <c r="A241" s="836">
        <v>50117</v>
      </c>
      <c r="B241" s="799" t="s">
        <v>267</v>
      </c>
      <c r="C241" s="842">
        <f>+IFERROR(VLOOKUP($A241,'2010_IS'!$A:$AE,31,FALSE),0)</f>
        <v>677825.66999999993</v>
      </c>
      <c r="D241" s="847"/>
      <c r="E241" s="844">
        <f t="shared" ref="E241" si="182">SUM(C241:D241)</f>
        <v>677825.66999999993</v>
      </c>
      <c r="G241" s="847"/>
      <c r="H241" s="844">
        <f t="shared" ref="H241" si="183">C241+D241+G241</f>
        <v>677825.66999999993</v>
      </c>
      <c r="I241" s="844"/>
      <c r="J241" s="842">
        <f>H241*Ratios!$C$20</f>
        <v>230665.23433785691</v>
      </c>
      <c r="K241" s="842">
        <f>+H241*Ratios!$D$20</f>
        <v>447160.43566214311</v>
      </c>
      <c r="L241" s="881" t="s">
        <v>30</v>
      </c>
      <c r="M241" s="800">
        <f t="shared" ref="M241" si="184">H241-J241-K241</f>
        <v>0</v>
      </c>
      <c r="N241" s="842">
        <f t="shared" ref="N241" si="185">J241</f>
        <v>230665.23433785691</v>
      </c>
      <c r="O241" s="805"/>
      <c r="P241" s="805"/>
      <c r="Q241" s="805"/>
      <c r="R241" s="805"/>
      <c r="S241" s="805"/>
    </row>
    <row r="242" spans="1:19">
      <c r="A242" s="836">
        <v>52115</v>
      </c>
      <c r="B242" s="799" t="s">
        <v>139</v>
      </c>
      <c r="C242" s="842">
        <f>+IFERROR(VLOOKUP($A242,'2010_IS'!$A:$AE,31,FALSE),0)</f>
        <v>4200.18</v>
      </c>
      <c r="D242" s="847"/>
      <c r="E242" s="844">
        <f t="shared" si="178"/>
        <v>4200.18</v>
      </c>
      <c r="G242" s="847"/>
      <c r="H242" s="844">
        <f t="shared" si="179"/>
        <v>4200.18</v>
      </c>
      <c r="I242" s="844"/>
      <c r="J242" s="842">
        <f>H242*'Shop Exp'!$L$20</f>
        <v>1230.301814183857</v>
      </c>
      <c r="K242" s="842">
        <f>H242-J242</f>
        <v>2969.8781858161433</v>
      </c>
      <c r="L242" s="846" t="s">
        <v>1280</v>
      </c>
      <c r="M242" s="800">
        <f t="shared" si="180"/>
        <v>0</v>
      </c>
      <c r="N242" s="842">
        <f t="shared" si="181"/>
        <v>1230.301814183857</v>
      </c>
      <c r="O242" s="805"/>
      <c r="P242" s="805"/>
      <c r="Q242" s="805"/>
      <c r="R242" s="805"/>
      <c r="S242" s="805"/>
    </row>
    <row r="243" spans="1:19">
      <c r="A243" s="836">
        <v>52117</v>
      </c>
      <c r="B243" s="799" t="s">
        <v>267</v>
      </c>
      <c r="C243" s="842">
        <f>+IFERROR(VLOOKUP($A243,'2010_IS'!$A:$AE,31,FALSE),0)</f>
        <v>90774.3</v>
      </c>
      <c r="D243" s="847"/>
      <c r="E243" s="844">
        <f t="shared" ref="E243" si="186">SUM(C243:D243)</f>
        <v>90774.3</v>
      </c>
      <c r="G243" s="847"/>
      <c r="H243" s="844">
        <f t="shared" ref="H243" si="187">C243+D243+G243</f>
        <v>90774.3</v>
      </c>
      <c r="I243" s="844"/>
      <c r="J243" s="842">
        <f>H243*'Shop Exp'!$L$20</f>
        <v>26589.285690439385</v>
      </c>
      <c r="K243" s="842">
        <f>H243-J243</f>
        <v>64185.014309560618</v>
      </c>
      <c r="L243" s="846" t="s">
        <v>1280</v>
      </c>
      <c r="M243" s="800">
        <f t="shared" ref="M243" si="188">H243-J243-K243</f>
        <v>0</v>
      </c>
      <c r="N243" s="842">
        <f t="shared" ref="N243" si="189">J243</f>
        <v>26589.285690439385</v>
      </c>
      <c r="O243" s="805"/>
      <c r="P243" s="805"/>
      <c r="Q243" s="805"/>
      <c r="R243" s="805"/>
      <c r="S243" s="805"/>
    </row>
    <row r="244" spans="1:19">
      <c r="A244" s="836">
        <v>55115</v>
      </c>
      <c r="B244" s="799" t="s">
        <v>139</v>
      </c>
      <c r="C244" s="842">
        <f>+IFERROR(VLOOKUP($A244,'2010_IS'!$A:$AE,31,FALSE),0)</f>
        <v>2996.7000000000003</v>
      </c>
      <c r="D244" s="847"/>
      <c r="E244" s="844">
        <f t="shared" si="178"/>
        <v>2996.7000000000003</v>
      </c>
      <c r="G244" s="847"/>
      <c r="H244" s="844">
        <f t="shared" si="179"/>
        <v>2996.7000000000003</v>
      </c>
      <c r="I244" s="844"/>
      <c r="J244" s="842">
        <f>H244*Ratios!$F$28</f>
        <v>1456.962746445764</v>
      </c>
      <c r="K244" s="842">
        <f>H244*Ratios!$G$28</f>
        <v>1539.7372535542368</v>
      </c>
      <c r="L244" s="881" t="s">
        <v>1430</v>
      </c>
      <c r="M244" s="800">
        <f t="shared" si="180"/>
        <v>0</v>
      </c>
      <c r="N244" s="842">
        <f t="shared" si="181"/>
        <v>1456.962746445764</v>
      </c>
      <c r="O244" s="805"/>
      <c r="P244" s="805"/>
      <c r="Q244" s="805"/>
      <c r="R244" s="805"/>
      <c r="S244" s="805"/>
    </row>
    <row r="245" spans="1:19">
      <c r="A245" s="836">
        <v>56115</v>
      </c>
      <c r="B245" s="799" t="s">
        <v>139</v>
      </c>
      <c r="C245" s="842">
        <f>+IFERROR(VLOOKUP($A245,'2010_IS'!$A:$AE,31,FALSE),0)</f>
        <v>8346.57</v>
      </c>
      <c r="D245" s="847"/>
      <c r="E245" s="844">
        <f t="shared" si="178"/>
        <v>8346.57</v>
      </c>
      <c r="G245" s="847"/>
      <c r="H245" s="844">
        <f t="shared" si="179"/>
        <v>8346.57</v>
      </c>
      <c r="I245" s="844"/>
      <c r="J245" s="842">
        <f>H245*Ratios!$C$20</f>
        <v>2840.3520406173557</v>
      </c>
      <c r="K245" s="842">
        <f>+H245*Ratios!$D$20</f>
        <v>5506.2179593826449</v>
      </c>
      <c r="L245" s="881" t="s">
        <v>30</v>
      </c>
      <c r="M245" s="800">
        <f t="shared" si="180"/>
        <v>0</v>
      </c>
      <c r="N245" s="842">
        <f t="shared" si="181"/>
        <v>2840.3520406173557</v>
      </c>
      <c r="O245" s="805"/>
      <c r="P245" s="805"/>
      <c r="Q245" s="805"/>
      <c r="R245" s="805"/>
      <c r="S245" s="805"/>
    </row>
    <row r="246" spans="1:19">
      <c r="A246" s="836">
        <v>60116</v>
      </c>
      <c r="B246" s="799" t="s">
        <v>265</v>
      </c>
      <c r="C246" s="842">
        <f>+IFERROR(VLOOKUP($A246,'2010_IS'!$A:$AE,31,FALSE),0)</f>
        <v>9.74</v>
      </c>
      <c r="D246" s="847"/>
      <c r="E246" s="844">
        <f t="shared" ref="E246" si="190">SUM(C246:D246)</f>
        <v>9.74</v>
      </c>
      <c r="G246" s="847"/>
      <c r="H246" s="844">
        <f t="shared" ref="H246" si="191">C246+D246+G246</f>
        <v>9.74</v>
      </c>
      <c r="I246" s="844"/>
      <c r="J246" s="842">
        <v>0</v>
      </c>
      <c r="K246" s="842">
        <f>H246-J246</f>
        <v>9.74</v>
      </c>
      <c r="L246" s="881" t="s">
        <v>17</v>
      </c>
      <c r="M246" s="800">
        <f t="shared" ref="M246" si="192">H246-J246-K246</f>
        <v>0</v>
      </c>
      <c r="N246" s="842">
        <f t="shared" ref="N246" si="193">J246</f>
        <v>0</v>
      </c>
      <c r="O246" s="805"/>
      <c r="P246" s="805"/>
      <c r="Q246" s="805"/>
      <c r="R246" s="805"/>
      <c r="S246" s="805"/>
    </row>
    <row r="247" spans="1:19">
      <c r="A247" s="836">
        <v>70116</v>
      </c>
      <c r="B247" s="799" t="s">
        <v>139</v>
      </c>
      <c r="C247" s="842">
        <f>+IFERROR(VLOOKUP($A247,'2010_IS'!$A:$AE,31,FALSE),0)</f>
        <v>62382.060000000005</v>
      </c>
      <c r="D247" s="847"/>
      <c r="E247" s="844">
        <f t="shared" si="178"/>
        <v>62382.060000000005</v>
      </c>
      <c r="G247" s="847"/>
      <c r="H247" s="844">
        <f t="shared" si="179"/>
        <v>62382.060000000005</v>
      </c>
      <c r="I247" s="844"/>
      <c r="J247" s="842">
        <f>+H247*Ratios!$C$44</f>
        <v>25065.693986612216</v>
      </c>
      <c r="K247" s="842">
        <f>+H247*Ratios!$D$44</f>
        <v>37316.366013387778</v>
      </c>
      <c r="L247" s="881" t="s">
        <v>134</v>
      </c>
      <c r="M247" s="800">
        <f t="shared" si="180"/>
        <v>0</v>
      </c>
      <c r="N247" s="842">
        <f t="shared" si="181"/>
        <v>25065.693986612216</v>
      </c>
      <c r="O247" s="805"/>
      <c r="P247" s="805"/>
      <c r="Q247" s="805"/>
      <c r="R247" s="805"/>
      <c r="S247" s="805"/>
    </row>
    <row r="248" spans="1:19">
      <c r="A248" s="869">
        <v>46510</v>
      </c>
      <c r="B248" s="794" t="s">
        <v>139</v>
      </c>
      <c r="C248" s="848">
        <f t="shared" ref="C248:H248" si="194">SUM(C240:C247)</f>
        <v>849574.32</v>
      </c>
      <c r="D248" s="848">
        <f t="shared" si="194"/>
        <v>0</v>
      </c>
      <c r="E248" s="848">
        <f t="shared" si="194"/>
        <v>849574.32</v>
      </c>
      <c r="F248" s="848">
        <f t="shared" si="194"/>
        <v>0</v>
      </c>
      <c r="G248" s="848">
        <f t="shared" si="194"/>
        <v>0</v>
      </c>
      <c r="H248" s="848">
        <f t="shared" si="194"/>
        <v>849574.32</v>
      </c>
      <c r="I248" s="848"/>
      <c r="J248" s="848">
        <f>SUM(J240:J247)</f>
        <v>288882.04154191777</v>
      </c>
      <c r="K248" s="848">
        <f>SUM(K240:K247)</f>
        <v>560692.27845808223</v>
      </c>
      <c r="L248" s="890"/>
      <c r="M248" s="890"/>
      <c r="N248" s="848">
        <f>SUM(N240:N247)</f>
        <v>288882.04154191777</v>
      </c>
    </row>
    <row r="249" spans="1:19">
      <c r="A249" s="869"/>
      <c r="B249" s="794"/>
      <c r="C249" s="864"/>
      <c r="D249" s="864"/>
      <c r="E249" s="864"/>
      <c r="F249" s="865"/>
      <c r="G249" s="842"/>
      <c r="H249" s="864"/>
      <c r="I249" s="864"/>
      <c r="J249" s="864"/>
      <c r="K249" s="864"/>
      <c r="L249" s="795"/>
      <c r="M249" s="795"/>
      <c r="N249" s="864"/>
    </row>
    <row r="250" spans="1:19">
      <c r="A250" s="866">
        <v>46700</v>
      </c>
      <c r="B250" s="855" t="s">
        <v>140</v>
      </c>
      <c r="C250" s="857"/>
      <c r="D250" s="858"/>
      <c r="E250" s="858"/>
      <c r="F250" s="859"/>
      <c r="G250" s="858"/>
      <c r="H250" s="858"/>
      <c r="I250" s="858"/>
      <c r="J250" s="857"/>
      <c r="K250" s="857"/>
      <c r="L250" s="860"/>
      <c r="M250" s="860"/>
      <c r="N250" s="857"/>
    </row>
    <row r="251" spans="1:19">
      <c r="A251" s="836">
        <v>70310</v>
      </c>
      <c r="B251" s="799" t="s">
        <v>141</v>
      </c>
      <c r="C251" s="842">
        <f>+IFERROR(VLOOKUP($A251,'2010_IS'!$A:$AE,31,FALSE),0)</f>
        <v>85137.7</v>
      </c>
      <c r="D251" s="843">
        <f>'Restating Adj''s'!B111</f>
        <v>4849.7200000003941</v>
      </c>
      <c r="E251" s="843">
        <f>SUM(C251:D251)</f>
        <v>89987.420000000391</v>
      </c>
      <c r="F251" s="894" t="s">
        <v>94</v>
      </c>
      <c r="G251" s="847"/>
      <c r="H251" s="844">
        <f>C251+D251+G251</f>
        <v>89987.420000000391</v>
      </c>
      <c r="I251" s="844"/>
      <c r="J251" s="842">
        <f>H251*J23</f>
        <v>27570.726946769395</v>
      </c>
      <c r="K251" s="842">
        <f>H251-J251</f>
        <v>62416.693053230993</v>
      </c>
      <c r="L251" s="881" t="s">
        <v>95</v>
      </c>
      <c r="M251" s="800">
        <f t="shared" ref="M251" si="195">H251-J251-K251</f>
        <v>0</v>
      </c>
      <c r="N251" s="842">
        <f t="shared" ref="N251" si="196">J251</f>
        <v>27570.726946769395</v>
      </c>
    </row>
    <row r="252" spans="1:19">
      <c r="A252" s="869">
        <v>46700</v>
      </c>
      <c r="B252" s="794" t="s">
        <v>143</v>
      </c>
      <c r="C252" s="848">
        <f>SUM(C251:C251)</f>
        <v>85137.7</v>
      </c>
      <c r="D252" s="848">
        <f>SUM(D251:D251)</f>
        <v>4849.7200000003941</v>
      </c>
      <c r="E252" s="848">
        <f>SUM(E251:E251)</f>
        <v>89987.420000000391</v>
      </c>
      <c r="F252" s="889"/>
      <c r="G252" s="848">
        <f>SUM(G251:G251)</f>
        <v>0</v>
      </c>
      <c r="H252" s="848">
        <f>SUM(H251:H251)</f>
        <v>89987.420000000391</v>
      </c>
      <c r="I252" s="848"/>
      <c r="J252" s="848">
        <f>SUM(J251:J251)</f>
        <v>27570.726946769395</v>
      </c>
      <c r="K252" s="848">
        <f>SUM(K251:K251)</f>
        <v>62416.693053230993</v>
      </c>
      <c r="L252" s="890"/>
      <c r="M252" s="890"/>
      <c r="N252" s="848">
        <f>SUM(N251:N251)</f>
        <v>27570.726946769395</v>
      </c>
    </row>
    <row r="253" spans="1:19">
      <c r="A253" s="869"/>
      <c r="B253" s="794"/>
      <c r="C253" s="864"/>
      <c r="D253" s="864"/>
      <c r="E253" s="864"/>
      <c r="F253" s="865"/>
      <c r="G253" s="864"/>
      <c r="H253" s="864"/>
      <c r="I253" s="864"/>
      <c r="J253" s="864"/>
      <c r="K253" s="864"/>
      <c r="L253" s="795"/>
      <c r="M253" s="795"/>
      <c r="N253" s="864"/>
    </row>
    <row r="254" spans="1:19">
      <c r="A254" s="866">
        <v>46900</v>
      </c>
      <c r="B254" s="855" t="s">
        <v>144</v>
      </c>
      <c r="C254" s="857"/>
      <c r="D254" s="858"/>
      <c r="E254" s="858"/>
      <c r="F254" s="859"/>
      <c r="G254" s="858"/>
      <c r="H254" s="858"/>
      <c r="I254" s="858"/>
      <c r="J254" s="857"/>
      <c r="K254" s="857"/>
      <c r="L254" s="860"/>
      <c r="M254" s="860"/>
      <c r="N254" s="857"/>
    </row>
    <row r="255" spans="1:19">
      <c r="A255" s="836">
        <v>56201</v>
      </c>
      <c r="B255" s="799" t="s">
        <v>146</v>
      </c>
      <c r="C255" s="842">
        <f>+IFERROR(VLOOKUP($A255,'2010_IS'!$A:$AE,31,FALSE),0)</f>
        <v>530.23</v>
      </c>
      <c r="D255" s="847"/>
      <c r="E255" s="844">
        <f t="shared" ref="E255:E275" si="197">SUM(C255:D255)</f>
        <v>530.23</v>
      </c>
      <c r="G255" s="847"/>
      <c r="H255" s="844">
        <f t="shared" ref="H255:H275" si="198">C255+D255+G255</f>
        <v>530.23</v>
      </c>
      <c r="I255" s="844"/>
      <c r="J255" s="842">
        <f>H255*Ratios!$C$20</f>
        <v>180.4381755016181</v>
      </c>
      <c r="K255" s="842">
        <f>+H255*Ratios!$D$20</f>
        <v>349.79182449838197</v>
      </c>
      <c r="L255" s="881" t="s">
        <v>30</v>
      </c>
      <c r="M255" s="800">
        <f t="shared" ref="M255:M275" si="199">H255-J255-K255</f>
        <v>0</v>
      </c>
      <c r="N255" s="842">
        <f t="shared" ref="N255:N275" si="200">J255</f>
        <v>180.4381755016181</v>
      </c>
    </row>
    <row r="256" spans="1:19">
      <c r="A256" s="836">
        <v>70086</v>
      </c>
      <c r="B256" s="799" t="s">
        <v>64</v>
      </c>
      <c r="C256" s="842">
        <f>+IFERROR(VLOOKUP($A256,'2010_IS'!$A:$AE,31,FALSE),0)</f>
        <v>4847.2299999999996</v>
      </c>
      <c r="D256" s="847"/>
      <c r="E256" s="844">
        <f t="shared" si="197"/>
        <v>4847.2299999999996</v>
      </c>
      <c r="G256" s="847"/>
      <c r="H256" s="844">
        <f t="shared" si="198"/>
        <v>4847.2299999999996</v>
      </c>
      <c r="I256" s="844"/>
      <c r="J256" s="842">
        <f>H256*Ratios!$C$20</f>
        <v>1649.5206560109918</v>
      </c>
      <c r="K256" s="842">
        <f>+H256*Ratios!$D$20</f>
        <v>3197.7093439890082</v>
      </c>
      <c r="L256" s="881" t="s">
        <v>30</v>
      </c>
      <c r="M256" s="800">
        <f t="shared" si="199"/>
        <v>0</v>
      </c>
      <c r="N256" s="842">
        <f t="shared" si="200"/>
        <v>1649.5206560109918</v>
      </c>
      <c r="O256" s="805"/>
      <c r="P256" s="805"/>
      <c r="Q256" s="805"/>
      <c r="R256" s="805"/>
      <c r="S256" s="805"/>
    </row>
    <row r="257" spans="1:19">
      <c r="A257" s="836">
        <v>70095</v>
      </c>
      <c r="B257" s="799" t="s">
        <v>147</v>
      </c>
      <c r="C257" s="842">
        <f>+IFERROR(VLOOKUP($A257,'2010_IS'!$A:$AE,31,FALSE),0)</f>
        <v>134761.63</v>
      </c>
      <c r="D257" s="843"/>
      <c r="E257" s="844">
        <f t="shared" si="197"/>
        <v>134761.63</v>
      </c>
      <c r="F257" s="893"/>
      <c r="G257" s="847"/>
      <c r="H257" s="844">
        <f t="shared" si="198"/>
        <v>134761.63</v>
      </c>
      <c r="I257" s="844"/>
      <c r="J257" s="842">
        <f>H257*Ratios!$C$20</f>
        <v>45859.613082670017</v>
      </c>
      <c r="K257" s="842">
        <f>+H257*Ratios!$D$20</f>
        <v>88902.016917329995</v>
      </c>
      <c r="L257" s="881" t="s">
        <v>30</v>
      </c>
      <c r="M257" s="800">
        <f t="shared" si="199"/>
        <v>0</v>
      </c>
      <c r="N257" s="842">
        <f t="shared" si="200"/>
        <v>45859.613082670017</v>
      </c>
      <c r="O257" s="805"/>
      <c r="P257" s="805"/>
      <c r="Q257" s="805"/>
      <c r="R257" s="805"/>
      <c r="S257" s="805"/>
    </row>
    <row r="258" spans="1:19">
      <c r="A258" s="836">
        <v>70105</v>
      </c>
      <c r="B258" s="799" t="s">
        <v>149</v>
      </c>
      <c r="C258" s="842">
        <f>+IFERROR(VLOOKUP($A258,'2010_IS'!$A:$AE,31,FALSE),0)</f>
        <v>7052.05</v>
      </c>
      <c r="D258" s="868"/>
      <c r="E258" s="844">
        <f t="shared" si="197"/>
        <v>7052.05</v>
      </c>
      <c r="G258" s="847"/>
      <c r="H258" s="844">
        <f t="shared" si="198"/>
        <v>7052.05</v>
      </c>
      <c r="I258" s="844"/>
      <c r="J258" s="842">
        <f>H258*Ratios!$C$20</f>
        <v>2399.8246714561342</v>
      </c>
      <c r="K258" s="842">
        <f>+H258*Ratios!$D$20</f>
        <v>4652.2253285438665</v>
      </c>
      <c r="L258" s="881" t="s">
        <v>30</v>
      </c>
      <c r="M258" s="800">
        <f t="shared" si="199"/>
        <v>0</v>
      </c>
      <c r="N258" s="842">
        <f t="shared" si="200"/>
        <v>2399.8246714561342</v>
      </c>
    </row>
    <row r="259" spans="1:19">
      <c r="A259" s="836">
        <v>70110</v>
      </c>
      <c r="B259" s="799" t="s">
        <v>150</v>
      </c>
      <c r="C259" s="842">
        <f>+IFERROR(VLOOKUP($A259,'2010_IS'!$A:$AE,31,FALSE),0)</f>
        <v>110255.41999999998</v>
      </c>
      <c r="D259" s="844">
        <f>-C259</f>
        <v>-110255.41999999998</v>
      </c>
      <c r="E259" s="844">
        <f t="shared" si="197"/>
        <v>0</v>
      </c>
      <c r="F259" s="888" t="s">
        <v>173</v>
      </c>
      <c r="G259" s="847"/>
      <c r="H259" s="844">
        <f t="shared" si="198"/>
        <v>0</v>
      </c>
      <c r="I259" s="844"/>
      <c r="J259" s="842"/>
      <c r="K259" s="842">
        <f>H259</f>
        <v>0</v>
      </c>
      <c r="L259" s="881" t="s">
        <v>17</v>
      </c>
      <c r="M259" s="800">
        <f t="shared" si="199"/>
        <v>0</v>
      </c>
      <c r="N259" s="842">
        <f t="shared" si="200"/>
        <v>0</v>
      </c>
    </row>
    <row r="260" spans="1:19">
      <c r="A260" s="836">
        <v>70112</v>
      </c>
      <c r="B260" s="799" t="s">
        <v>151</v>
      </c>
      <c r="C260" s="842">
        <f>+IFERROR(VLOOKUP($A260,'2010_IS'!$A:$AE,31,FALSE),0)</f>
        <v>6250</v>
      </c>
      <c r="D260" s="844">
        <f>-C260</f>
        <v>-6250</v>
      </c>
      <c r="E260" s="844">
        <f t="shared" si="197"/>
        <v>0</v>
      </c>
      <c r="F260" s="888" t="s">
        <v>173</v>
      </c>
      <c r="G260" s="844"/>
      <c r="H260" s="844">
        <f t="shared" si="198"/>
        <v>0</v>
      </c>
      <c r="I260" s="844"/>
      <c r="J260" s="842"/>
      <c r="K260" s="842"/>
      <c r="L260" s="881" t="s">
        <v>17</v>
      </c>
      <c r="M260" s="800">
        <f t="shared" si="199"/>
        <v>0</v>
      </c>
      <c r="N260" s="842">
        <f t="shared" si="200"/>
        <v>0</v>
      </c>
    </row>
    <row r="261" spans="1:19">
      <c r="A261" s="836">
        <v>70148</v>
      </c>
      <c r="B261" s="799" t="s">
        <v>152</v>
      </c>
      <c r="C261" s="842">
        <f>+IFERROR(VLOOKUP($A261,'2010_IS'!$A:$AE,31,FALSE),0)</f>
        <v>240029.95999999996</v>
      </c>
      <c r="D261" s="843">
        <f>+'Restating Adj''s'!B72</f>
        <v>-19016.866829234525</v>
      </c>
      <c r="E261" s="844">
        <f t="shared" si="197"/>
        <v>221013.09317076544</v>
      </c>
      <c r="F261" s="894" t="s">
        <v>117</v>
      </c>
      <c r="G261" s="847"/>
      <c r="H261" s="844">
        <f t="shared" si="198"/>
        <v>221013.09317076544</v>
      </c>
      <c r="I261" s="844"/>
      <c r="J261" s="842">
        <f>H261*Ratios!$C$20</f>
        <v>75211.133458503013</v>
      </c>
      <c r="K261" s="842">
        <f>+H261*Ratios!$D$20</f>
        <v>145801.95971226247</v>
      </c>
      <c r="L261" s="881" t="s">
        <v>30</v>
      </c>
      <c r="M261" s="800">
        <f t="shared" si="199"/>
        <v>0</v>
      </c>
      <c r="N261" s="842">
        <f t="shared" si="200"/>
        <v>75211.133458503013</v>
      </c>
      <c r="O261" s="805"/>
      <c r="P261" s="805"/>
      <c r="Q261" s="805"/>
      <c r="R261" s="805"/>
      <c r="S261" s="805"/>
    </row>
    <row r="262" spans="1:19">
      <c r="A262" s="836">
        <v>70150</v>
      </c>
      <c r="B262" s="799" t="s">
        <v>135</v>
      </c>
      <c r="C262" s="842">
        <f>+IFERROR(VLOOKUP($A262,'2010_IS'!$A:$AE,31,FALSE),0)</f>
        <v>29797.07</v>
      </c>
      <c r="D262" s="843"/>
      <c r="E262" s="844">
        <f t="shared" si="197"/>
        <v>29797.07</v>
      </c>
      <c r="G262" s="883"/>
      <c r="H262" s="844">
        <f t="shared" si="198"/>
        <v>29797.07</v>
      </c>
      <c r="I262" s="844"/>
      <c r="J262" s="842">
        <f>+H262*Ratios!$C$44</f>
        <v>11972.740853983712</v>
      </c>
      <c r="K262" s="842">
        <f>+H262*Ratios!$D$44</f>
        <v>17824.329146016284</v>
      </c>
      <c r="L262" s="881" t="s">
        <v>134</v>
      </c>
      <c r="M262" s="800">
        <f t="shared" si="199"/>
        <v>0</v>
      </c>
      <c r="N262" s="842">
        <f t="shared" si="200"/>
        <v>11972.740853983712</v>
      </c>
      <c r="O262" s="805"/>
      <c r="P262" s="805"/>
      <c r="Q262" s="805"/>
      <c r="R262" s="805"/>
      <c r="S262" s="805"/>
    </row>
    <row r="263" spans="1:19">
      <c r="A263" s="836">
        <v>70167</v>
      </c>
      <c r="B263" s="799" t="s">
        <v>153</v>
      </c>
      <c r="C263" s="842">
        <f>+IFERROR(VLOOKUP($A263,'2010_IS'!$A:$AE,31,FALSE),0)</f>
        <v>24467.449999999997</v>
      </c>
      <c r="D263" s="844"/>
      <c r="E263" s="844">
        <f t="shared" si="197"/>
        <v>24467.449999999997</v>
      </c>
      <c r="G263" s="847"/>
      <c r="H263" s="844">
        <f t="shared" si="198"/>
        <v>24467.449999999997</v>
      </c>
      <c r="I263" s="844"/>
      <c r="J263" s="842">
        <f>+H263*Ratios!$C$44</f>
        <v>9831.2497909292342</v>
      </c>
      <c r="K263" s="842">
        <f>+H263*Ratios!$D$44</f>
        <v>14636.200209070759</v>
      </c>
      <c r="L263" s="881" t="s">
        <v>134</v>
      </c>
      <c r="M263" s="800">
        <f t="shared" si="199"/>
        <v>0</v>
      </c>
      <c r="N263" s="842">
        <f t="shared" si="200"/>
        <v>9831.2497909292342</v>
      </c>
      <c r="O263" s="805"/>
      <c r="P263" s="805"/>
      <c r="Q263" s="805"/>
      <c r="R263" s="805"/>
      <c r="S263" s="805"/>
    </row>
    <row r="264" spans="1:19">
      <c r="A264" s="836">
        <v>70175</v>
      </c>
      <c r="B264" s="799" t="s">
        <v>59</v>
      </c>
      <c r="C264" s="842">
        <f>+IFERROR(VLOOKUP($A264,'2010_IS'!$A:$AE,31,FALSE),0)</f>
        <v>6428.02</v>
      </c>
      <c r="D264" s="844"/>
      <c r="E264" s="844">
        <f t="shared" si="197"/>
        <v>6428.02</v>
      </c>
      <c r="G264" s="847"/>
      <c r="H264" s="844">
        <f t="shared" si="198"/>
        <v>6428.02</v>
      </c>
      <c r="I264" s="844"/>
      <c r="J264" s="842">
        <f>+H264*Ratios!$C$44</f>
        <v>2582.8384355986809</v>
      </c>
      <c r="K264" s="842">
        <f>+H264*Ratios!$D$44</f>
        <v>3845.1815644013186</v>
      </c>
      <c r="L264" s="881" t="s">
        <v>134</v>
      </c>
      <c r="M264" s="800">
        <f t="shared" si="199"/>
        <v>0</v>
      </c>
      <c r="N264" s="842">
        <f t="shared" si="200"/>
        <v>2582.8384355986809</v>
      </c>
      <c r="O264" s="805"/>
      <c r="P264" s="805"/>
      <c r="Q264" s="805"/>
      <c r="R264" s="805"/>
      <c r="S264" s="805"/>
    </row>
    <row r="265" spans="1:19">
      <c r="A265" s="836">
        <v>70195</v>
      </c>
      <c r="B265" s="799" t="s">
        <v>154</v>
      </c>
      <c r="C265" s="842">
        <f>+IFERROR(VLOOKUP($A265,'2010_IS'!$A:$AE,31,FALSE),0)</f>
        <v>35380.11</v>
      </c>
      <c r="D265" s="843">
        <f>-'70195'!D140</f>
        <v>-15323.848999999998</v>
      </c>
      <c r="E265" s="844">
        <f t="shared" si="197"/>
        <v>20056.261000000002</v>
      </c>
      <c r="F265" s="888" t="s">
        <v>173</v>
      </c>
      <c r="G265" s="847"/>
      <c r="H265" s="844">
        <f t="shared" si="198"/>
        <v>20056.261000000002</v>
      </c>
      <c r="I265" s="844"/>
      <c r="J265" s="842">
        <f>+H265*Ratios!$C$44</f>
        <v>8058.792876375438</v>
      </c>
      <c r="K265" s="842">
        <f>+H265*Ratios!$D$44</f>
        <v>11997.468123624561</v>
      </c>
      <c r="L265" s="881" t="s">
        <v>134</v>
      </c>
      <c r="M265" s="800">
        <f t="shared" si="199"/>
        <v>0</v>
      </c>
      <c r="N265" s="842">
        <f t="shared" si="200"/>
        <v>8058.792876375438</v>
      </c>
      <c r="O265" s="805"/>
      <c r="P265" s="805"/>
      <c r="Q265" s="805"/>
      <c r="R265" s="805"/>
      <c r="S265" s="805"/>
    </row>
    <row r="266" spans="1:19">
      <c r="A266" s="836">
        <v>70200</v>
      </c>
      <c r="B266" s="799" t="s">
        <v>61</v>
      </c>
      <c r="C266" s="842">
        <f>+IFERROR(VLOOKUP($A266,'2010_IS'!$A:$AE,31,FALSE),0)</f>
        <v>3788.7100000000005</v>
      </c>
      <c r="D266" s="847"/>
      <c r="E266" s="844">
        <f t="shared" si="197"/>
        <v>3788.7100000000005</v>
      </c>
      <c r="G266" s="847"/>
      <c r="H266" s="844">
        <f t="shared" si="198"/>
        <v>3788.7100000000005</v>
      </c>
      <c r="I266" s="844"/>
      <c r="J266" s="842">
        <f>H266*Ratios!$C$20</f>
        <v>1289.3044903244547</v>
      </c>
      <c r="K266" s="842">
        <f>+H266*Ratios!$D$20</f>
        <v>2499.405509675546</v>
      </c>
      <c r="L266" s="881" t="s">
        <v>30</v>
      </c>
      <c r="M266" s="800">
        <f t="shared" si="199"/>
        <v>0</v>
      </c>
      <c r="N266" s="842">
        <f t="shared" si="200"/>
        <v>1289.3044903244547</v>
      </c>
      <c r="O266" s="805"/>
      <c r="P266" s="805"/>
      <c r="Q266" s="805"/>
      <c r="R266" s="805"/>
      <c r="S266" s="805"/>
    </row>
    <row r="267" spans="1:19">
      <c r="A267" s="836">
        <v>70201</v>
      </c>
      <c r="B267" s="799" t="s">
        <v>156</v>
      </c>
      <c r="C267" s="842">
        <f>+IFERROR(VLOOKUP($A267,'2010_IS'!$A:$AE,31,FALSE),0)</f>
        <v>26571.06</v>
      </c>
      <c r="D267" s="847"/>
      <c r="E267" s="844">
        <f t="shared" si="197"/>
        <v>26571.06</v>
      </c>
      <c r="G267" s="847"/>
      <c r="H267" s="844">
        <f t="shared" si="198"/>
        <v>26571.06</v>
      </c>
      <c r="I267" s="844"/>
      <c r="J267" s="842">
        <f>H267*Ratios!$C$20</f>
        <v>9042.1771449069747</v>
      </c>
      <c r="K267" s="842">
        <f>+H267*Ratios!$D$20</f>
        <v>17528.88285509303</v>
      </c>
      <c r="L267" s="881" t="s">
        <v>30</v>
      </c>
      <c r="M267" s="800">
        <f t="shared" si="199"/>
        <v>0</v>
      </c>
      <c r="N267" s="842">
        <f t="shared" si="200"/>
        <v>9042.1771449069747</v>
      </c>
      <c r="O267" s="805"/>
      <c r="P267" s="805"/>
      <c r="Q267" s="805"/>
      <c r="R267" s="805"/>
      <c r="S267" s="805"/>
    </row>
    <row r="268" spans="1:19">
      <c r="A268" s="836">
        <v>70202</v>
      </c>
      <c r="B268" s="799" t="s">
        <v>157</v>
      </c>
      <c r="C268" s="842">
        <f>+IFERROR(VLOOKUP($A268,'2010_IS'!$A:$AE,31,FALSE),0)</f>
        <v>94304.93</v>
      </c>
      <c r="D268" s="847"/>
      <c r="E268" s="844">
        <f t="shared" si="197"/>
        <v>94304.93</v>
      </c>
      <c r="G268" s="847"/>
      <c r="H268" s="844">
        <f t="shared" si="198"/>
        <v>94304.93</v>
      </c>
      <c r="I268" s="844"/>
      <c r="J268" s="842">
        <f>H268*Ratios!$C$20</f>
        <v>32092.128906338399</v>
      </c>
      <c r="K268" s="842">
        <f>+H268*Ratios!$D$20</f>
        <v>62212.801093661605</v>
      </c>
      <c r="L268" s="881" t="s">
        <v>30</v>
      </c>
      <c r="M268" s="800">
        <f t="shared" si="199"/>
        <v>0</v>
      </c>
      <c r="N268" s="842">
        <f t="shared" si="200"/>
        <v>32092.128906338399</v>
      </c>
      <c r="O268" s="805"/>
      <c r="P268" s="805"/>
      <c r="Q268" s="805"/>
      <c r="R268" s="805"/>
      <c r="S268" s="805"/>
    </row>
    <row r="269" spans="1:19">
      <c r="A269" s="836">
        <v>70203</v>
      </c>
      <c r="B269" s="799" t="s">
        <v>158</v>
      </c>
      <c r="C269" s="842">
        <f>+IFERROR(VLOOKUP($A269,'2010_IS'!$A:$AE,31,FALSE),0)</f>
        <v>4736.42</v>
      </c>
      <c r="D269" s="847"/>
      <c r="E269" s="844">
        <f t="shared" si="197"/>
        <v>4736.42</v>
      </c>
      <c r="G269" s="847"/>
      <c r="H269" s="844">
        <f t="shared" si="198"/>
        <v>4736.42</v>
      </c>
      <c r="I269" s="844"/>
      <c r="J269" s="842">
        <f>H269*Ratios!$C$20</f>
        <v>1611.8118235659508</v>
      </c>
      <c r="K269" s="842">
        <f>+H269*Ratios!$D$20</f>
        <v>3124.6081764340497</v>
      </c>
      <c r="L269" s="881" t="s">
        <v>30</v>
      </c>
      <c r="M269" s="800">
        <f t="shared" si="199"/>
        <v>0</v>
      </c>
      <c r="N269" s="842">
        <f t="shared" si="200"/>
        <v>1611.8118235659508</v>
      </c>
      <c r="O269" s="805"/>
      <c r="P269" s="805"/>
      <c r="Q269" s="805"/>
      <c r="R269" s="805"/>
      <c r="S269" s="805"/>
    </row>
    <row r="270" spans="1:19">
      <c r="A270" s="836">
        <v>70205</v>
      </c>
      <c r="B270" s="799" t="s">
        <v>159</v>
      </c>
      <c r="C270" s="842">
        <f>+IFERROR(VLOOKUP($A270,'2010_IS'!$A:$AE,31,FALSE),0)</f>
        <v>13664.140000000001</v>
      </c>
      <c r="D270" s="847"/>
      <c r="E270" s="844">
        <f t="shared" si="197"/>
        <v>13664.140000000001</v>
      </c>
      <c r="G270" s="847"/>
      <c r="H270" s="844">
        <f t="shared" si="198"/>
        <v>13664.140000000001</v>
      </c>
      <c r="I270" s="844"/>
      <c r="J270" s="842">
        <f>H270*Ratios!$C$20</f>
        <v>4649.9302027397171</v>
      </c>
      <c r="K270" s="842">
        <f>+H270*Ratios!$D$20</f>
        <v>9014.209797260286</v>
      </c>
      <c r="L270" s="881" t="s">
        <v>30</v>
      </c>
      <c r="M270" s="800">
        <f t="shared" si="199"/>
        <v>0</v>
      </c>
      <c r="N270" s="842">
        <f t="shared" si="200"/>
        <v>4649.9302027397171</v>
      </c>
      <c r="O270" s="805"/>
      <c r="P270" s="805"/>
      <c r="Q270" s="805"/>
      <c r="R270" s="805"/>
      <c r="S270" s="805"/>
    </row>
    <row r="271" spans="1:19">
      <c r="A271" s="836">
        <v>70206</v>
      </c>
      <c r="B271" s="799" t="s">
        <v>160</v>
      </c>
      <c r="C271" s="842">
        <f>+IFERROR(VLOOKUP($A271,'2010_IS'!$A:$AE,31,FALSE),0)</f>
        <v>3135.6000000000004</v>
      </c>
      <c r="D271" s="847"/>
      <c r="E271" s="844">
        <f t="shared" si="197"/>
        <v>3135.6000000000004</v>
      </c>
      <c r="G271" s="847"/>
      <c r="H271" s="844">
        <f t="shared" si="198"/>
        <v>3135.6000000000004</v>
      </c>
      <c r="I271" s="844"/>
      <c r="J271" s="842">
        <f>H271*Ratios!$C$20</f>
        <v>1067.0500407424586</v>
      </c>
      <c r="K271" s="842">
        <f>+H271*Ratios!$D$20</f>
        <v>2068.549959257542</v>
      </c>
      <c r="L271" s="881" t="s">
        <v>30</v>
      </c>
      <c r="M271" s="800">
        <f t="shared" si="199"/>
        <v>0</v>
      </c>
      <c r="N271" s="842">
        <f t="shared" si="200"/>
        <v>1067.0500407424586</v>
      </c>
      <c r="O271" s="805"/>
      <c r="P271" s="805"/>
      <c r="Q271" s="805"/>
      <c r="R271" s="805"/>
      <c r="S271" s="805"/>
    </row>
    <row r="272" spans="1:19">
      <c r="A272" s="836">
        <v>70207</v>
      </c>
      <c r="B272" s="799" t="s">
        <v>161</v>
      </c>
      <c r="C272" s="842">
        <f>+IFERROR(VLOOKUP($A272,'2010_IS'!$A:$AE,31,FALSE),0)</f>
        <v>278.10000000000002</v>
      </c>
      <c r="D272" s="844">
        <f>-C272</f>
        <v>-278.10000000000002</v>
      </c>
      <c r="E272" s="844">
        <f t="shared" si="197"/>
        <v>0</v>
      </c>
      <c r="F272" s="888" t="s">
        <v>173</v>
      </c>
      <c r="G272" s="847"/>
      <c r="H272" s="844">
        <f t="shared" si="198"/>
        <v>0</v>
      </c>
      <c r="I272" s="844"/>
      <c r="J272" s="842">
        <f>H272*Ratios!$C$20</f>
        <v>0</v>
      </c>
      <c r="K272" s="842">
        <f>+H272*Ratios!$D$20</f>
        <v>0</v>
      </c>
      <c r="L272" s="881" t="s">
        <v>30</v>
      </c>
      <c r="M272" s="800">
        <f t="shared" si="199"/>
        <v>0</v>
      </c>
      <c r="N272" s="842">
        <f t="shared" si="200"/>
        <v>0</v>
      </c>
      <c r="O272" s="805"/>
      <c r="P272" s="805"/>
      <c r="Q272" s="805"/>
      <c r="R272" s="805"/>
      <c r="S272" s="805"/>
    </row>
    <row r="273" spans="1:19">
      <c r="A273" s="880">
        <v>70214</v>
      </c>
      <c r="B273" s="881" t="s">
        <v>162</v>
      </c>
      <c r="C273" s="846">
        <f>+IFERROR(VLOOKUP($A273,'2010_IS'!$A:$AE,31,FALSE),0)</f>
        <v>289194.94999999995</v>
      </c>
      <c r="D273" s="883"/>
      <c r="E273" s="843">
        <f t="shared" si="197"/>
        <v>289194.94999999995</v>
      </c>
      <c r="F273" s="893"/>
      <c r="G273" s="883"/>
      <c r="H273" s="843">
        <f t="shared" si="198"/>
        <v>289194.94999999995</v>
      </c>
      <c r="I273" s="843"/>
      <c r="J273" s="846">
        <f>$H$273*$J$23</f>
        <v>88604.773876555104</v>
      </c>
      <c r="K273" s="846">
        <f>$H$273*$K$23</f>
        <v>200590.17612344481</v>
      </c>
      <c r="L273" s="881" t="s">
        <v>95</v>
      </c>
      <c r="M273" s="1136">
        <f t="shared" si="199"/>
        <v>0</v>
      </c>
      <c r="N273" s="846">
        <f t="shared" si="200"/>
        <v>88604.773876555104</v>
      </c>
      <c r="O273" s="805"/>
      <c r="P273" s="805"/>
      <c r="Q273" s="805"/>
      <c r="R273" s="805"/>
      <c r="S273" s="805"/>
    </row>
    <row r="274" spans="1:19">
      <c r="A274" s="836">
        <v>70231</v>
      </c>
      <c r="B274" s="799" t="s">
        <v>164</v>
      </c>
      <c r="C274" s="842">
        <f>+IFERROR(VLOOKUP($A274,'2010_IS'!$A:$AE,31,FALSE),0)</f>
        <v>105</v>
      </c>
      <c r="D274" s="844"/>
      <c r="E274" s="844">
        <f t="shared" si="197"/>
        <v>105</v>
      </c>
      <c r="F274" s="893"/>
      <c r="G274" s="847"/>
      <c r="H274" s="844">
        <f t="shared" si="198"/>
        <v>105</v>
      </c>
      <c r="I274" s="844"/>
      <c r="J274" s="842">
        <f>H274*Ratios!$C$20</f>
        <v>35.731679512041758</v>
      </c>
      <c r="K274" s="842">
        <f>+H274*Ratios!$D$20</f>
        <v>69.268320487958249</v>
      </c>
      <c r="L274" s="881" t="s">
        <v>30</v>
      </c>
      <c r="M274" s="800">
        <f t="shared" si="199"/>
        <v>0</v>
      </c>
      <c r="N274" s="842">
        <f t="shared" si="200"/>
        <v>35.731679512041758</v>
      </c>
      <c r="O274" s="805"/>
      <c r="P274" s="805"/>
      <c r="Q274" s="805"/>
      <c r="R274" s="805"/>
      <c r="S274" s="805"/>
    </row>
    <row r="275" spans="1:19">
      <c r="A275" s="867">
        <v>70255</v>
      </c>
      <c r="B275" s="799" t="s">
        <v>166</v>
      </c>
      <c r="C275" s="842">
        <f>+IFERROR(VLOOKUP($A275,'2010_IS'!$A:$AE,31,FALSE),0)</f>
        <v>25451.22</v>
      </c>
      <c r="D275" s="844"/>
      <c r="E275" s="844">
        <f t="shared" si="197"/>
        <v>25451.22</v>
      </c>
      <c r="F275" s="893"/>
      <c r="G275" s="847"/>
      <c r="H275" s="844">
        <f t="shared" si="198"/>
        <v>25451.22</v>
      </c>
      <c r="I275" s="844"/>
      <c r="J275" s="842">
        <f>+H275*Ratios!$C$44</f>
        <v>10226.537759508816</v>
      </c>
      <c r="K275" s="842">
        <f>+H275*Ratios!$D$44</f>
        <v>15224.682240491182</v>
      </c>
      <c r="L275" s="881" t="s">
        <v>134</v>
      </c>
      <c r="M275" s="800">
        <f t="shared" si="199"/>
        <v>0</v>
      </c>
      <c r="N275" s="842">
        <f t="shared" si="200"/>
        <v>10226.537759508816</v>
      </c>
      <c r="O275" s="805"/>
      <c r="P275" s="805"/>
      <c r="Q275" s="805"/>
      <c r="R275" s="805"/>
      <c r="S275" s="805"/>
    </row>
    <row r="276" spans="1:19">
      <c r="A276" s="869">
        <v>46900</v>
      </c>
      <c r="B276" s="794" t="s">
        <v>144</v>
      </c>
      <c r="C276" s="848">
        <f>SUM(C255:C275)</f>
        <v>1061029.2999999998</v>
      </c>
      <c r="D276" s="848">
        <f>SUM(D255:D275)</f>
        <v>-151124.2358292345</v>
      </c>
      <c r="E276" s="848">
        <f>SUM(E255:E275)</f>
        <v>909905.06417076546</v>
      </c>
      <c r="F276" s="889"/>
      <c r="G276" s="848">
        <f>SUM(G256:G275)</f>
        <v>0</v>
      </c>
      <c r="H276" s="848">
        <f>SUM(H255:H275)</f>
        <v>909905.06417076546</v>
      </c>
      <c r="I276" s="848"/>
      <c r="J276" s="848">
        <f>SUM(J255:J275)</f>
        <v>306365.59792522271</v>
      </c>
      <c r="K276" s="848">
        <f>SUM(K255:K275)</f>
        <v>603539.46624554263</v>
      </c>
      <c r="L276" s="890"/>
      <c r="M276" s="890"/>
      <c r="N276" s="848">
        <f>SUM(N255:N275)</f>
        <v>306365.59792522271</v>
      </c>
    </row>
    <row r="277" spans="1:19">
      <c r="A277" s="869"/>
      <c r="B277" s="794"/>
      <c r="C277" s="864"/>
      <c r="D277" s="864"/>
      <c r="E277" s="864"/>
      <c r="F277" s="865"/>
      <c r="G277" s="864"/>
      <c r="H277" s="864"/>
      <c r="I277" s="864"/>
      <c r="J277" s="864"/>
      <c r="K277" s="864"/>
      <c r="L277" s="795"/>
      <c r="M277" s="795"/>
      <c r="N277" s="864"/>
    </row>
    <row r="278" spans="1:19">
      <c r="A278" s="866"/>
      <c r="B278" s="855" t="s">
        <v>171</v>
      </c>
      <c r="C278" s="857"/>
      <c r="D278" s="858"/>
      <c r="E278" s="858"/>
      <c r="F278" s="859"/>
      <c r="G278" s="858"/>
      <c r="H278" s="858"/>
      <c r="I278" s="858"/>
      <c r="J278" s="857"/>
      <c r="K278" s="857"/>
      <c r="L278" s="860"/>
      <c r="M278" s="860"/>
      <c r="N278" s="857"/>
    </row>
    <row r="279" spans="1:19">
      <c r="A279" s="836">
        <v>51260</v>
      </c>
      <c r="B279" s="799" t="s">
        <v>172</v>
      </c>
      <c r="C279" s="842">
        <f>+IFERROR(VLOOKUP($A279,'2010_IS'!$A:$AE,31,FALSE),0)</f>
        <v>2596064.5399999996</v>
      </c>
      <c r="D279" s="844">
        <f>+'Restating Adj''s'!E86</f>
        <v>-147440.24834920606</v>
      </c>
      <c r="E279" s="844">
        <f t="shared" ref="E279:E286" si="201">SUM(C279:D279)</f>
        <v>2448624.2916507935</v>
      </c>
      <c r="F279" s="894" t="s">
        <v>72</v>
      </c>
      <c r="G279" s="847"/>
      <c r="H279" s="844">
        <f t="shared" ref="H279:H286" si="202">C279+D279+G279</f>
        <v>2448624.2916507935</v>
      </c>
      <c r="I279" s="844"/>
      <c r="J279" s="846">
        <f>+'Total Depreciation Summary'!M25</f>
        <v>931891.94894671266</v>
      </c>
      <c r="K279" s="846">
        <f>+'Total Depreciation Summary'!O25</f>
        <v>1516732.342704081</v>
      </c>
      <c r="L279" s="881" t="s">
        <v>174</v>
      </c>
      <c r="M279" s="800">
        <f>H279-J279-K279</f>
        <v>0</v>
      </c>
      <c r="N279" s="842">
        <f t="shared" ref="N279:N286" si="203">J279</f>
        <v>931891.94894671266</v>
      </c>
    </row>
    <row r="280" spans="1:19">
      <c r="A280" s="836">
        <v>54260</v>
      </c>
      <c r="B280" s="799" t="s">
        <v>175</v>
      </c>
      <c r="C280" s="842">
        <f>+IFERROR(VLOOKUP($A280,'2010_IS'!$A:$AE,31,FALSE),0)</f>
        <v>832825.24999999988</v>
      </c>
      <c r="D280" s="844">
        <f>+'Restating Adj''s'!E87</f>
        <v>23065.076301587513</v>
      </c>
      <c r="E280" s="844">
        <f t="shared" si="201"/>
        <v>855890.3263015874</v>
      </c>
      <c r="F280" s="894" t="s">
        <v>72</v>
      </c>
      <c r="G280" s="847"/>
      <c r="H280" s="844">
        <f t="shared" si="202"/>
        <v>855890.3263015874</v>
      </c>
      <c r="I280" s="844"/>
      <c r="J280" s="846">
        <f>+'Total Depreciation Summary'!M42</f>
        <v>72999.633967680507</v>
      </c>
      <c r="K280" s="846">
        <f>+'Total Depreciation Summary'!O42</f>
        <v>782890.69233390689</v>
      </c>
      <c r="L280" s="881" t="s">
        <v>174</v>
      </c>
      <c r="M280" s="800">
        <f t="shared" ref="M280:M286" si="204">H280-J280-K280</f>
        <v>0</v>
      </c>
      <c r="N280" s="842">
        <f t="shared" si="203"/>
        <v>72999.633967680507</v>
      </c>
    </row>
    <row r="281" spans="1:19">
      <c r="B281" s="799" t="s">
        <v>176</v>
      </c>
      <c r="C281" s="842">
        <f>+IFERROR(VLOOKUP($A281,'2010_IS'!$A:$AE,31,FALSE),0)</f>
        <v>0</v>
      </c>
      <c r="D281" s="844">
        <f>+'Restating Adj''s'!E88</f>
        <v>45503.047226190472</v>
      </c>
      <c r="E281" s="844">
        <f t="shared" si="201"/>
        <v>45503.047226190472</v>
      </c>
      <c r="F281" s="894" t="s">
        <v>72</v>
      </c>
      <c r="G281" s="847"/>
      <c r="H281" s="844">
        <f t="shared" si="202"/>
        <v>45503.047226190472</v>
      </c>
      <c r="I281" s="844"/>
      <c r="J281" s="846">
        <f>+'Total Depreciation Summary'!M44</f>
        <v>10136.0992843531</v>
      </c>
      <c r="K281" s="846">
        <f>+'Total Depreciation Summary'!O44+'Total Depreciation Summary'!O46+'Total Depreciation Summary'!O50</f>
        <v>35366.947941837374</v>
      </c>
      <c r="L281" s="881" t="s">
        <v>174</v>
      </c>
      <c r="M281" s="800">
        <f t="shared" si="204"/>
        <v>0</v>
      </c>
      <c r="N281" s="842">
        <f t="shared" si="203"/>
        <v>10136.0992843531</v>
      </c>
    </row>
    <row r="282" spans="1:19">
      <c r="A282" s="836">
        <v>57260</v>
      </c>
      <c r="B282" s="799" t="s">
        <v>177</v>
      </c>
      <c r="C282" s="842">
        <f>+IFERROR(VLOOKUP($A282,'2010_IS'!$A:$AE,31,FALSE),0)</f>
        <v>116389.31</v>
      </c>
      <c r="D282" s="844">
        <f>+'Restating Adj''s'!E89</f>
        <v>-93626.336147619048</v>
      </c>
      <c r="E282" s="844">
        <f t="shared" si="201"/>
        <v>22762.97385238095</v>
      </c>
      <c r="F282" s="894" t="s">
        <v>72</v>
      </c>
      <c r="G282" s="847"/>
      <c r="H282" s="844">
        <f t="shared" si="202"/>
        <v>22762.97385238095</v>
      </c>
      <c r="I282" s="844"/>
      <c r="J282" s="846">
        <f>+'Total Depreciation Summary'!M48</f>
        <v>7746.278918421549</v>
      </c>
      <c r="K282" s="846">
        <f>+'Total Depreciation Summary'!O48</f>
        <v>15016.694933959401</v>
      </c>
      <c r="L282" s="881" t="s">
        <v>174</v>
      </c>
      <c r="M282" s="800">
        <f t="shared" si="204"/>
        <v>0</v>
      </c>
      <c r="N282" s="842">
        <f t="shared" si="203"/>
        <v>7746.278918421549</v>
      </c>
    </row>
    <row r="283" spans="1:19">
      <c r="A283" s="836">
        <v>70260</v>
      </c>
      <c r="B283" s="799" t="s">
        <v>178</v>
      </c>
      <c r="C283" s="842">
        <f>+IFERROR(VLOOKUP($A283,'2010_IS'!$A:$AE,31,FALSE),0)</f>
        <v>74920.34</v>
      </c>
      <c r="D283" s="844">
        <f>+'Restating Adj''s'!E90</f>
        <v>-36431.433460317574</v>
      </c>
      <c r="E283" s="844">
        <f t="shared" si="201"/>
        <v>38488.906539682423</v>
      </c>
      <c r="F283" s="894" t="s">
        <v>72</v>
      </c>
      <c r="G283" s="847"/>
      <c r="H283" s="844">
        <f t="shared" si="202"/>
        <v>38488.906539682423</v>
      </c>
      <c r="I283" s="844"/>
      <c r="J283" s="846">
        <f>+'Total Depreciation Summary'!M52</f>
        <v>15465.201905852375</v>
      </c>
      <c r="K283" s="846">
        <f>+'Total Depreciation Summary'!O52</f>
        <v>23023.70463383005</v>
      </c>
      <c r="L283" s="881" t="s">
        <v>174</v>
      </c>
      <c r="M283" s="800">
        <f t="shared" si="204"/>
        <v>0</v>
      </c>
      <c r="N283" s="842">
        <f t="shared" si="203"/>
        <v>15465.201905852375</v>
      </c>
    </row>
    <row r="284" spans="1:19">
      <c r="B284" s="799" t="s">
        <v>179</v>
      </c>
      <c r="C284" s="842">
        <f>+IFERROR(VLOOKUP($A284,'2010_IS'!$A:$AE,31,FALSE),0)</f>
        <v>0</v>
      </c>
      <c r="D284" s="844">
        <f>+'Restating Adj''s'!E91</f>
        <v>153151.8592998058</v>
      </c>
      <c r="E284" s="844">
        <f t="shared" si="201"/>
        <v>153151.8592998058</v>
      </c>
      <c r="F284" s="894" t="s">
        <v>72</v>
      </c>
      <c r="G284" s="847"/>
      <c r="H284" s="844">
        <f t="shared" si="202"/>
        <v>153151.8592998058</v>
      </c>
      <c r="I284" s="844"/>
      <c r="J284" s="846">
        <f>+'Total Depreciation Summary'!M54+'Total Depreciation Summary'!M56</f>
        <v>52117.839554037833</v>
      </c>
      <c r="K284" s="846">
        <f>'Total Depreciation Summary'!O54+'Total Depreciation Summary'!O56</f>
        <v>101034.01974576796</v>
      </c>
      <c r="L284" s="881" t="s">
        <v>174</v>
      </c>
      <c r="M284" s="800">
        <f t="shared" si="204"/>
        <v>0</v>
      </c>
      <c r="N284" s="842">
        <f t="shared" si="203"/>
        <v>52117.839554037833</v>
      </c>
    </row>
    <row r="285" spans="1:19">
      <c r="A285" s="836">
        <v>70264</v>
      </c>
      <c r="B285" s="799" t="s">
        <v>180</v>
      </c>
      <c r="C285" s="842">
        <f>+IFERROR(VLOOKUP($A285,'2010_IS'!$A:$AE,31,FALSE),0)</f>
        <v>0</v>
      </c>
      <c r="D285" s="847"/>
      <c r="E285" s="844">
        <f t="shared" si="201"/>
        <v>0</v>
      </c>
      <c r="G285" s="847"/>
      <c r="H285" s="844">
        <f t="shared" si="202"/>
        <v>0</v>
      </c>
      <c r="I285" s="844"/>
      <c r="J285" s="846"/>
      <c r="K285" s="846">
        <f>C285</f>
        <v>0</v>
      </c>
      <c r="L285" s="881" t="s">
        <v>17</v>
      </c>
      <c r="M285" s="800">
        <f t="shared" si="204"/>
        <v>0</v>
      </c>
      <c r="N285" s="842">
        <f t="shared" si="203"/>
        <v>0</v>
      </c>
    </row>
    <row r="286" spans="1:19">
      <c r="A286" s="880">
        <v>91010</v>
      </c>
      <c r="B286" s="881" t="s">
        <v>1427</v>
      </c>
      <c r="C286" s="842">
        <f>+IFERROR(VLOOKUP($A286,'2010_IS'!$A:$AE,31,FALSE),0)</f>
        <v>-2144.8999999999996</v>
      </c>
      <c r="D286" s="843"/>
      <c r="E286" s="843">
        <f t="shared" si="201"/>
        <v>-2144.8999999999996</v>
      </c>
      <c r="F286" s="893"/>
      <c r="G286" s="843"/>
      <c r="H286" s="843">
        <f t="shared" si="202"/>
        <v>-2144.8999999999996</v>
      </c>
      <c r="I286" s="843"/>
      <c r="J286" s="842">
        <f>H286*Ratios!$C$20</f>
        <v>-729.91313700360342</v>
      </c>
      <c r="K286" s="842">
        <f>+H286*Ratios!$D$20</f>
        <v>-1414.9868629963964</v>
      </c>
      <c r="L286" s="881" t="s">
        <v>30</v>
      </c>
      <c r="M286" s="800">
        <f t="shared" si="204"/>
        <v>0</v>
      </c>
      <c r="N286" s="842">
        <f t="shared" si="203"/>
        <v>-729.91313700360342</v>
      </c>
    </row>
    <row r="287" spans="1:19">
      <c r="A287" s="869"/>
      <c r="B287" s="794" t="s">
        <v>27</v>
      </c>
      <c r="C287" s="848">
        <f>SUM(C279:C286)</f>
        <v>3618054.5399999996</v>
      </c>
      <c r="D287" s="848">
        <f>SUM(D279:D286)</f>
        <v>-55778.035129558877</v>
      </c>
      <c r="E287" s="848">
        <f>SUM(E279:E286)</f>
        <v>3562276.5048704408</v>
      </c>
      <c r="F287" s="889"/>
      <c r="G287" s="848">
        <f>SUM(G279:G286)</f>
        <v>0</v>
      </c>
      <c r="H287" s="848">
        <f>SUM(H279:H286)</f>
        <v>3562276.5048704408</v>
      </c>
      <c r="I287" s="848"/>
      <c r="J287" s="848">
        <f>SUM(J279:J286)</f>
        <v>1089627.0894400545</v>
      </c>
      <c r="K287" s="848">
        <f>SUM(K279:K286)</f>
        <v>2472649.4154303861</v>
      </c>
      <c r="L287" s="890"/>
      <c r="M287" s="890"/>
      <c r="N287" s="848">
        <f>SUM(N279:N286)</f>
        <v>1089627.0894400545</v>
      </c>
    </row>
    <row r="288" spans="1:19">
      <c r="A288" s="869"/>
      <c r="B288" s="794"/>
      <c r="C288" s="864"/>
      <c r="D288" s="864"/>
      <c r="E288" s="864"/>
      <c r="F288" s="865"/>
      <c r="G288" s="864"/>
      <c r="H288" s="864"/>
      <c r="I288" s="864"/>
      <c r="J288" s="864"/>
      <c r="K288" s="864"/>
      <c r="L288" s="795"/>
      <c r="M288" s="795"/>
      <c r="N288" s="864"/>
    </row>
    <row r="289" spans="1:19">
      <c r="A289" s="866">
        <v>52000</v>
      </c>
      <c r="B289" s="855" t="s">
        <v>181</v>
      </c>
      <c r="C289" s="857"/>
      <c r="D289" s="858"/>
      <c r="E289" s="858"/>
      <c r="F289" s="859"/>
      <c r="G289" s="858"/>
      <c r="H289" s="858"/>
      <c r="I289" s="858"/>
      <c r="J289" s="857"/>
      <c r="K289" s="857"/>
      <c r="L289" s="860"/>
      <c r="M289" s="860"/>
      <c r="N289" s="857"/>
    </row>
    <row r="290" spans="1:19">
      <c r="A290" s="836">
        <v>41201</v>
      </c>
      <c r="B290" s="799" t="s">
        <v>182</v>
      </c>
      <c r="C290" s="842">
        <f>+IFERROR(VLOOKUP($A290,'2010_IS'!$A:$AE,31,FALSE),0)</f>
        <v>6707629.8500000006</v>
      </c>
      <c r="D290" s="847"/>
      <c r="E290" s="844">
        <f>SUM(C290:D290)</f>
        <v>6707629.8500000006</v>
      </c>
      <c r="G290" s="847"/>
      <c r="H290" s="844">
        <f>C290+D290+G290</f>
        <v>6707629.8500000006</v>
      </c>
      <c r="I290" s="844"/>
      <c r="J290" s="842"/>
      <c r="K290" s="842">
        <f>H290</f>
        <v>6707629.8500000006</v>
      </c>
      <c r="L290" s="799" t="s">
        <v>17</v>
      </c>
      <c r="M290" s="800">
        <f t="shared" ref="M290:M291" si="205">H290-J290-K290</f>
        <v>0</v>
      </c>
      <c r="N290" s="842">
        <f t="shared" ref="N290:N291" si="206">J290</f>
        <v>0</v>
      </c>
    </row>
    <row r="291" spans="1:19">
      <c r="A291" s="880">
        <v>57280</v>
      </c>
      <c r="B291" s="881" t="s">
        <v>1419</v>
      </c>
      <c r="C291" s="842">
        <f>+IFERROR(VLOOKUP($A291,'2010_IS'!$A:$AE,31,FALSE),0)</f>
        <v>17395.48</v>
      </c>
      <c r="D291" s="847"/>
      <c r="E291" s="844">
        <f>SUM(C291:D291)</f>
        <v>17395.48</v>
      </c>
      <c r="G291" s="847"/>
      <c r="H291" s="844">
        <f>C291+D291+G291</f>
        <v>17395.48</v>
      </c>
      <c r="I291" s="844"/>
      <c r="J291" s="842">
        <f>H291*Ratios!$C$20</f>
        <v>5919.7115839822109</v>
      </c>
      <c r="K291" s="842">
        <f>+H291*Ratios!$D$20</f>
        <v>11475.768416017791</v>
      </c>
      <c r="L291" s="881" t="s">
        <v>30</v>
      </c>
      <c r="M291" s="800">
        <f t="shared" si="205"/>
        <v>0</v>
      </c>
      <c r="N291" s="842">
        <f t="shared" si="206"/>
        <v>5919.7115839822109</v>
      </c>
    </row>
    <row r="292" spans="1:19">
      <c r="A292" s="869">
        <v>52000</v>
      </c>
      <c r="B292" s="794" t="s">
        <v>184</v>
      </c>
      <c r="C292" s="848">
        <f>SUM(C290:C291)</f>
        <v>6725025.330000001</v>
      </c>
      <c r="D292" s="848">
        <f>SUM(D290:D291)</f>
        <v>0</v>
      </c>
      <c r="E292" s="848">
        <f>SUM(E290:E291)</f>
        <v>6725025.330000001</v>
      </c>
      <c r="F292" s="889"/>
      <c r="G292" s="848">
        <f>SUM(G290:G291)</f>
        <v>0</v>
      </c>
      <c r="H292" s="848">
        <f>SUM(H290:H291)</f>
        <v>6725025.330000001</v>
      </c>
      <c r="I292" s="848"/>
      <c r="J292" s="848">
        <f>SUM(J290:J291)</f>
        <v>5919.7115839822109</v>
      </c>
      <c r="K292" s="848">
        <f>SUM(K290:K291)</f>
        <v>6719105.6184160188</v>
      </c>
      <c r="L292" s="890"/>
      <c r="M292" s="890"/>
      <c r="N292" s="848">
        <f>SUM(N290:N291)</f>
        <v>5919.7115839822109</v>
      </c>
    </row>
    <row r="293" spans="1:19">
      <c r="A293" s="869"/>
      <c r="B293" s="794"/>
      <c r="C293" s="864"/>
      <c r="D293" s="864"/>
      <c r="E293" s="864"/>
      <c r="F293" s="865"/>
      <c r="G293" s="864"/>
      <c r="H293" s="864"/>
      <c r="I293" s="864"/>
      <c r="J293" s="864"/>
      <c r="K293" s="864"/>
      <c r="L293" s="795"/>
      <c r="M293" s="795"/>
      <c r="N293" s="864"/>
    </row>
    <row r="294" spans="1:19">
      <c r="A294" s="866">
        <v>52030</v>
      </c>
      <c r="B294" s="855" t="s">
        <v>185</v>
      </c>
      <c r="C294" s="857"/>
      <c r="D294" s="858"/>
      <c r="E294" s="858"/>
      <c r="F294" s="859"/>
      <c r="G294" s="858"/>
      <c r="H294" s="858"/>
      <c r="I294" s="858"/>
      <c r="J294" s="857"/>
      <c r="K294" s="857"/>
      <c r="L294" s="860"/>
      <c r="M294" s="860"/>
      <c r="N294" s="857"/>
    </row>
    <row r="295" spans="1:19">
      <c r="A295" s="880">
        <v>43001</v>
      </c>
      <c r="B295" s="881" t="s">
        <v>186</v>
      </c>
      <c r="C295" s="842">
        <f>+IFERROR(VLOOKUP($A295,'2010_IS'!$A:$AE,31,FALSE),0)</f>
        <v>995512.58000000007</v>
      </c>
      <c r="D295" s="843">
        <f>-'43001'!D112</f>
        <v>-10843.54</v>
      </c>
      <c r="E295" s="843">
        <f>SUM(C295:D295)</f>
        <v>984669.04</v>
      </c>
      <c r="F295" s="888" t="s">
        <v>173</v>
      </c>
      <c r="G295" s="843"/>
      <c r="H295" s="843">
        <f>C295+D295+G295</f>
        <v>984669.04</v>
      </c>
      <c r="I295" s="843"/>
      <c r="J295" s="846">
        <f>$H$295*$J$23</f>
        <v>301687.07175711269</v>
      </c>
      <c r="K295" s="846">
        <f>$H$295*$K$23</f>
        <v>682981.96824288717</v>
      </c>
      <c r="L295" s="881" t="s">
        <v>95</v>
      </c>
      <c r="M295" s="800">
        <f t="shared" ref="M295" si="207">H295-J295-K295</f>
        <v>0</v>
      </c>
      <c r="N295" s="842">
        <f>J295</f>
        <v>301687.07175711269</v>
      </c>
    </row>
    <row r="296" spans="1:19">
      <c r="A296" s="869">
        <v>52030</v>
      </c>
      <c r="B296" s="794" t="s">
        <v>185</v>
      </c>
      <c r="C296" s="848">
        <f>SUM(C295)</f>
        <v>995512.58000000007</v>
      </c>
      <c r="D296" s="848">
        <f>SUM(D295)</f>
        <v>-10843.54</v>
      </c>
      <c r="E296" s="848">
        <f>SUM(E295)</f>
        <v>984669.04</v>
      </c>
      <c r="F296" s="889"/>
      <c r="G296" s="848">
        <f>SUM(G295)</f>
        <v>0</v>
      </c>
      <c r="H296" s="848">
        <f>SUM(H295)</f>
        <v>984669.04</v>
      </c>
      <c r="I296" s="848"/>
      <c r="J296" s="848">
        <f>SUM(J295)</f>
        <v>301687.07175711269</v>
      </c>
      <c r="K296" s="848">
        <f>SUM(K295)</f>
        <v>682981.96824288717</v>
      </c>
      <c r="L296" s="890"/>
      <c r="M296" s="890"/>
      <c r="N296" s="848">
        <f>SUM(N295)</f>
        <v>301687.07175711269</v>
      </c>
    </row>
    <row r="297" spans="1:19">
      <c r="A297" s="869"/>
      <c r="B297" s="794"/>
      <c r="C297" s="864"/>
      <c r="D297" s="864"/>
      <c r="E297" s="864"/>
      <c r="F297" s="865"/>
      <c r="G297" s="864"/>
      <c r="H297" s="864"/>
      <c r="I297" s="864"/>
      <c r="J297" s="864"/>
      <c r="K297" s="864"/>
      <c r="L297" s="795"/>
      <c r="M297" s="795"/>
      <c r="N297" s="864"/>
    </row>
    <row r="298" spans="1:19">
      <c r="A298" s="866">
        <v>52200</v>
      </c>
      <c r="B298" s="855" t="s">
        <v>187</v>
      </c>
      <c r="C298" s="857"/>
      <c r="D298" s="858"/>
      <c r="E298" s="858"/>
      <c r="F298" s="859"/>
      <c r="G298" s="858"/>
      <c r="H298" s="858"/>
      <c r="I298" s="858"/>
      <c r="J298" s="857"/>
      <c r="K298" s="857"/>
      <c r="L298" s="860"/>
      <c r="M298" s="860"/>
      <c r="N298" s="857"/>
    </row>
    <row r="299" spans="1:19">
      <c r="A299" s="836">
        <v>51295</v>
      </c>
      <c r="B299" s="799" t="s">
        <v>188</v>
      </c>
      <c r="C299" s="842">
        <f>+IFERROR(VLOOKUP($A299,'2010_IS'!$A:$AE,31,FALSE),0)</f>
        <v>134681.78</v>
      </c>
      <c r="D299" s="847"/>
      <c r="E299" s="844">
        <f>SUM(C299:D299)</f>
        <v>134681.78</v>
      </c>
      <c r="G299" s="847"/>
      <c r="H299" s="844">
        <f>C299+D299+G299</f>
        <v>134681.78</v>
      </c>
      <c r="I299" s="844"/>
      <c r="J299" s="842">
        <f>H299*Ratios!$C$20</f>
        <v>45832.439991155385</v>
      </c>
      <c r="K299" s="842">
        <f>+H299*Ratios!$D$20</f>
        <v>88849.340008844636</v>
      </c>
      <c r="L299" s="881" t="s">
        <v>30</v>
      </c>
      <c r="M299" s="800">
        <f t="shared" ref="M299:M300" si="208">H299-J299-K299</f>
        <v>0</v>
      </c>
      <c r="N299" s="842">
        <f t="shared" ref="N299:N300" si="209">J299</f>
        <v>45832.439991155385</v>
      </c>
      <c r="O299" s="805"/>
      <c r="P299" s="805"/>
      <c r="Q299" s="805"/>
      <c r="R299" s="805"/>
      <c r="S299" s="805"/>
    </row>
    <row r="300" spans="1:19">
      <c r="A300" s="836">
        <v>57357</v>
      </c>
      <c r="B300" s="799" t="s">
        <v>169</v>
      </c>
      <c r="C300" s="842">
        <f>+IFERROR(VLOOKUP($A300,'2010_IS'!$A:$AE,31,FALSE),0)</f>
        <v>4063.4100000000003</v>
      </c>
      <c r="D300" s="847"/>
      <c r="E300" s="844">
        <f>SUM(C300:D300)</f>
        <v>4063.4100000000003</v>
      </c>
      <c r="G300" s="847"/>
      <c r="H300" s="844">
        <f>C300+D300+G300</f>
        <v>4063.4100000000003</v>
      </c>
      <c r="I300" s="844"/>
      <c r="J300" s="842">
        <f>H300*Ratios!$C$20</f>
        <v>1382.7853699621487</v>
      </c>
      <c r="K300" s="842">
        <f>+H300*Ratios!$D$20</f>
        <v>2680.6246300378521</v>
      </c>
      <c r="L300" s="881" t="s">
        <v>30</v>
      </c>
      <c r="M300" s="800">
        <f t="shared" si="208"/>
        <v>0</v>
      </c>
      <c r="N300" s="842">
        <f t="shared" si="209"/>
        <v>1382.7853699621487</v>
      </c>
      <c r="O300" s="805"/>
      <c r="P300" s="805"/>
      <c r="Q300" s="805"/>
      <c r="R300" s="805"/>
      <c r="S300" s="805"/>
    </row>
    <row r="301" spans="1:19">
      <c r="A301" s="869">
        <v>52200</v>
      </c>
      <c r="B301" s="794" t="s">
        <v>187</v>
      </c>
      <c r="C301" s="848">
        <f>SUM(C299:C300)</f>
        <v>138745.19</v>
      </c>
      <c r="D301" s="848">
        <f>SUM(D299:D300)</f>
        <v>0</v>
      </c>
      <c r="E301" s="848">
        <f>SUM(E299:E300)</f>
        <v>138745.19</v>
      </c>
      <c r="F301" s="889"/>
      <c r="G301" s="848">
        <f>SUM(G299:G300)</f>
        <v>0</v>
      </c>
      <c r="H301" s="848">
        <f>SUM(H299:H300)</f>
        <v>138745.19</v>
      </c>
      <c r="I301" s="848"/>
      <c r="J301" s="848">
        <f t="shared" ref="J301:K301" si="210">SUM(J299:J300)</f>
        <v>47215.225361117533</v>
      </c>
      <c r="K301" s="848">
        <f t="shared" si="210"/>
        <v>91529.964638882491</v>
      </c>
      <c r="L301" s="890"/>
      <c r="M301" s="890"/>
      <c r="N301" s="848">
        <f>SUM(N299:N300)</f>
        <v>47215.225361117533</v>
      </c>
    </row>
    <row r="302" spans="1:19">
      <c r="A302" s="869"/>
      <c r="B302" s="794"/>
      <c r="C302" s="864"/>
      <c r="D302" s="864"/>
      <c r="E302" s="864"/>
      <c r="F302" s="865"/>
      <c r="G302" s="864"/>
      <c r="H302" s="864"/>
      <c r="I302" s="864"/>
      <c r="J302" s="864"/>
      <c r="K302" s="864"/>
      <c r="L302" s="795"/>
      <c r="M302" s="795"/>
      <c r="N302" s="864"/>
    </row>
    <row r="303" spans="1:19">
      <c r="A303" s="866">
        <v>52300</v>
      </c>
      <c r="B303" s="855" t="s">
        <v>189</v>
      </c>
      <c r="C303" s="857"/>
      <c r="D303" s="858"/>
      <c r="E303" s="858"/>
      <c r="F303" s="859"/>
      <c r="G303" s="858"/>
      <c r="H303" s="858"/>
      <c r="I303" s="858"/>
      <c r="J303" s="857"/>
      <c r="K303" s="857"/>
      <c r="L303" s="860"/>
      <c r="M303" s="860"/>
      <c r="N303" s="857"/>
    </row>
    <row r="304" spans="1:19">
      <c r="A304" s="880">
        <v>70275</v>
      </c>
      <c r="B304" s="881" t="s">
        <v>189</v>
      </c>
      <c r="C304" s="842">
        <f>+IFERROR(VLOOKUP($A304,'2010_IS'!$A:$AE,31,FALSE),0)</f>
        <v>95891.46</v>
      </c>
      <c r="D304" s="847"/>
      <c r="E304" s="844">
        <f>SUM(C304:D304)</f>
        <v>95891.46</v>
      </c>
      <c r="G304" s="847"/>
      <c r="H304" s="844">
        <f>C304+D304+G304</f>
        <v>95891.46</v>
      </c>
      <c r="I304" s="844"/>
      <c r="J304" s="842">
        <f>H304*Ratios!$C$20</f>
        <v>32632.02777773116</v>
      </c>
      <c r="K304" s="842">
        <f>+H304*Ratios!$D$20</f>
        <v>63259.432222268857</v>
      </c>
      <c r="L304" s="881" t="s">
        <v>30</v>
      </c>
      <c r="M304" s="800">
        <f t="shared" ref="M304" si="211">H304-J304-K304</f>
        <v>0</v>
      </c>
      <c r="N304" s="842">
        <f t="shared" ref="N304" si="212">J304</f>
        <v>32632.02777773116</v>
      </c>
    </row>
    <row r="305" spans="1:19">
      <c r="A305" s="869">
        <v>52300</v>
      </c>
      <c r="B305" s="794" t="s">
        <v>189</v>
      </c>
      <c r="C305" s="848">
        <f>SUM(C304:C304)</f>
        <v>95891.46</v>
      </c>
      <c r="D305" s="848">
        <f>SUM(D304:D304)</f>
        <v>0</v>
      </c>
      <c r="E305" s="848">
        <f>SUM(E304:E304)</f>
        <v>95891.46</v>
      </c>
      <c r="F305" s="889"/>
      <c r="G305" s="848">
        <f>SUM(G304:G304)</f>
        <v>0</v>
      </c>
      <c r="H305" s="848">
        <f>SUM(H304:H304)</f>
        <v>95891.46</v>
      </c>
      <c r="I305" s="848"/>
      <c r="J305" s="848">
        <f>SUM(J304:J304)</f>
        <v>32632.02777773116</v>
      </c>
      <c r="K305" s="848">
        <f>SUM(K304:K304)</f>
        <v>63259.432222268857</v>
      </c>
      <c r="L305" s="890"/>
      <c r="M305" s="890"/>
      <c r="N305" s="848">
        <f>SUM(N304:N304)</f>
        <v>32632.02777773116</v>
      </c>
    </row>
    <row r="306" spans="1:19">
      <c r="C306" s="842"/>
      <c r="D306" s="847"/>
      <c r="E306" s="847"/>
      <c r="G306" s="847"/>
      <c r="H306" s="847"/>
      <c r="I306" s="847"/>
      <c r="J306" s="842"/>
      <c r="K306" s="842"/>
      <c r="N306" s="842"/>
    </row>
    <row r="307" spans="1:19">
      <c r="A307" s="866">
        <v>52400</v>
      </c>
      <c r="B307" s="855" t="s">
        <v>190</v>
      </c>
      <c r="C307" s="857"/>
      <c r="D307" s="858"/>
      <c r="E307" s="858"/>
      <c r="F307" s="859"/>
      <c r="G307" s="858"/>
      <c r="H307" s="858"/>
      <c r="I307" s="858"/>
      <c r="J307" s="857"/>
      <c r="K307" s="857"/>
      <c r="L307" s="860"/>
      <c r="M307" s="860"/>
      <c r="N307" s="857"/>
    </row>
    <row r="308" spans="1:19">
      <c r="A308" s="836">
        <v>50050</v>
      </c>
      <c r="B308" s="799" t="s">
        <v>190</v>
      </c>
      <c r="C308" s="842">
        <f>+IFERROR(VLOOKUP($A308,'2010_IS'!$A:$AE,31,FALSE),0)</f>
        <v>586344.85000000009</v>
      </c>
      <c r="D308" s="843"/>
      <c r="E308" s="843">
        <f t="shared" ref="E308:E313" si="213">SUM(C308:D308)</f>
        <v>586344.85000000009</v>
      </c>
      <c r="F308" s="718" t="s">
        <v>461</v>
      </c>
      <c r="G308" s="843">
        <f>'Pro-forma Adj''s'!B23</f>
        <v>11356.904787439022</v>
      </c>
      <c r="H308" s="844">
        <f t="shared" ref="H308:H313" si="214">C308+D308+G308</f>
        <v>597701.75478743913</v>
      </c>
      <c r="I308" s="844"/>
      <c r="J308" s="842">
        <f>H308*Ratios!$C$20</f>
        <v>203398.92900809282</v>
      </c>
      <c r="K308" s="842">
        <f>+H308*Ratios!$D$20</f>
        <v>394302.8257793464</v>
      </c>
      <c r="L308" s="881" t="s">
        <v>30</v>
      </c>
      <c r="M308" s="800">
        <f t="shared" ref="M308:M313" si="215">H308-J308-K308</f>
        <v>0</v>
      </c>
      <c r="N308" s="842">
        <f t="shared" ref="N308:N313" si="216">J308</f>
        <v>203398.92900809282</v>
      </c>
      <c r="O308" s="805"/>
      <c r="P308" s="805"/>
      <c r="Q308" s="805"/>
      <c r="R308" s="805"/>
      <c r="S308" s="805"/>
    </row>
    <row r="309" spans="1:19">
      <c r="A309" s="836">
        <v>52050</v>
      </c>
      <c r="B309" s="799" t="s">
        <v>190</v>
      </c>
      <c r="C309" s="842">
        <f>+IFERROR(VLOOKUP($A309,'2010_IS'!$A:$AE,31,FALSE),0)</f>
        <v>85954.13</v>
      </c>
      <c r="D309" s="843"/>
      <c r="E309" s="843">
        <f t="shared" si="213"/>
        <v>85954.13</v>
      </c>
      <c r="F309" s="718" t="s">
        <v>461</v>
      </c>
      <c r="G309" s="843">
        <f>'Pro-forma Adj''s'!B24</f>
        <v>2668.3035646556923</v>
      </c>
      <c r="H309" s="844">
        <f t="shared" si="214"/>
        <v>88622.433564655701</v>
      </c>
      <c r="I309" s="844"/>
      <c r="J309" s="842">
        <f>H309*'Shop Exp'!$L$20</f>
        <v>25958.968613722329</v>
      </c>
      <c r="K309" s="842">
        <f>H309-J309</f>
        <v>62663.464950933369</v>
      </c>
      <c r="L309" s="846" t="s">
        <v>1280</v>
      </c>
      <c r="M309" s="800">
        <f t="shared" si="215"/>
        <v>0</v>
      </c>
      <c r="N309" s="842">
        <f t="shared" si="216"/>
        <v>25958.968613722329</v>
      </c>
      <c r="O309" s="805"/>
      <c r="P309" s="805"/>
      <c r="Q309" s="805"/>
      <c r="R309" s="805"/>
      <c r="S309" s="805"/>
    </row>
    <row r="310" spans="1:19">
      <c r="A310" s="836">
        <v>55050</v>
      </c>
      <c r="B310" s="799" t="s">
        <v>190</v>
      </c>
      <c r="C310" s="842">
        <f>+IFERROR(VLOOKUP($A310,'2010_IS'!$A:$AE,31,FALSE),0)</f>
        <v>28170.76</v>
      </c>
      <c r="D310" s="843"/>
      <c r="E310" s="843">
        <f t="shared" si="213"/>
        <v>28170.76</v>
      </c>
      <c r="F310" s="718" t="s">
        <v>461</v>
      </c>
      <c r="G310" s="843">
        <f>'Pro-forma Adj''s'!B25</f>
        <v>468.74301376553802</v>
      </c>
      <c r="H310" s="844">
        <f t="shared" si="214"/>
        <v>28639.503013765538</v>
      </c>
      <c r="I310" s="844"/>
      <c r="J310" s="842">
        <f>H310*Ratios!$F$28</f>
        <v>13924.212956845051</v>
      </c>
      <c r="K310" s="842">
        <f>H310*Ratios!$G$28</f>
        <v>14715.290056920488</v>
      </c>
      <c r="L310" s="881" t="s">
        <v>1430</v>
      </c>
      <c r="M310" s="800">
        <f t="shared" si="215"/>
        <v>0</v>
      </c>
      <c r="N310" s="842">
        <f t="shared" si="216"/>
        <v>13924.212956845051</v>
      </c>
      <c r="O310" s="805"/>
      <c r="P310" s="805"/>
      <c r="Q310" s="805"/>
      <c r="R310" s="805"/>
      <c r="S310" s="805"/>
    </row>
    <row r="311" spans="1:19">
      <c r="A311" s="836">
        <v>56050</v>
      </c>
      <c r="B311" s="799" t="s">
        <v>190</v>
      </c>
      <c r="C311" s="842">
        <f>+IFERROR(VLOOKUP($A311,'2010_IS'!$A:$AE,31,FALSE),0)</f>
        <v>39846.6</v>
      </c>
      <c r="D311" s="843"/>
      <c r="E311" s="843">
        <f t="shared" si="213"/>
        <v>39846.6</v>
      </c>
      <c r="F311" s="718" t="s">
        <v>461</v>
      </c>
      <c r="G311" s="843">
        <f>'Pro-forma Adj''s'!B26</f>
        <v>1243.712305371399</v>
      </c>
      <c r="H311" s="844">
        <f t="shared" si="214"/>
        <v>41090.312305371401</v>
      </c>
      <c r="I311" s="844"/>
      <c r="J311" s="842">
        <f>H311*Ratios!$C$20</f>
        <v>13983.103527097492</v>
      </c>
      <c r="K311" s="842">
        <f>+H311*Ratios!$D$20</f>
        <v>27107.208778273915</v>
      </c>
      <c r="L311" s="881" t="s">
        <v>30</v>
      </c>
      <c r="M311" s="800">
        <f t="shared" si="215"/>
        <v>0</v>
      </c>
      <c r="N311" s="842">
        <f>J311</f>
        <v>13983.103527097492</v>
      </c>
      <c r="O311" s="805"/>
      <c r="P311" s="805"/>
      <c r="Q311" s="805"/>
      <c r="R311" s="805"/>
      <c r="S311" s="805"/>
    </row>
    <row r="312" spans="1:19">
      <c r="A312" s="836">
        <v>60050</v>
      </c>
      <c r="B312" s="799" t="s">
        <v>190</v>
      </c>
      <c r="C312" s="842">
        <f>+IFERROR(VLOOKUP($A312,'2010_IS'!$A:$AE,31,FALSE),0)</f>
        <v>882.14999999999986</v>
      </c>
      <c r="D312" s="843"/>
      <c r="E312" s="843">
        <f t="shared" si="213"/>
        <v>882.14999999999986</v>
      </c>
      <c r="F312" s="718" t="s">
        <v>461</v>
      </c>
      <c r="G312" s="843">
        <v>0</v>
      </c>
      <c r="H312" s="844">
        <f t="shared" si="214"/>
        <v>882.14999999999986</v>
      </c>
      <c r="I312" s="844"/>
      <c r="J312" s="842">
        <v>0</v>
      </c>
      <c r="K312" s="842">
        <f>H312-J312</f>
        <v>882.14999999999986</v>
      </c>
      <c r="L312" s="881" t="s">
        <v>17</v>
      </c>
      <c r="M312" s="800">
        <f t="shared" ref="M312" si="217">H312-J312-K312</f>
        <v>0</v>
      </c>
      <c r="N312" s="842">
        <f>J312</f>
        <v>0</v>
      </c>
      <c r="O312" s="805"/>
      <c r="P312" s="805"/>
      <c r="Q312" s="805"/>
      <c r="R312" s="805"/>
      <c r="S312" s="805"/>
    </row>
    <row r="313" spans="1:19">
      <c r="A313" s="836">
        <v>70050</v>
      </c>
      <c r="B313" s="799" t="s">
        <v>190</v>
      </c>
      <c r="C313" s="842">
        <f>+IFERROR(VLOOKUP($A313,'2010_IS'!$A:$AE,31,FALSE),0)</f>
        <v>172144.92</v>
      </c>
      <c r="D313" s="843"/>
      <c r="E313" s="843">
        <f t="shared" si="213"/>
        <v>172144.92</v>
      </c>
      <c r="F313" s="718" t="s">
        <v>461</v>
      </c>
      <c r="G313" s="843">
        <f>'Pro-forma Adj''s'!B27</f>
        <v>3179.4613305206103</v>
      </c>
      <c r="H313" s="844">
        <f t="shared" si="214"/>
        <v>175324.38133052061</v>
      </c>
      <c r="I313" s="844"/>
      <c r="J313" s="842">
        <f>+H313*Ratios!$C$44</f>
        <v>70446.972908925061</v>
      </c>
      <c r="K313" s="842">
        <f>+H313*Ratios!$D$44</f>
        <v>104877.40842159554</v>
      </c>
      <c r="L313" s="881" t="s">
        <v>134</v>
      </c>
      <c r="M313" s="800">
        <f t="shared" si="215"/>
        <v>0</v>
      </c>
      <c r="N313" s="842">
        <f t="shared" si="216"/>
        <v>70446.972908925061</v>
      </c>
      <c r="O313" s="805"/>
      <c r="P313" s="805"/>
      <c r="Q313" s="805"/>
      <c r="R313" s="805"/>
      <c r="S313" s="805"/>
    </row>
    <row r="314" spans="1:19">
      <c r="A314" s="869">
        <v>52400</v>
      </c>
      <c r="B314" s="794" t="s">
        <v>190</v>
      </c>
      <c r="C314" s="848">
        <f>SUM(C308:C313)</f>
        <v>913343.41000000015</v>
      </c>
      <c r="D314" s="848">
        <f>SUM(D308:D313)</f>
        <v>0</v>
      </c>
      <c r="E314" s="848">
        <f>SUM(E308:E313)</f>
        <v>913343.41000000015</v>
      </c>
      <c r="F314" s="889"/>
      <c r="G314" s="848">
        <f>SUM(G308:G313)</f>
        <v>18917.125001752262</v>
      </c>
      <c r="H314" s="848">
        <f>SUM(H308:H313)</f>
        <v>932260.53500175243</v>
      </c>
      <c r="I314" s="848"/>
      <c r="J314" s="848">
        <f>SUM(J308:J313)</f>
        <v>327712.1870146828</v>
      </c>
      <c r="K314" s="848">
        <f>SUM(K308:K313)</f>
        <v>604548.34798706975</v>
      </c>
      <c r="L314" s="890"/>
      <c r="M314" s="890"/>
      <c r="N314" s="848">
        <f>SUM(N308:N313)</f>
        <v>327712.1870146828</v>
      </c>
    </row>
    <row r="315" spans="1:19">
      <c r="A315" s="869"/>
      <c r="B315" s="794"/>
      <c r="C315" s="864"/>
      <c r="D315" s="864"/>
      <c r="E315" s="864"/>
      <c r="F315" s="865"/>
      <c r="G315" s="864"/>
      <c r="H315" s="864"/>
      <c r="I315" s="864"/>
      <c r="J315" s="864"/>
      <c r="K315" s="864"/>
      <c r="L315" s="795"/>
      <c r="M315" s="795"/>
      <c r="N315" s="864"/>
    </row>
    <row r="316" spans="1:19">
      <c r="A316" s="866">
        <v>53200</v>
      </c>
      <c r="B316" s="855" t="s">
        <v>191</v>
      </c>
      <c r="C316" s="857"/>
      <c r="D316" s="858"/>
      <c r="E316" s="858"/>
      <c r="F316" s="859"/>
      <c r="G316" s="858"/>
      <c r="H316" s="858"/>
      <c r="I316" s="858"/>
      <c r="J316" s="857"/>
      <c r="K316" s="857"/>
      <c r="L316" s="860"/>
      <c r="M316" s="860"/>
      <c r="N316" s="857"/>
    </row>
    <row r="317" spans="1:19">
      <c r="A317" s="836">
        <v>57170</v>
      </c>
      <c r="B317" s="799" t="s">
        <v>192</v>
      </c>
      <c r="C317" s="842">
        <f>+IFERROR(VLOOKUP($A317,'2010_IS'!$A:$AE,31,FALSE),0)</f>
        <v>215895.17999999996</v>
      </c>
      <c r="D317" s="847"/>
      <c r="E317" s="844">
        <f>SUM(C317:D317)</f>
        <v>215895.17999999996</v>
      </c>
      <c r="G317" s="847"/>
      <c r="H317" s="844">
        <f>C317+D317+G317</f>
        <v>215895.17999999996</v>
      </c>
      <c r="I317" s="844"/>
      <c r="J317" s="842">
        <f>+H317*Ratios!$C$65</f>
        <v>115333.75040691059</v>
      </c>
      <c r="K317" s="842">
        <f>+H317*Ratios!$D$65</f>
        <v>100561.42959308937</v>
      </c>
      <c r="L317" s="881" t="s">
        <v>98</v>
      </c>
      <c r="M317" s="800">
        <f t="shared" ref="M317" si="218">H317-J317-K317</f>
        <v>0</v>
      </c>
      <c r="N317" s="842">
        <f t="shared" ref="N317" si="219">J317</f>
        <v>115333.75040691059</v>
      </c>
    </row>
    <row r="318" spans="1:19">
      <c r="A318" s="869">
        <v>53200</v>
      </c>
      <c r="B318" s="794" t="s">
        <v>191</v>
      </c>
      <c r="C318" s="848">
        <f>SUM(C317:C317)</f>
        <v>215895.17999999996</v>
      </c>
      <c r="D318" s="848">
        <f t="shared" ref="D318:E318" si="220">SUM(D317:D317)</f>
        <v>0</v>
      </c>
      <c r="E318" s="848">
        <f t="shared" si="220"/>
        <v>215895.17999999996</v>
      </c>
      <c r="F318" s="889"/>
      <c r="G318" s="848">
        <f>SUM(G317:G317)</f>
        <v>0</v>
      </c>
      <c r="H318" s="848">
        <f>SUM(H317:H317)</f>
        <v>215895.17999999996</v>
      </c>
      <c r="I318" s="848"/>
      <c r="J318" s="848">
        <f>SUM(J317:J317)</f>
        <v>115333.75040691059</v>
      </c>
      <c r="K318" s="848">
        <f>SUM(K317:K317)</f>
        <v>100561.42959308937</v>
      </c>
      <c r="L318" s="890"/>
      <c r="M318" s="890"/>
      <c r="N318" s="848">
        <f>SUM(N317:N317)</f>
        <v>115333.75040691059</v>
      </c>
    </row>
    <row r="319" spans="1:19">
      <c r="A319" s="869"/>
      <c r="B319" s="794"/>
      <c r="C319" s="864"/>
      <c r="D319" s="864"/>
      <c r="E319" s="864"/>
      <c r="F319" s="865"/>
      <c r="G319" s="864"/>
      <c r="H319" s="864"/>
      <c r="I319" s="864"/>
      <c r="J319" s="864"/>
      <c r="K319" s="864"/>
      <c r="L319" s="795"/>
      <c r="M319" s="795"/>
      <c r="N319" s="864"/>
    </row>
    <row r="320" spans="1:19">
      <c r="A320" s="866"/>
      <c r="B320" s="855" t="s">
        <v>180</v>
      </c>
      <c r="C320" s="857"/>
      <c r="D320" s="858"/>
      <c r="E320" s="858"/>
      <c r="F320" s="859"/>
      <c r="G320" s="858"/>
      <c r="H320" s="858"/>
      <c r="I320" s="858"/>
      <c r="J320" s="857"/>
      <c r="K320" s="857"/>
      <c r="L320" s="860"/>
      <c r="M320" s="860"/>
      <c r="N320" s="857"/>
    </row>
    <row r="321" spans="1:28">
      <c r="A321" s="836">
        <v>70269</v>
      </c>
      <c r="B321" s="799" t="s">
        <v>193</v>
      </c>
      <c r="C321" s="842">
        <f>+IFERROR(VLOOKUP($A321,'2010_IS'!$A:$AE,31,FALSE),0)</f>
        <v>0</v>
      </c>
      <c r="D321" s="847"/>
      <c r="E321" s="844">
        <f>SUM(C321:D321)</f>
        <v>0</v>
      </c>
      <c r="G321" s="847"/>
      <c r="H321" s="844">
        <f>C321+D321+G321</f>
        <v>0</v>
      </c>
      <c r="I321" s="844"/>
      <c r="J321" s="864"/>
      <c r="K321" s="842">
        <f>H321</f>
        <v>0</v>
      </c>
      <c r="L321" s="799" t="s">
        <v>17</v>
      </c>
      <c r="M321" s="800">
        <f t="shared" ref="M321" si="221">H321-J321-K321</f>
        <v>0</v>
      </c>
      <c r="N321" s="842">
        <f t="shared" ref="N321" si="222">J321</f>
        <v>0</v>
      </c>
    </row>
    <row r="322" spans="1:28">
      <c r="A322" s="869"/>
      <c r="B322" s="794" t="s">
        <v>194</v>
      </c>
      <c r="C322" s="848">
        <f>C321</f>
        <v>0</v>
      </c>
      <c r="D322" s="848">
        <f t="shared" ref="D322:E322" si="223">D321</f>
        <v>0</v>
      </c>
      <c r="E322" s="848">
        <f t="shared" si="223"/>
        <v>0</v>
      </c>
      <c r="F322" s="889"/>
      <c r="G322" s="848">
        <f>G321</f>
        <v>0</v>
      </c>
      <c r="H322" s="848">
        <f>H321</f>
        <v>0</v>
      </c>
      <c r="I322" s="848"/>
      <c r="J322" s="848">
        <f>J321</f>
        <v>0</v>
      </c>
      <c r="K322" s="848">
        <f>K321</f>
        <v>0</v>
      </c>
      <c r="L322" s="890"/>
      <c r="M322" s="890"/>
      <c r="N322" s="848">
        <f>N321</f>
        <v>0</v>
      </c>
    </row>
    <row r="323" spans="1:28">
      <c r="C323" s="842"/>
      <c r="D323" s="847"/>
      <c r="E323" s="847"/>
      <c r="G323" s="847"/>
      <c r="H323" s="847"/>
      <c r="I323" s="847"/>
      <c r="J323" s="842"/>
      <c r="K323" s="842"/>
      <c r="N323" s="842"/>
    </row>
    <row r="324" spans="1:28">
      <c r="B324" s="794" t="s">
        <v>27</v>
      </c>
      <c r="C324" s="848">
        <f>C30+C41+C58+C62+C66+C70+C80+C90+C106+C110+C118+C139+C148+C159+C164+C170+C177+C188+C192+C211+C215+C221+C226+C237+C248+C252+C276+C287+C292+C296+C301+C305+C314+C318+C322+C50+C155</f>
        <v>57692076.399999991</v>
      </c>
      <c r="D324" s="848">
        <f>D30+D41+D58+D62+D66+D70+D80+D90+D106+D110+D118+D139+D148+D159+D164+D170+D177+D188+D192+D211+D215+D221+D226+D237+D248+D252+D276+D287+D292+D296+D301+D305+D314+D318+D322+D50+D155</f>
        <v>-152755.33168218282</v>
      </c>
      <c r="E324" s="848">
        <f>E30+E41+E58+E62+E66+E70+E80+E90+E106+E110+E118+E139+E148+E159+E164+E170+E177+E188+E192+E211+E215+E221+E226+E237+E248+E252+E276+E287+E292+E296+E301+E305+E314+E318+E322+E50+E155</f>
        <v>57538536.268317796</v>
      </c>
      <c r="F324" s="849"/>
      <c r="G324" s="848">
        <f>G30+G41+G58+G62+G66+G70+G80+G90+G106+G110+G118+G139+G148+G159+G164+G170+G177+G188+G192+G211+G215+G221+G226+G237+G248+G252+G276+G287+G292+G296+G301+G305+G314+G318+G322+G50+G155</f>
        <v>581043.73629572825</v>
      </c>
      <c r="H324" s="848">
        <f>H30+H41+H58+H62+H66+H70+H80+H90+H106+H110+H118+H139+H148+H159+H164+H170+H177+H188+H192+H211+H215+H221+H226+H237+H248+H252+H276+H287+H292+H296+H301+H305+H314+H318+H322+H50+H155</f>
        <v>58120364.804613538</v>
      </c>
      <c r="I324" s="848"/>
      <c r="J324" s="848">
        <f>J30+J41+J58+J62+J66+J70+J80+J90+J106+J110+J118+J139+J148+J159+J164+J170+J177+J188+J192+J211+J215+J221+J226+J237+J248+J252+J276+J287+J292+J296+J301+J305+J314+J318+J322+J50+J155</f>
        <v>19820740.100399237</v>
      </c>
      <c r="K324" s="848">
        <f>K30+K41+K58+K62+K66+K70+K80+K90+K106+K110+K118+K139+K148+K159+K164+K170+K177+K188+K192+K211+K215+K221+K226+K237+K248+K252+K276+K287+K292+K296+K301+K305+K314+K318+K322+K50+K155</f>
        <v>38299624.704214305</v>
      </c>
      <c r="L324" s="850"/>
      <c r="M324" s="850"/>
      <c r="N324" s="848">
        <f>N30+N41+N58+N62+N66+N70+N80+N90+N106+N110+N118+N139+N148+N159+N164+N170+N177+N188+N192+N211+N215+N221+N226+N237+N248+N252+N276+N287+N292+N296+N301+N305+N314+N318+N322+N50+N155</f>
        <v>19820740.100399237</v>
      </c>
      <c r="O324" s="795"/>
    </row>
    <row r="325" spans="1:28">
      <c r="B325" s="794"/>
      <c r="C325" s="864"/>
      <c r="N325" s="795"/>
    </row>
    <row r="326" spans="1:28">
      <c r="B326" s="794" t="s">
        <v>195</v>
      </c>
      <c r="C326" s="895">
        <f>C324/C22</f>
        <v>0.85333062219535261</v>
      </c>
      <c r="D326" s="896"/>
      <c r="E326" s="896"/>
      <c r="F326" s="897"/>
      <c r="G326" s="896"/>
      <c r="H326" s="895">
        <f>H324/H22</f>
        <v>0.85663353195353253</v>
      </c>
      <c r="I326" s="895"/>
      <c r="J326" s="895">
        <f>J324/J22</f>
        <v>0.95349888385862491</v>
      </c>
      <c r="K326" s="895">
        <f>K324/K22</f>
        <v>0.81384612946009394</v>
      </c>
      <c r="L326" s="874"/>
      <c r="M326" s="874"/>
      <c r="N326" s="895">
        <f>N324/N22</f>
        <v>0.95349888385862491</v>
      </c>
    </row>
    <row r="327" spans="1:28">
      <c r="N327" s="795"/>
    </row>
    <row r="328" spans="1:28" ht="12.75" thickBot="1">
      <c r="B328" s="794" t="s">
        <v>196</v>
      </c>
      <c r="C328" s="898">
        <f>C22-C324</f>
        <v>9916040.4300000072</v>
      </c>
      <c r="D328" s="898">
        <f>D22-D324</f>
        <v>77064.566682170174</v>
      </c>
      <c r="E328" s="898">
        <f>E22-E324</f>
        <v>9993889.7966822013</v>
      </c>
      <c r="F328" s="899"/>
      <c r="G328" s="898">
        <f>G22-G324</f>
        <v>-266061.73629572825</v>
      </c>
      <c r="H328" s="898">
        <f>H22-H324</f>
        <v>9727043.2603864595</v>
      </c>
      <c r="I328" s="900"/>
      <c r="J328" s="898">
        <f>J22-J324</f>
        <v>966636.19960076734</v>
      </c>
      <c r="K328" s="898">
        <f>K22-K324</f>
        <v>8760407.0607856736</v>
      </c>
      <c r="L328" s="901"/>
      <c r="M328" s="901"/>
      <c r="N328" s="898">
        <f>N22-N324</f>
        <v>966636.19960076734</v>
      </c>
    </row>
    <row r="329" spans="1:28" ht="12.75" thickTop="1"/>
    <row r="330" spans="1:28" s="794" customFormat="1">
      <c r="A330" s="869"/>
      <c r="B330" s="794" t="s">
        <v>197</v>
      </c>
      <c r="C330" s="902"/>
      <c r="D330" s="902"/>
      <c r="E330" s="902"/>
      <c r="F330" s="903"/>
      <c r="G330" s="902"/>
      <c r="H330" s="904">
        <f>'Total Depreciation Summary'!S60</f>
        <v>21640957.783970792</v>
      </c>
      <c r="I330" s="904"/>
      <c r="J330" s="902">
        <f>+'Total Depreciation Summary'!U60</f>
        <v>6086106.6324582901</v>
      </c>
      <c r="K330" s="902">
        <f>+H330-J330</f>
        <v>15554851.151512502</v>
      </c>
      <c r="L330" s="902"/>
      <c r="M330" s="902"/>
      <c r="N330" s="902">
        <f>+J330</f>
        <v>6086106.6324582901</v>
      </c>
    </row>
    <row r="331" spans="1:28">
      <c r="C331" s="905"/>
    </row>
    <row r="332" spans="1:28">
      <c r="J332" s="906"/>
      <c r="N332" s="795"/>
    </row>
    <row r="333" spans="1:28" s="798" customFormat="1">
      <c r="A333" s="836"/>
      <c r="B333" s="794"/>
      <c r="C333" s="907">
        <f>+'2010_IS'!AE323-'Vancouver Consolidated IS'!C328</f>
        <v>5.0000008195638657E-2</v>
      </c>
      <c r="D333" s="796"/>
      <c r="E333" s="796"/>
      <c r="F333" s="797"/>
      <c r="G333" s="796"/>
      <c r="H333" s="796"/>
      <c r="I333" s="796"/>
      <c r="J333" s="908"/>
      <c r="L333" s="799"/>
      <c r="M333" s="799"/>
      <c r="N333" s="799"/>
      <c r="O333" s="799"/>
      <c r="P333" s="799"/>
      <c r="Q333" s="799"/>
      <c r="R333" s="799"/>
      <c r="S333" s="799"/>
      <c r="T333" s="799"/>
      <c r="U333" s="799"/>
      <c r="V333" s="799"/>
      <c r="W333" s="799"/>
      <c r="X333" s="799"/>
      <c r="Y333" s="799"/>
      <c r="Z333" s="799"/>
      <c r="AA333" s="799"/>
      <c r="AB333" s="799"/>
    </row>
    <row r="334" spans="1:28">
      <c r="J334" s="805"/>
    </row>
    <row r="335" spans="1:28" s="798" customFormat="1">
      <c r="A335" s="836"/>
      <c r="B335" s="794"/>
      <c r="C335" s="795"/>
      <c r="D335" s="796"/>
      <c r="E335" s="796"/>
      <c r="F335" s="797"/>
      <c r="G335" s="796"/>
      <c r="H335" s="796"/>
      <c r="I335" s="796"/>
      <c r="L335" s="799"/>
      <c r="M335" s="799"/>
      <c r="N335" s="799"/>
      <c r="O335" s="799"/>
      <c r="P335" s="799"/>
      <c r="Q335" s="799"/>
      <c r="R335" s="799"/>
      <c r="S335" s="799"/>
      <c r="T335" s="799"/>
      <c r="U335" s="799"/>
      <c r="V335" s="799"/>
      <c r="W335" s="799"/>
      <c r="X335" s="799"/>
      <c r="Y335" s="799"/>
      <c r="Z335" s="799"/>
      <c r="AA335" s="799"/>
      <c r="AB335" s="799"/>
    </row>
    <row r="336" spans="1:28" s="798" customFormat="1">
      <c r="A336" s="836"/>
      <c r="B336" s="799"/>
      <c r="C336" s="842"/>
      <c r="D336" s="909"/>
      <c r="E336" s="796"/>
      <c r="F336" s="797"/>
      <c r="G336" s="796"/>
      <c r="H336" s="796"/>
      <c r="I336" s="796"/>
      <c r="L336" s="799"/>
      <c r="M336" s="799"/>
      <c r="N336" s="799"/>
      <c r="O336" s="799"/>
      <c r="P336" s="799"/>
      <c r="Q336" s="799"/>
      <c r="R336" s="799"/>
      <c r="S336" s="799"/>
      <c r="T336" s="799"/>
      <c r="U336" s="799"/>
      <c r="V336" s="799"/>
      <c r="W336" s="799"/>
      <c r="X336" s="799"/>
      <c r="Y336" s="799"/>
      <c r="Z336" s="799"/>
      <c r="AA336" s="799"/>
      <c r="AB336" s="799"/>
    </row>
    <row r="337" spans="1:28" s="798" customFormat="1">
      <c r="A337" s="836"/>
      <c r="B337" s="799"/>
      <c r="C337" s="842"/>
      <c r="D337" s="909"/>
      <c r="E337" s="796"/>
      <c r="F337" s="797"/>
      <c r="G337" s="796"/>
      <c r="H337" s="796"/>
      <c r="I337" s="796"/>
      <c r="L337" s="799"/>
      <c r="M337" s="799"/>
      <c r="N337" s="799"/>
      <c r="O337" s="799"/>
      <c r="P337" s="799"/>
      <c r="Q337" s="799"/>
      <c r="R337" s="799"/>
      <c r="S337" s="799"/>
      <c r="T337" s="799"/>
      <c r="U337" s="799"/>
      <c r="V337" s="799"/>
      <c r="W337" s="799"/>
      <c r="X337" s="799"/>
      <c r="Y337" s="799"/>
      <c r="Z337" s="799"/>
      <c r="AA337" s="799"/>
      <c r="AB337" s="799"/>
    </row>
    <row r="338" spans="1:28" s="798" customFormat="1">
      <c r="A338" s="836"/>
      <c r="B338" s="799"/>
      <c r="C338" s="842"/>
      <c r="D338" s="909"/>
      <c r="E338" s="796"/>
      <c r="F338" s="797"/>
      <c r="G338" s="796"/>
      <c r="H338" s="796"/>
      <c r="I338" s="796"/>
      <c r="L338" s="799"/>
      <c r="M338" s="799"/>
      <c r="N338" s="799"/>
      <c r="O338" s="799"/>
      <c r="P338" s="799"/>
      <c r="Q338" s="799"/>
      <c r="R338" s="799"/>
      <c r="S338" s="799"/>
      <c r="T338" s="799"/>
      <c r="U338" s="799"/>
      <c r="V338" s="799"/>
      <c r="W338" s="799"/>
      <c r="X338" s="799"/>
      <c r="Y338" s="799"/>
      <c r="Z338" s="799"/>
      <c r="AA338" s="799"/>
      <c r="AB338" s="799"/>
    </row>
    <row r="339" spans="1:28" s="798" customFormat="1">
      <c r="A339" s="836"/>
      <c r="B339" s="799"/>
      <c r="C339" s="842"/>
      <c r="D339" s="909"/>
      <c r="E339" s="796"/>
      <c r="F339" s="797"/>
      <c r="G339" s="796"/>
      <c r="H339" s="796"/>
      <c r="I339" s="796"/>
      <c r="L339" s="799"/>
      <c r="M339" s="799"/>
      <c r="N339" s="799"/>
      <c r="O339" s="799"/>
      <c r="P339" s="799"/>
      <c r="Q339" s="799"/>
      <c r="R339" s="799"/>
      <c r="S339" s="799"/>
      <c r="T339" s="799"/>
      <c r="U339" s="799"/>
      <c r="V339" s="799"/>
      <c r="W339" s="799"/>
      <c r="X339" s="799"/>
      <c r="Y339" s="799"/>
      <c r="Z339" s="799"/>
      <c r="AA339" s="799"/>
      <c r="AB339" s="799"/>
    </row>
    <row r="340" spans="1:28" s="798" customFormat="1">
      <c r="A340" s="836"/>
      <c r="B340" s="794"/>
      <c r="C340" s="864"/>
      <c r="D340" s="910"/>
      <c r="E340" s="796"/>
      <c r="F340" s="797"/>
      <c r="G340" s="796"/>
      <c r="H340" s="796"/>
      <c r="I340" s="796"/>
      <c r="L340" s="799"/>
      <c r="M340" s="799"/>
      <c r="N340" s="799"/>
      <c r="O340" s="799"/>
      <c r="P340" s="799"/>
      <c r="Q340" s="799"/>
      <c r="R340" s="799"/>
      <c r="S340" s="799"/>
      <c r="T340" s="799"/>
      <c r="U340" s="799"/>
      <c r="V340" s="799"/>
      <c r="W340" s="799"/>
      <c r="X340" s="799"/>
      <c r="Y340" s="799"/>
      <c r="Z340" s="799"/>
      <c r="AA340" s="799"/>
      <c r="AB340" s="799"/>
    </row>
    <row r="341" spans="1:28" s="798" customFormat="1">
      <c r="A341" s="836"/>
      <c r="B341" s="799"/>
      <c r="C341" s="795"/>
      <c r="D341" s="796"/>
      <c r="E341" s="796"/>
      <c r="F341" s="797"/>
      <c r="G341" s="796"/>
      <c r="H341" s="796"/>
      <c r="I341" s="796"/>
      <c r="L341" s="799"/>
      <c r="M341" s="799"/>
      <c r="N341" s="799"/>
      <c r="O341" s="799"/>
      <c r="P341" s="799"/>
      <c r="Q341" s="799"/>
      <c r="R341" s="799"/>
      <c r="S341" s="799"/>
      <c r="T341" s="799"/>
      <c r="U341" s="799"/>
      <c r="V341" s="799"/>
      <c r="W341" s="799"/>
      <c r="X341" s="799"/>
      <c r="Y341" s="799"/>
      <c r="Z341" s="799"/>
      <c r="AA341" s="799"/>
      <c r="AB341" s="799"/>
    </row>
    <row r="342" spans="1:28" s="798" customFormat="1">
      <c r="A342" s="836"/>
      <c r="B342" s="799"/>
      <c r="C342" s="795"/>
      <c r="D342" s="796"/>
      <c r="E342" s="796"/>
      <c r="F342" s="797"/>
      <c r="G342" s="796"/>
      <c r="H342" s="796"/>
      <c r="I342" s="796"/>
      <c r="L342" s="799"/>
      <c r="M342" s="799"/>
      <c r="N342" s="799"/>
      <c r="O342" s="799"/>
      <c r="P342" s="799"/>
      <c r="Q342" s="799"/>
      <c r="R342" s="799"/>
      <c r="S342" s="799"/>
      <c r="T342" s="799"/>
      <c r="U342" s="799"/>
      <c r="V342" s="799"/>
      <c r="W342" s="799"/>
      <c r="X342" s="799"/>
      <c r="Y342" s="799"/>
      <c r="Z342" s="799"/>
      <c r="AA342" s="799"/>
      <c r="AB342" s="799"/>
    </row>
    <row r="343" spans="1:28" s="798" customFormat="1">
      <c r="A343" s="836"/>
      <c r="B343" s="799"/>
      <c r="C343" s="795"/>
      <c r="D343" s="796"/>
      <c r="E343" s="796"/>
      <c r="F343" s="797"/>
      <c r="G343" s="796"/>
      <c r="H343" s="796"/>
      <c r="I343" s="796"/>
      <c r="L343" s="799"/>
      <c r="M343" s="799"/>
      <c r="N343" s="799"/>
      <c r="O343" s="799"/>
      <c r="P343" s="799"/>
      <c r="Q343" s="799"/>
      <c r="R343" s="799"/>
      <c r="S343" s="799"/>
      <c r="T343" s="799"/>
      <c r="U343" s="799"/>
      <c r="V343" s="799"/>
      <c r="W343" s="799"/>
      <c r="X343" s="799"/>
      <c r="Y343" s="799"/>
      <c r="Z343" s="799"/>
      <c r="AA343" s="799"/>
      <c r="AB343" s="799"/>
    </row>
  </sheetData>
  <conditionalFormatting sqref="C333">
    <cfRule type="cellIs" dxfId="7" priority="1" operator="notBetween">
      <formula>1</formula>
      <formula>-1</formula>
    </cfRule>
    <cfRule type="cellIs" dxfId="6" priority="2" operator="between">
      <formula>1</formula>
      <formula>-1</formula>
    </cfRule>
  </conditionalFormatting>
  <pageMargins left="0.75" right="0.75" top="1" bottom="1" header="0.5" footer="0.5"/>
  <pageSetup scale="79" fitToWidth="2" fitToHeight="6" pageOrder="overThenDown" orientation="landscape" r:id="rId1"/>
  <headerFooter alignWithMargins="0">
    <oddFooter xml:space="preserve">&amp;L&amp;F - &amp;A
&amp;RPage &amp;P of &amp;N
</oddFooter>
  </headerFooter>
  <colBreaks count="1" manualBreakCount="1">
    <brk id="9" max="330" man="1"/>
  </col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97"/>
  <sheetViews>
    <sheetView showGridLines="0" view="pageBreakPreview" topLeftCell="A45" zoomScale="60" zoomScaleNormal="80" workbookViewId="0">
      <selection activeCell="AI26" sqref="AI26"/>
    </sheetView>
  </sheetViews>
  <sheetFormatPr defaultRowHeight="12.75" outlineLevelRow="1"/>
  <cols>
    <col min="1" max="1" width="2.7109375" style="915" customWidth="1"/>
    <col min="2" max="2" width="42.85546875" style="915" customWidth="1"/>
    <col min="3" max="3" width="19.85546875" style="915" customWidth="1"/>
    <col min="4" max="5" width="18.7109375" style="915" customWidth="1"/>
    <col min="6" max="6" width="12.28515625" style="915" customWidth="1"/>
    <col min="7" max="7" width="19" style="915" customWidth="1"/>
    <col min="8" max="8" width="7.85546875" style="915" customWidth="1"/>
    <col min="9" max="9" width="30.28515625" style="915" customWidth="1"/>
    <col min="10" max="10" width="10.28515625" style="915" customWidth="1"/>
    <col min="11" max="11" width="13.5703125" style="915" customWidth="1"/>
    <col min="12" max="12" width="15.140625" style="915" customWidth="1"/>
    <col min="13" max="13" width="29.85546875" style="915" customWidth="1"/>
    <col min="14" max="14" width="38.5703125" style="915" customWidth="1"/>
    <col min="15" max="15" width="11.42578125" style="915" customWidth="1"/>
    <col min="16" max="16" width="35.140625" style="915" customWidth="1"/>
    <col min="17" max="17" width="18" style="915" customWidth="1"/>
    <col min="18" max="18" width="14.140625" style="915" customWidth="1"/>
    <col min="19" max="19" width="17.7109375" style="915" customWidth="1"/>
    <col min="20" max="20" width="12.7109375" style="915" customWidth="1"/>
    <col min="21" max="21" width="15.85546875" style="915" customWidth="1"/>
    <col min="22" max="22" width="13.7109375" style="915" bestFit="1" customWidth="1"/>
    <col min="23" max="23" width="13.28515625" style="915" customWidth="1"/>
    <col min="24" max="24" width="12.28515625" style="915" customWidth="1"/>
    <col min="25" max="25" width="11.5703125" style="915" customWidth="1"/>
    <col min="26" max="26" width="9.85546875" style="915" customWidth="1"/>
    <col min="27" max="27" width="11.42578125" style="915" customWidth="1"/>
    <col min="28" max="28" width="11" style="915" customWidth="1"/>
    <col min="29" max="29" width="11.5703125" style="915" customWidth="1"/>
    <col min="30" max="30" width="7" style="915" customWidth="1"/>
    <col min="31" max="31" width="11.140625" style="915" customWidth="1"/>
    <col min="32" max="32" width="11" style="915" customWidth="1"/>
    <col min="33" max="33" width="8.5703125" style="915" customWidth="1"/>
    <col min="34" max="34" width="8.42578125" style="915" customWidth="1"/>
    <col min="35" max="36" width="10.28515625" style="915" customWidth="1"/>
    <col min="37" max="37" width="10.140625" style="915" customWidth="1"/>
    <col min="38" max="38" width="10.42578125" style="915" customWidth="1"/>
    <col min="39" max="39" width="21.140625" style="915" customWidth="1"/>
    <col min="40" max="42" width="18.85546875" style="915" customWidth="1"/>
    <col min="43" max="43" width="20.42578125" style="915" customWidth="1"/>
    <col min="44" max="44" width="9.140625" style="915" customWidth="1"/>
    <col min="45" max="45" width="9.140625" style="915" hidden="1" customWidth="1"/>
    <col min="46" max="46" width="9.140625" style="915" customWidth="1"/>
    <col min="47" max="16384" width="9.140625" style="915"/>
  </cols>
  <sheetData>
    <row r="1" spans="1:43" hidden="1" outlineLevel="1">
      <c r="A1" s="914" t="b">
        <v>1</v>
      </c>
      <c r="B1" s="914"/>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914"/>
      <c r="AN1" s="914"/>
      <c r="AO1" s="914"/>
      <c r="AP1" s="914"/>
      <c r="AQ1" s="914"/>
    </row>
    <row r="2" spans="1:43" hidden="1" outlineLevel="1">
      <c r="B2" s="915" t="s">
        <v>1504</v>
      </c>
      <c r="C2" s="915" t="s">
        <v>1505</v>
      </c>
      <c r="D2" s="916" t="s">
        <v>1506</v>
      </c>
      <c r="E2" s="916" t="s">
        <v>1507</v>
      </c>
      <c r="F2" s="916" t="s">
        <v>1508</v>
      </c>
      <c r="G2" s="915" t="s">
        <v>1509</v>
      </c>
      <c r="H2" s="915" t="s">
        <v>1510</v>
      </c>
      <c r="I2" s="915" t="s">
        <v>1511</v>
      </c>
      <c r="J2" s="915" t="s">
        <v>1512</v>
      </c>
      <c r="K2" s="915" t="s">
        <v>1513</v>
      </c>
      <c r="L2" s="915" t="s">
        <v>1514</v>
      </c>
      <c r="M2" s="915" t="s">
        <v>1515</v>
      </c>
      <c r="N2" s="915" t="s">
        <v>1516</v>
      </c>
      <c r="O2" s="915" t="s">
        <v>1517</v>
      </c>
      <c r="P2" s="915" t="s">
        <v>1518</v>
      </c>
      <c r="Q2" s="915" t="s">
        <v>1519</v>
      </c>
      <c r="R2" s="915" t="s">
        <v>1520</v>
      </c>
      <c r="S2" s="915" t="s">
        <v>1521</v>
      </c>
      <c r="T2" s="915" t="s">
        <v>1522</v>
      </c>
      <c r="U2" s="915" t="s">
        <v>1523</v>
      </c>
      <c r="V2" s="915" t="s">
        <v>1524</v>
      </c>
      <c r="W2" s="915" t="s">
        <v>1525</v>
      </c>
      <c r="X2" s="915" t="s">
        <v>1526</v>
      </c>
      <c r="Y2" s="915" t="s">
        <v>1527</v>
      </c>
      <c r="Z2" s="915" t="s">
        <v>1528</v>
      </c>
      <c r="AA2" s="915" t="s">
        <v>1529</v>
      </c>
      <c r="AB2" s="915" t="s">
        <v>1530</v>
      </c>
      <c r="AC2" s="915" t="s">
        <v>1531</v>
      </c>
      <c r="AD2" s="915" t="s">
        <v>1532</v>
      </c>
      <c r="AE2" s="915" t="s">
        <v>1533</v>
      </c>
      <c r="AF2" s="915" t="s">
        <v>1534</v>
      </c>
      <c r="AG2" s="915" t="s">
        <v>1535</v>
      </c>
      <c r="AH2" s="915" t="s">
        <v>1536</v>
      </c>
      <c r="AI2" s="915" t="s">
        <v>1537</v>
      </c>
      <c r="AJ2" s="915" t="s">
        <v>1538</v>
      </c>
      <c r="AK2" s="915" t="s">
        <v>1539</v>
      </c>
      <c r="AL2" s="915" t="s">
        <v>1540</v>
      </c>
      <c r="AM2" s="915" t="s">
        <v>1541</v>
      </c>
      <c r="AN2" s="915" t="s">
        <v>1542</v>
      </c>
      <c r="AO2" s="915" t="s">
        <v>1543</v>
      </c>
      <c r="AP2" s="915" t="s">
        <v>1544</v>
      </c>
      <c r="AQ2" s="916"/>
    </row>
    <row r="3" spans="1:43" hidden="1" outlineLevel="1">
      <c r="A3" s="914" t="s">
        <v>1545</v>
      </c>
      <c r="B3" s="914"/>
      <c r="C3" s="914"/>
      <c r="D3" s="914"/>
      <c r="E3" s="914"/>
      <c r="F3" s="914"/>
      <c r="G3" s="914"/>
      <c r="H3" s="914"/>
      <c r="I3" s="914"/>
      <c r="J3" s="914"/>
      <c r="K3" s="914"/>
      <c r="L3" s="914"/>
      <c r="M3" s="914"/>
      <c r="N3" s="914"/>
      <c r="O3" s="914"/>
      <c r="P3" s="914"/>
      <c r="Q3" s="914"/>
      <c r="R3" s="914"/>
      <c r="S3" s="914"/>
      <c r="T3" s="914"/>
      <c r="U3" s="914"/>
      <c r="V3" s="914"/>
      <c r="W3" s="914"/>
      <c r="X3" s="914"/>
      <c r="Y3" s="914"/>
      <c r="Z3" s="914"/>
      <c r="AA3" s="914"/>
      <c r="AB3" s="914"/>
      <c r="AC3" s="914"/>
      <c r="AD3" s="914"/>
      <c r="AE3" s="914"/>
      <c r="AF3" s="914"/>
      <c r="AG3" s="914"/>
      <c r="AH3" s="914"/>
      <c r="AI3" s="914"/>
      <c r="AJ3" s="914"/>
      <c r="AK3" s="914"/>
      <c r="AL3" s="914"/>
      <c r="AM3" s="914"/>
      <c r="AN3" s="914"/>
      <c r="AO3" s="914"/>
      <c r="AP3" s="914"/>
      <c r="AQ3" s="914"/>
    </row>
    <row r="4" spans="1:43" hidden="1" outlineLevel="1">
      <c r="Q4" s="915" t="str">
        <f ca="1">_xll.ReportDrill('[58]JE Lookup'!B1,,_xll.PairGroup(_xll.Pair(G20:G76,'[58]JE Lookup'!N8),_xll.Pair(AB20:AB76,'[58]JE Lookup'!N7)),"JE Lookup")</f>
        <v>OK!: ReportDrill 'JE Lookup' Formula OK [jAction{}]</v>
      </c>
      <c r="U4" s="915" t="str">
        <f ca="1">_xll.ReportDrill(,"APDrill",_xll.PairGroup(_xll.PairExt(AQ20:AQ76,"H8")),"AP Detail")</f>
        <v>OK!: ReportDrill 'AP Detail' Formula OK [jAction{}]</v>
      </c>
      <c r="Y4" s="915" t="str">
        <f ca="1">_xll.ReportDrill(,"JEStaged_DrillToDetail",_xll.PairGroup(_xll.PairExt(Q19:Q76,"dControlNum",TRUE),_xll.PairExt(AP19:AP76,"dDistrict",TRUE),_xll.PairExt(AO19:AO76,"dApplyMonth",TRUE)),"JE Staged Details")</f>
        <v>OK!: ReportDrill 'JE Staged Details' Formula OK [jAction{}]</v>
      </c>
    </row>
    <row r="5" spans="1:43" hidden="1" outlineLevel="1">
      <c r="B5" s="915" t="str">
        <f ca="1">_xll.ReportRange("JEQuery_WithStaged",B20:AS75,B2:AS2,,_xll.Param(I12,DateTo,IF(M12="","all",M12),M13,M14,M15,P12,P13,P14,P15,EntrieShownLimit,DateFrom,DateTo),TRUE)</f>
        <v>OK!: ReportRange Formula OK [jAction{}]</v>
      </c>
      <c r="Q5" s="915" t="str">
        <f ca="1">_xll.ReportDrill('[58]JE Lookup'!B1,,_xll.PairGroup(_xll.Pair(V20:V76,'[58]JE Lookup'!N8),_xll.Pair(AS20:AS76,'[58]JE Lookup'!N7)),"I/C Originating JE")</f>
        <v>OK!: ReportDrill 'I/C Originating JE' Formula OK [jAction{}]</v>
      </c>
    </row>
    <row r="6" spans="1:43" hidden="1" outlineLevel="1">
      <c r="B6" s="917" t="s">
        <v>1546</v>
      </c>
      <c r="D6" s="915">
        <v>10000</v>
      </c>
    </row>
    <row r="7" spans="1:43" hidden="1" outlineLevel="1">
      <c r="A7" s="914" t="s">
        <v>1547</v>
      </c>
      <c r="B7" s="914"/>
      <c r="C7" s="914"/>
      <c r="D7" s="914"/>
      <c r="E7" s="914"/>
      <c r="F7" s="914"/>
      <c r="G7" s="914"/>
      <c r="H7" s="914"/>
      <c r="I7" s="914"/>
      <c r="J7" s="914"/>
      <c r="K7" s="914"/>
      <c r="L7" s="914"/>
      <c r="M7" s="914"/>
      <c r="N7" s="914"/>
      <c r="O7" s="914"/>
      <c r="P7" s="914"/>
      <c r="Q7" s="914"/>
      <c r="R7" s="914"/>
      <c r="S7" s="914"/>
      <c r="T7" s="914"/>
      <c r="U7" s="914"/>
      <c r="V7" s="914"/>
      <c r="W7" s="914"/>
      <c r="X7" s="914"/>
      <c r="Y7" s="914"/>
      <c r="Z7" s="914"/>
      <c r="AA7" s="914"/>
      <c r="AB7" s="914"/>
      <c r="AC7" s="914"/>
      <c r="AD7" s="914"/>
      <c r="AE7" s="914"/>
      <c r="AF7" s="914"/>
      <c r="AG7" s="914"/>
      <c r="AH7" s="914"/>
      <c r="AI7" s="914"/>
      <c r="AJ7" s="914"/>
      <c r="AK7" s="914"/>
      <c r="AL7" s="914"/>
      <c r="AM7" s="914"/>
      <c r="AN7" s="914"/>
      <c r="AO7" s="914"/>
      <c r="AP7" s="914"/>
      <c r="AQ7" s="914"/>
    </row>
    <row r="8" spans="1:43" hidden="1" outlineLevel="1">
      <c r="B8" s="918" t="s">
        <v>1548</v>
      </c>
      <c r="C8" s="915" t="str">
        <f>IF(DateFrom="",CurrentMonth,DateFrom)</f>
        <v>2016-10</v>
      </c>
      <c r="E8" s="918" t="s">
        <v>1549</v>
      </c>
      <c r="G8" s="915" t="str">
        <f>IF(DateTo="",CurrentMonth,DateTo)</f>
        <v>2017-09</v>
      </c>
      <c r="I8" s="918" t="s">
        <v>1550</v>
      </c>
      <c r="J8" s="919" t="str">
        <f ca="1">TEXT(NOW() - 15,"yyyy-mm")</f>
        <v>2017-10</v>
      </c>
    </row>
    <row r="9" spans="1:43" ht="18" collapsed="1">
      <c r="B9" s="920" t="s">
        <v>1551</v>
      </c>
      <c r="G9" s="921" t="s">
        <v>1552</v>
      </c>
      <c r="P9" s="922"/>
      <c r="U9" s="917"/>
    </row>
    <row r="10" spans="1:43" ht="14.25">
      <c r="B10" s="916" t="s">
        <v>1553</v>
      </c>
      <c r="G10" s="923"/>
      <c r="P10" s="922"/>
      <c r="U10" s="917"/>
    </row>
    <row r="11" spans="1:43">
      <c r="G11" s="924" t="s">
        <v>1554</v>
      </c>
      <c r="H11" s="925"/>
      <c r="I11" s="926"/>
      <c r="L11" s="925" t="s">
        <v>1555</v>
      </c>
      <c r="M11" s="925"/>
      <c r="N11" s="925"/>
      <c r="O11" s="925"/>
      <c r="P11" s="925"/>
      <c r="U11" s="916"/>
    </row>
    <row r="12" spans="1:43" s="917" customFormat="1">
      <c r="H12" s="927" t="s">
        <v>1556</v>
      </c>
      <c r="I12" s="928" t="s">
        <v>1557</v>
      </c>
      <c r="K12" s="929"/>
      <c r="L12" s="917" t="s">
        <v>1558</v>
      </c>
      <c r="M12" s="928" t="s">
        <v>214</v>
      </c>
      <c r="O12" s="927" t="s">
        <v>1559</v>
      </c>
      <c r="P12" s="930"/>
      <c r="Z12" s="915"/>
      <c r="AA12" s="915"/>
      <c r="AB12" s="915"/>
      <c r="AH12" s="915"/>
      <c r="AI12" s="915"/>
      <c r="AJ12" s="915"/>
      <c r="AK12" s="915"/>
      <c r="AL12" s="915"/>
    </row>
    <row r="13" spans="1:43" s="917" customFormat="1">
      <c r="H13" s="927" t="s">
        <v>1560</v>
      </c>
      <c r="I13" s="928" t="s">
        <v>219</v>
      </c>
      <c r="K13" s="929"/>
      <c r="L13" s="917" t="s">
        <v>1561</v>
      </c>
      <c r="M13" s="928" t="s">
        <v>1989</v>
      </c>
      <c r="N13" s="915"/>
      <c r="O13" s="927" t="s">
        <v>1563</v>
      </c>
      <c r="P13" s="931"/>
      <c r="Q13" s="932"/>
      <c r="Z13" s="915"/>
      <c r="AA13" s="915"/>
      <c r="AB13" s="915"/>
      <c r="AH13" s="915"/>
      <c r="AI13" s="915"/>
      <c r="AJ13" s="915"/>
      <c r="AK13" s="915"/>
      <c r="AL13" s="915"/>
    </row>
    <row r="14" spans="1:43">
      <c r="L14" s="917" t="s">
        <v>218</v>
      </c>
      <c r="M14" s="928" t="s">
        <v>217</v>
      </c>
      <c r="O14" s="927" t="s">
        <v>1564</v>
      </c>
      <c r="P14" s="931"/>
      <c r="Q14" s="932"/>
    </row>
    <row r="15" spans="1:43">
      <c r="L15" s="917" t="s">
        <v>1088</v>
      </c>
      <c r="M15" s="928" t="s">
        <v>217</v>
      </c>
      <c r="O15" s="927" t="s">
        <v>1565</v>
      </c>
      <c r="P15" s="933" t="s">
        <v>1566</v>
      </c>
    </row>
    <row r="16" spans="1:43">
      <c r="B16" s="934" t="s">
        <v>1567</v>
      </c>
      <c r="C16" s="935"/>
      <c r="D16" s="936">
        <f>SUM(D19:D76)</f>
        <v>26267.450000000004</v>
      </c>
      <c r="E16" s="936">
        <f>SUM(E19:E76)</f>
        <v>0</v>
      </c>
      <c r="F16" s="915" t="s">
        <v>1568</v>
      </c>
      <c r="N16" s="937"/>
      <c r="O16" s="937"/>
      <c r="P16" s="937"/>
      <c r="Q16" s="937"/>
    </row>
    <row r="17" spans="2:45">
      <c r="B17" s="934" t="s">
        <v>1569</v>
      </c>
      <c r="C17" s="935"/>
      <c r="D17" s="938">
        <f>COUNT(D20:D77)</f>
        <v>55</v>
      </c>
      <c r="E17" s="938">
        <f>COUNT(E20:E77)</f>
        <v>55</v>
      </c>
      <c r="F17" s="916" t="s">
        <v>1570</v>
      </c>
      <c r="G17" s="939" t="str">
        <f>""&amp;EntrieShownLimit</f>
        <v>10000</v>
      </c>
    </row>
    <row r="18" spans="2:45">
      <c r="O18" s="940"/>
      <c r="R18" s="941" t="s">
        <v>1571</v>
      </c>
      <c r="S18" s="942"/>
      <c r="T18" s="942"/>
      <c r="U18" s="942"/>
      <c r="V18" s="942"/>
      <c r="W18" s="942"/>
      <c r="X18" s="942"/>
      <c r="Y18" s="942"/>
      <c r="Z18" s="943"/>
      <c r="AA18" s="943"/>
      <c r="AB18" s="943"/>
      <c r="AC18" s="943"/>
      <c r="AD18" s="943"/>
      <c r="AE18" s="943"/>
      <c r="AF18" s="943"/>
      <c r="AG18" s="943"/>
      <c r="AH18" s="943"/>
      <c r="AI18" s="943"/>
      <c r="AJ18" s="943"/>
      <c r="AK18" s="943"/>
      <c r="AL18" s="943"/>
      <c r="AM18" s="943"/>
      <c r="AN18" s="943"/>
      <c r="AO18" s="943"/>
      <c r="AP18" s="943"/>
      <c r="AQ18" s="943"/>
    </row>
    <row r="19" spans="2:45" s="951" customFormat="1" ht="29.25" customHeight="1" thickBot="1">
      <c r="B19" s="944" t="s">
        <v>1572</v>
      </c>
      <c r="C19" s="945" t="s">
        <v>1573</v>
      </c>
      <c r="D19" s="946" t="s">
        <v>1574</v>
      </c>
      <c r="E19" s="946" t="s">
        <v>1575</v>
      </c>
      <c r="F19" s="946" t="s">
        <v>1576</v>
      </c>
      <c r="G19" s="947" t="s">
        <v>1577</v>
      </c>
      <c r="H19" s="944" t="s">
        <v>1578</v>
      </c>
      <c r="I19" s="944" t="s">
        <v>1579</v>
      </c>
      <c r="J19" s="944" t="s">
        <v>1512</v>
      </c>
      <c r="K19" s="944" t="s">
        <v>1580</v>
      </c>
      <c r="L19" s="944" t="s">
        <v>1581</v>
      </c>
      <c r="M19" s="944" t="s">
        <v>1582</v>
      </c>
      <c r="N19" s="944" t="s">
        <v>1583</v>
      </c>
      <c r="O19" s="948" t="s">
        <v>1584</v>
      </c>
      <c r="P19" s="944" t="s">
        <v>1585</v>
      </c>
      <c r="Q19" s="944" t="s">
        <v>1586</v>
      </c>
      <c r="R19" s="944" t="s">
        <v>1587</v>
      </c>
      <c r="S19" s="944" t="s">
        <v>1588</v>
      </c>
      <c r="T19" s="944" t="s">
        <v>1589</v>
      </c>
      <c r="U19" s="944" t="s">
        <v>1590</v>
      </c>
      <c r="V19" s="944" t="s">
        <v>1591</v>
      </c>
      <c r="W19" s="944" t="s">
        <v>1592</v>
      </c>
      <c r="X19" s="944" t="s">
        <v>1593</v>
      </c>
      <c r="Y19" s="944" t="s">
        <v>1594</v>
      </c>
      <c r="Z19" s="944" t="s">
        <v>1595</v>
      </c>
      <c r="AA19" s="944" t="s">
        <v>1596</v>
      </c>
      <c r="AB19" s="944" t="s">
        <v>1597</v>
      </c>
      <c r="AC19" s="949" t="s">
        <v>1598</v>
      </c>
      <c r="AD19" s="949" t="s">
        <v>1599</v>
      </c>
      <c r="AE19" s="949" t="s">
        <v>1600</v>
      </c>
      <c r="AF19" s="949" t="s">
        <v>1601</v>
      </c>
      <c r="AG19" s="949" t="s">
        <v>1602</v>
      </c>
      <c r="AH19" s="949" t="s">
        <v>1603</v>
      </c>
      <c r="AI19" s="945" t="s">
        <v>1604</v>
      </c>
      <c r="AJ19" s="945" t="s">
        <v>1605</v>
      </c>
      <c r="AK19" s="945" t="s">
        <v>1606</v>
      </c>
      <c r="AL19" s="945" t="s">
        <v>1607</v>
      </c>
      <c r="AM19" s="945" t="s">
        <v>1608</v>
      </c>
      <c r="AN19" s="945" t="s">
        <v>1542</v>
      </c>
      <c r="AO19" s="950" t="s">
        <v>1609</v>
      </c>
      <c r="AP19" s="950" t="s">
        <v>1610</v>
      </c>
      <c r="AQ19" s="950" t="s">
        <v>1611</v>
      </c>
    </row>
    <row r="20" spans="2:45">
      <c r="B20" s="915" t="s">
        <v>1990</v>
      </c>
      <c r="C20" s="952">
        <v>42649</v>
      </c>
      <c r="D20" s="953">
        <v>240</v>
      </c>
      <c r="E20" s="953">
        <v>0</v>
      </c>
      <c r="F20" s="954" t="s">
        <v>1613</v>
      </c>
      <c r="G20" s="915" t="s">
        <v>1991</v>
      </c>
      <c r="H20" s="955" t="s">
        <v>1615</v>
      </c>
      <c r="I20" s="915" t="s">
        <v>1616</v>
      </c>
      <c r="J20" s="915" t="s">
        <v>1617</v>
      </c>
      <c r="K20" s="915" t="s">
        <v>1618</v>
      </c>
      <c r="L20" s="919" t="s">
        <v>1992</v>
      </c>
      <c r="M20" s="919"/>
      <c r="N20" s="919" t="s">
        <v>1993</v>
      </c>
      <c r="O20" s="940">
        <v>42643</v>
      </c>
      <c r="P20" s="919" t="s">
        <v>1994</v>
      </c>
      <c r="Q20" s="919">
        <v>3113608</v>
      </c>
      <c r="R20" s="915" t="s">
        <v>1995</v>
      </c>
      <c r="U20" s="915" t="s">
        <v>1996</v>
      </c>
      <c r="V20" s="915" t="s">
        <v>1997</v>
      </c>
      <c r="W20" s="915">
        <v>2010</v>
      </c>
      <c r="X20" s="952">
        <v>42649</v>
      </c>
      <c r="Y20" s="952">
        <v>42649</v>
      </c>
      <c r="Z20" s="915">
        <v>240</v>
      </c>
      <c r="AA20" s="952">
        <v>42658</v>
      </c>
      <c r="AB20" s="915" t="s">
        <v>1626</v>
      </c>
      <c r="AC20" s="915">
        <v>0</v>
      </c>
      <c r="AD20" s="915">
        <v>0</v>
      </c>
      <c r="AE20" s="915">
        <v>0</v>
      </c>
      <c r="AF20" s="915">
        <v>0</v>
      </c>
      <c r="AG20" s="915">
        <v>0</v>
      </c>
      <c r="AH20" s="915">
        <v>1</v>
      </c>
      <c r="AI20" s="915">
        <v>70225</v>
      </c>
      <c r="AJ20" s="915">
        <v>2010</v>
      </c>
      <c r="AK20" s="915">
        <v>0</v>
      </c>
      <c r="AL20" s="915">
        <v>0</v>
      </c>
      <c r="AO20" s="955"/>
      <c r="AP20" s="955"/>
      <c r="AQ20" s="915" t="str">
        <f>IF(LEFT(U20,2)="VO",U20,"")</f>
        <v>VO04073311</v>
      </c>
      <c r="AS20" s="915" t="str">
        <f>IF(RIGHT(K20,2)="IC",IF(OR(AB20="wci_canada",AB20="wci_can_corp"),"wci_can_Corp","wci_corp"),AB20)</f>
        <v>wci_corp</v>
      </c>
    </row>
    <row r="21" spans="2:45">
      <c r="B21" s="915" t="s">
        <v>1990</v>
      </c>
      <c r="C21" s="952">
        <v>42674</v>
      </c>
      <c r="D21" s="953">
        <v>-240</v>
      </c>
      <c r="E21" s="953">
        <v>0</v>
      </c>
      <c r="F21" s="954" t="s">
        <v>1613</v>
      </c>
      <c r="G21" s="915" t="s">
        <v>1998</v>
      </c>
      <c r="H21" s="955" t="s">
        <v>1615</v>
      </c>
      <c r="I21" s="915" t="s">
        <v>1999</v>
      </c>
      <c r="J21" s="915" t="s">
        <v>2000</v>
      </c>
      <c r="K21" s="915" t="s">
        <v>1618</v>
      </c>
      <c r="L21" s="919"/>
      <c r="M21" s="919"/>
      <c r="N21" s="919" t="s">
        <v>1994</v>
      </c>
      <c r="O21" s="940"/>
      <c r="P21" s="919"/>
      <c r="Q21" s="919"/>
      <c r="U21" s="915" t="s">
        <v>2001</v>
      </c>
      <c r="V21" s="915" t="s">
        <v>2002</v>
      </c>
      <c r="X21" s="952">
        <v>42649</v>
      </c>
      <c r="Y21" s="952">
        <v>42649</v>
      </c>
      <c r="AA21" s="952"/>
      <c r="AB21" s="915" t="s">
        <v>1626</v>
      </c>
      <c r="AC21" s="915">
        <v>0</v>
      </c>
      <c r="AD21" s="915">
        <v>0</v>
      </c>
      <c r="AE21" s="915">
        <v>0</v>
      </c>
      <c r="AF21" s="915">
        <v>0</v>
      </c>
      <c r="AG21" s="915">
        <v>5</v>
      </c>
      <c r="AH21" s="915">
        <v>1</v>
      </c>
      <c r="AI21" s="915">
        <v>70225</v>
      </c>
      <c r="AJ21" s="915">
        <v>2010</v>
      </c>
      <c r="AK21" s="915">
        <v>0</v>
      </c>
      <c r="AL21" s="915">
        <v>0</v>
      </c>
      <c r="AO21" s="955"/>
      <c r="AP21" s="955"/>
      <c r="AQ21" s="915" t="str">
        <f t="shared" ref="AQ21:AQ74" si="0">IF(LEFT(U21,2)="VO",U21,"")</f>
        <v/>
      </c>
      <c r="AS21" s="915" t="str">
        <f t="shared" ref="AS21:AS74" si="1">IF(RIGHT(K21,2)="IC",IF(OR(AB21="wci_canada",AB21="wci_can_corp"),"wci_can_Corp","wci_corp"),AB21)</f>
        <v>wci_corp</v>
      </c>
    </row>
    <row r="22" spans="2:45">
      <c r="B22" s="915" t="s">
        <v>1990</v>
      </c>
      <c r="C22" s="952">
        <v>42701</v>
      </c>
      <c r="D22" s="953">
        <v>190</v>
      </c>
      <c r="E22" s="953">
        <v>0</v>
      </c>
      <c r="F22" s="954" t="s">
        <v>1613</v>
      </c>
      <c r="G22" s="915" t="s">
        <v>2003</v>
      </c>
      <c r="H22" s="955" t="s">
        <v>1615</v>
      </c>
      <c r="I22" s="915" t="s">
        <v>1616</v>
      </c>
      <c r="J22" s="915" t="s">
        <v>1617</v>
      </c>
      <c r="K22" s="915" t="s">
        <v>1618</v>
      </c>
      <c r="L22" s="919" t="s">
        <v>2004</v>
      </c>
      <c r="M22" s="919"/>
      <c r="N22" s="919" t="s">
        <v>2005</v>
      </c>
      <c r="O22" s="940">
        <v>42688</v>
      </c>
      <c r="P22" s="919" t="s">
        <v>2006</v>
      </c>
      <c r="Q22" s="919" t="s">
        <v>2007</v>
      </c>
      <c r="R22" s="915" t="s">
        <v>2008</v>
      </c>
      <c r="U22" s="915" t="s">
        <v>2009</v>
      </c>
      <c r="V22" s="915" t="s">
        <v>2010</v>
      </c>
      <c r="W22" s="915">
        <v>2010</v>
      </c>
      <c r="X22" s="952">
        <v>42701</v>
      </c>
      <c r="Y22" s="952">
        <v>42702</v>
      </c>
      <c r="Z22" s="915">
        <v>190</v>
      </c>
      <c r="AA22" s="952">
        <v>42698</v>
      </c>
      <c r="AB22" s="915" t="s">
        <v>1626</v>
      </c>
      <c r="AC22" s="915">
        <v>0</v>
      </c>
      <c r="AD22" s="915">
        <v>0</v>
      </c>
      <c r="AE22" s="915">
        <v>0</v>
      </c>
      <c r="AF22" s="915">
        <v>0</v>
      </c>
      <c r="AG22" s="915">
        <v>0</v>
      </c>
      <c r="AH22" s="915">
        <v>1</v>
      </c>
      <c r="AI22" s="915">
        <v>70225</v>
      </c>
      <c r="AJ22" s="915">
        <v>2010</v>
      </c>
      <c r="AK22" s="915">
        <v>0</v>
      </c>
      <c r="AL22" s="915">
        <v>0</v>
      </c>
      <c r="AO22" s="955"/>
      <c r="AP22" s="955"/>
      <c r="AQ22" s="915" t="str">
        <f t="shared" si="0"/>
        <v>VO04120044</v>
      </c>
      <c r="AS22" s="915" t="str">
        <f t="shared" si="1"/>
        <v>wci_corp</v>
      </c>
    </row>
    <row r="23" spans="2:45">
      <c r="B23" s="915" t="s">
        <v>1990</v>
      </c>
      <c r="C23" s="952">
        <v>42704</v>
      </c>
      <c r="D23" s="953">
        <v>1210.56</v>
      </c>
      <c r="E23" s="953">
        <v>0</v>
      </c>
      <c r="F23" s="954" t="s">
        <v>1613</v>
      </c>
      <c r="G23" s="915" t="s">
        <v>2011</v>
      </c>
      <c r="H23" s="955" t="s">
        <v>1615</v>
      </c>
      <c r="I23" s="915" t="s">
        <v>1999</v>
      </c>
      <c r="J23" s="915" t="s">
        <v>2000</v>
      </c>
      <c r="K23" s="915" t="s">
        <v>1618</v>
      </c>
      <c r="L23" s="919"/>
      <c r="M23" s="919"/>
      <c r="N23" s="919" t="s">
        <v>2012</v>
      </c>
      <c r="O23" s="940"/>
      <c r="P23" s="919"/>
      <c r="Q23" s="919"/>
      <c r="U23" s="915" t="s">
        <v>2013</v>
      </c>
      <c r="V23" s="915" t="s">
        <v>2013</v>
      </c>
      <c r="X23" s="952">
        <v>42711</v>
      </c>
      <c r="Y23" s="952">
        <v>42711</v>
      </c>
      <c r="AA23" s="952"/>
      <c r="AB23" s="915" t="s">
        <v>1626</v>
      </c>
      <c r="AC23" s="915">
        <v>0</v>
      </c>
      <c r="AD23" s="915">
        <v>0</v>
      </c>
      <c r="AE23" s="915">
        <v>0</v>
      </c>
      <c r="AF23" s="915">
        <v>0</v>
      </c>
      <c r="AG23" s="915">
        <v>0</v>
      </c>
      <c r="AH23" s="915">
        <v>1</v>
      </c>
      <c r="AI23" s="915">
        <v>70225</v>
      </c>
      <c r="AJ23" s="915">
        <v>2010</v>
      </c>
      <c r="AK23" s="915">
        <v>0</v>
      </c>
      <c r="AL23" s="915">
        <v>0</v>
      </c>
      <c r="AO23" s="955"/>
      <c r="AP23" s="955"/>
      <c r="AQ23" s="915" t="str">
        <f t="shared" si="0"/>
        <v/>
      </c>
      <c r="AS23" s="915" t="str">
        <f t="shared" si="1"/>
        <v>wci_corp</v>
      </c>
    </row>
    <row r="24" spans="2:45">
      <c r="B24" s="915" t="s">
        <v>1990</v>
      </c>
      <c r="C24" s="952">
        <v>42712</v>
      </c>
      <c r="D24" s="953">
        <v>1210.56</v>
      </c>
      <c r="E24" s="953">
        <v>0</v>
      </c>
      <c r="F24" s="954" t="s">
        <v>1613</v>
      </c>
      <c r="G24" s="915" t="s">
        <v>2014</v>
      </c>
      <c r="H24" s="955" t="s">
        <v>1615</v>
      </c>
      <c r="I24" s="915" t="s">
        <v>1616</v>
      </c>
      <c r="J24" s="915" t="s">
        <v>1617</v>
      </c>
      <c r="K24" s="915" t="s">
        <v>1618</v>
      </c>
      <c r="L24" s="919" t="s">
        <v>1992</v>
      </c>
      <c r="M24" s="919"/>
      <c r="N24" s="919" t="s">
        <v>1993</v>
      </c>
      <c r="O24" s="940">
        <v>42704</v>
      </c>
      <c r="P24" s="919" t="s">
        <v>2012</v>
      </c>
      <c r="Q24" s="919">
        <v>3115723</v>
      </c>
      <c r="R24" s="915" t="s">
        <v>1995</v>
      </c>
      <c r="U24" s="915" t="s">
        <v>2015</v>
      </c>
      <c r="V24" s="915" t="s">
        <v>2016</v>
      </c>
      <c r="W24" s="915">
        <v>2010</v>
      </c>
      <c r="X24" s="952">
        <v>42712</v>
      </c>
      <c r="Y24" s="952">
        <v>42716</v>
      </c>
      <c r="Z24" s="915">
        <v>1210.56</v>
      </c>
      <c r="AA24" s="952">
        <v>42719</v>
      </c>
      <c r="AB24" s="915" t="s">
        <v>1626</v>
      </c>
      <c r="AC24" s="915">
        <v>0</v>
      </c>
      <c r="AD24" s="915">
        <v>0</v>
      </c>
      <c r="AE24" s="915">
        <v>0</v>
      </c>
      <c r="AF24" s="915">
        <v>0</v>
      </c>
      <c r="AG24" s="915">
        <v>0</v>
      </c>
      <c r="AH24" s="915">
        <v>1</v>
      </c>
      <c r="AI24" s="915">
        <v>70225</v>
      </c>
      <c r="AJ24" s="915">
        <v>2010</v>
      </c>
      <c r="AK24" s="915">
        <v>0</v>
      </c>
      <c r="AL24" s="915">
        <v>0</v>
      </c>
      <c r="AO24" s="955"/>
      <c r="AP24" s="955"/>
      <c r="AQ24" s="915" t="str">
        <f t="shared" si="0"/>
        <v>VO04132005</v>
      </c>
      <c r="AS24" s="915" t="str">
        <f t="shared" si="1"/>
        <v>wci_corp</v>
      </c>
    </row>
    <row r="25" spans="2:45">
      <c r="B25" s="915" t="s">
        <v>1990</v>
      </c>
      <c r="C25" s="952">
        <v>42735</v>
      </c>
      <c r="D25" s="953">
        <v>-1210.56</v>
      </c>
      <c r="E25" s="953">
        <v>0</v>
      </c>
      <c r="F25" s="954" t="s">
        <v>1613</v>
      </c>
      <c r="G25" s="915" t="s">
        <v>2017</v>
      </c>
      <c r="H25" s="955" t="s">
        <v>1615</v>
      </c>
      <c r="I25" s="915" t="s">
        <v>1999</v>
      </c>
      <c r="J25" s="915" t="s">
        <v>2018</v>
      </c>
      <c r="K25" s="915" t="s">
        <v>1618</v>
      </c>
      <c r="L25" s="919"/>
      <c r="M25" s="919"/>
      <c r="N25" s="919" t="s">
        <v>2012</v>
      </c>
      <c r="O25" s="940"/>
      <c r="P25" s="919"/>
      <c r="Q25" s="919"/>
      <c r="U25" s="915" t="s">
        <v>2013</v>
      </c>
      <c r="V25" s="915" t="s">
        <v>2019</v>
      </c>
      <c r="X25" s="952">
        <v>42711</v>
      </c>
      <c r="Y25" s="952">
        <v>42711</v>
      </c>
      <c r="AA25" s="952"/>
      <c r="AB25" s="915" t="s">
        <v>1626</v>
      </c>
      <c r="AC25" s="915">
        <v>0</v>
      </c>
      <c r="AD25" s="915">
        <v>0</v>
      </c>
      <c r="AE25" s="915">
        <v>0</v>
      </c>
      <c r="AF25" s="915">
        <v>0</v>
      </c>
      <c r="AG25" s="915">
        <v>5</v>
      </c>
      <c r="AH25" s="915">
        <v>1</v>
      </c>
      <c r="AI25" s="915">
        <v>70225</v>
      </c>
      <c r="AJ25" s="915">
        <v>2010</v>
      </c>
      <c r="AK25" s="915">
        <v>0</v>
      </c>
      <c r="AL25" s="915">
        <v>0</v>
      </c>
      <c r="AO25" s="955"/>
      <c r="AP25" s="955"/>
      <c r="AQ25" s="915" t="str">
        <f t="shared" si="0"/>
        <v/>
      </c>
      <c r="AS25" s="915" t="str">
        <f t="shared" si="1"/>
        <v>wci_corp</v>
      </c>
    </row>
    <row r="26" spans="2:45">
      <c r="B26" s="915" t="s">
        <v>1990</v>
      </c>
      <c r="C26" s="952">
        <v>42735</v>
      </c>
      <c r="D26" s="953">
        <v>650.4</v>
      </c>
      <c r="E26" s="953">
        <v>0</v>
      </c>
      <c r="F26" s="954" t="s">
        <v>1613</v>
      </c>
      <c r="G26" s="915" t="s">
        <v>2020</v>
      </c>
      <c r="H26" s="955" t="s">
        <v>1615</v>
      </c>
      <c r="I26" s="915" t="s">
        <v>2021</v>
      </c>
      <c r="J26" s="915" t="s">
        <v>2000</v>
      </c>
      <c r="K26" s="915" t="s">
        <v>1618</v>
      </c>
      <c r="L26" s="919"/>
      <c r="M26" s="919"/>
      <c r="N26" s="919" t="s">
        <v>2022</v>
      </c>
      <c r="O26" s="940"/>
      <c r="P26" s="919"/>
      <c r="Q26" s="919"/>
      <c r="U26" s="915" t="s">
        <v>2023</v>
      </c>
      <c r="V26" s="915" t="s">
        <v>2023</v>
      </c>
      <c r="X26" s="952">
        <v>42740</v>
      </c>
      <c r="Y26" s="952">
        <v>42740</v>
      </c>
      <c r="AA26" s="952"/>
      <c r="AB26" s="915" t="s">
        <v>1626</v>
      </c>
      <c r="AC26" s="915">
        <v>0</v>
      </c>
      <c r="AD26" s="915">
        <v>0</v>
      </c>
      <c r="AE26" s="915">
        <v>0</v>
      </c>
      <c r="AF26" s="915">
        <v>0</v>
      </c>
      <c r="AG26" s="915">
        <v>0</v>
      </c>
      <c r="AH26" s="915">
        <v>1</v>
      </c>
      <c r="AI26" s="915">
        <v>70225</v>
      </c>
      <c r="AJ26" s="915">
        <v>2010</v>
      </c>
      <c r="AK26" s="915">
        <v>0</v>
      </c>
      <c r="AL26" s="915">
        <v>0</v>
      </c>
      <c r="AO26" s="955"/>
      <c r="AP26" s="955"/>
      <c r="AQ26" s="915" t="str">
        <f t="shared" si="0"/>
        <v/>
      </c>
      <c r="AS26" s="915" t="str">
        <f t="shared" si="1"/>
        <v>wci_corp</v>
      </c>
    </row>
    <row r="27" spans="2:45">
      <c r="B27" s="915" t="s">
        <v>1990</v>
      </c>
      <c r="C27" s="952">
        <v>42735</v>
      </c>
      <c r="D27" s="953">
        <v>650.4</v>
      </c>
      <c r="E27" s="953">
        <v>0</v>
      </c>
      <c r="F27" s="954" t="s">
        <v>1613</v>
      </c>
      <c r="G27" s="915" t="s">
        <v>2020</v>
      </c>
      <c r="H27" s="955" t="s">
        <v>1615</v>
      </c>
      <c r="I27" s="915" t="s">
        <v>2021</v>
      </c>
      <c r="J27" s="915" t="s">
        <v>2000</v>
      </c>
      <c r="K27" s="915" t="s">
        <v>1618</v>
      </c>
      <c r="L27" s="919"/>
      <c r="M27" s="919"/>
      <c r="N27" s="919" t="s">
        <v>2022</v>
      </c>
      <c r="O27" s="940"/>
      <c r="P27" s="919"/>
      <c r="Q27" s="919"/>
      <c r="U27" s="915" t="s">
        <v>2023</v>
      </c>
      <c r="V27" s="915" t="s">
        <v>2023</v>
      </c>
      <c r="X27" s="952">
        <v>42740</v>
      </c>
      <c r="Y27" s="952">
        <v>42740</v>
      </c>
      <c r="AA27" s="952"/>
      <c r="AB27" s="915" t="s">
        <v>1626</v>
      </c>
      <c r="AC27" s="915">
        <v>0</v>
      </c>
      <c r="AD27" s="915">
        <v>0</v>
      </c>
      <c r="AE27" s="915">
        <v>0</v>
      </c>
      <c r="AF27" s="915">
        <v>0</v>
      </c>
      <c r="AG27" s="915">
        <v>0</v>
      </c>
      <c r="AH27" s="915">
        <v>1</v>
      </c>
      <c r="AI27" s="915">
        <v>70225</v>
      </c>
      <c r="AJ27" s="915">
        <v>2010</v>
      </c>
      <c r="AK27" s="915">
        <v>0</v>
      </c>
      <c r="AL27" s="915">
        <v>0</v>
      </c>
      <c r="AO27" s="955"/>
      <c r="AP27" s="955"/>
      <c r="AQ27" s="915" t="str">
        <f t="shared" si="0"/>
        <v/>
      </c>
      <c r="AS27" s="915" t="str">
        <f t="shared" si="1"/>
        <v>wci_corp</v>
      </c>
    </row>
    <row r="28" spans="2:45">
      <c r="B28" s="915" t="s">
        <v>1990</v>
      </c>
      <c r="C28" s="952">
        <v>42735</v>
      </c>
      <c r="D28" s="953">
        <v>216.8</v>
      </c>
      <c r="E28" s="953">
        <v>0</v>
      </c>
      <c r="F28" s="954" t="s">
        <v>1613</v>
      </c>
      <c r="G28" s="915" t="s">
        <v>2020</v>
      </c>
      <c r="H28" s="955" t="s">
        <v>1615</v>
      </c>
      <c r="I28" s="915" t="s">
        <v>2021</v>
      </c>
      <c r="J28" s="915" t="s">
        <v>2000</v>
      </c>
      <c r="K28" s="915" t="s">
        <v>1618</v>
      </c>
      <c r="L28" s="919"/>
      <c r="M28" s="919"/>
      <c r="N28" s="919" t="s">
        <v>2022</v>
      </c>
      <c r="O28" s="940"/>
      <c r="P28" s="919"/>
      <c r="Q28" s="919"/>
      <c r="U28" s="915" t="s">
        <v>2023</v>
      </c>
      <c r="V28" s="915" t="s">
        <v>2023</v>
      </c>
      <c r="X28" s="952">
        <v>42740</v>
      </c>
      <c r="Y28" s="952">
        <v>42740</v>
      </c>
      <c r="AA28" s="952"/>
      <c r="AB28" s="915" t="s">
        <v>1626</v>
      </c>
      <c r="AC28" s="915">
        <v>0</v>
      </c>
      <c r="AD28" s="915">
        <v>0</v>
      </c>
      <c r="AE28" s="915">
        <v>0</v>
      </c>
      <c r="AF28" s="915">
        <v>0</v>
      </c>
      <c r="AG28" s="915">
        <v>0</v>
      </c>
      <c r="AH28" s="915">
        <v>1</v>
      </c>
      <c r="AI28" s="915">
        <v>70225</v>
      </c>
      <c r="AJ28" s="915">
        <v>2010</v>
      </c>
      <c r="AK28" s="915">
        <v>0</v>
      </c>
      <c r="AL28" s="915">
        <v>0</v>
      </c>
      <c r="AO28" s="955"/>
      <c r="AP28" s="955"/>
      <c r="AQ28" s="915" t="str">
        <f t="shared" si="0"/>
        <v/>
      </c>
      <c r="AS28" s="915" t="str">
        <f t="shared" si="1"/>
        <v>wci_corp</v>
      </c>
    </row>
    <row r="29" spans="2:45">
      <c r="B29" s="915" t="s">
        <v>1990</v>
      </c>
      <c r="C29" s="952">
        <v>42735</v>
      </c>
      <c r="D29" s="953">
        <v>1084</v>
      </c>
      <c r="E29" s="953">
        <v>0</v>
      </c>
      <c r="F29" s="954" t="s">
        <v>1613</v>
      </c>
      <c r="G29" s="915" t="s">
        <v>2020</v>
      </c>
      <c r="H29" s="955" t="s">
        <v>1615</v>
      </c>
      <c r="I29" s="915" t="s">
        <v>2021</v>
      </c>
      <c r="J29" s="915" t="s">
        <v>2000</v>
      </c>
      <c r="K29" s="915" t="s">
        <v>1618</v>
      </c>
      <c r="L29" s="919"/>
      <c r="M29" s="919"/>
      <c r="N29" s="919" t="s">
        <v>2022</v>
      </c>
      <c r="O29" s="940"/>
      <c r="P29" s="919"/>
      <c r="Q29" s="919"/>
      <c r="U29" s="915" t="s">
        <v>2023</v>
      </c>
      <c r="V29" s="915" t="s">
        <v>2023</v>
      </c>
      <c r="X29" s="952">
        <v>42740</v>
      </c>
      <c r="Y29" s="952">
        <v>42740</v>
      </c>
      <c r="AA29" s="952"/>
      <c r="AB29" s="915" t="s">
        <v>1626</v>
      </c>
      <c r="AC29" s="915">
        <v>0</v>
      </c>
      <c r="AD29" s="915">
        <v>0</v>
      </c>
      <c r="AE29" s="915">
        <v>0</v>
      </c>
      <c r="AF29" s="915">
        <v>0</v>
      </c>
      <c r="AG29" s="915">
        <v>0</v>
      </c>
      <c r="AH29" s="915">
        <v>1</v>
      </c>
      <c r="AI29" s="915">
        <v>70225</v>
      </c>
      <c r="AJ29" s="915">
        <v>2010</v>
      </c>
      <c r="AK29" s="915">
        <v>0</v>
      </c>
      <c r="AL29" s="915">
        <v>0</v>
      </c>
      <c r="AO29" s="955"/>
      <c r="AP29" s="955"/>
      <c r="AQ29" s="915" t="str">
        <f t="shared" si="0"/>
        <v/>
      </c>
      <c r="AS29" s="915" t="str">
        <f t="shared" si="1"/>
        <v>wci_corp</v>
      </c>
    </row>
    <row r="30" spans="2:45">
      <c r="B30" s="915" t="s">
        <v>1990</v>
      </c>
      <c r="C30" s="952">
        <v>42735</v>
      </c>
      <c r="D30" s="953">
        <v>1626</v>
      </c>
      <c r="E30" s="953">
        <v>0</v>
      </c>
      <c r="F30" s="954" t="s">
        <v>1613</v>
      </c>
      <c r="G30" s="915" t="s">
        <v>2020</v>
      </c>
      <c r="H30" s="955" t="s">
        <v>1615</v>
      </c>
      <c r="I30" s="915" t="s">
        <v>2021</v>
      </c>
      <c r="J30" s="915" t="s">
        <v>2000</v>
      </c>
      <c r="K30" s="915" t="s">
        <v>1618</v>
      </c>
      <c r="L30" s="919"/>
      <c r="M30" s="919"/>
      <c r="N30" s="919" t="s">
        <v>2022</v>
      </c>
      <c r="O30" s="940"/>
      <c r="P30" s="919"/>
      <c r="Q30" s="919"/>
      <c r="U30" s="915" t="s">
        <v>2023</v>
      </c>
      <c r="V30" s="915" t="s">
        <v>2023</v>
      </c>
      <c r="X30" s="952">
        <v>42740</v>
      </c>
      <c r="Y30" s="952">
        <v>42740</v>
      </c>
      <c r="AA30" s="952"/>
      <c r="AB30" s="915" t="s">
        <v>1626</v>
      </c>
      <c r="AC30" s="915">
        <v>0</v>
      </c>
      <c r="AD30" s="915">
        <v>0</v>
      </c>
      <c r="AE30" s="915">
        <v>0</v>
      </c>
      <c r="AF30" s="915">
        <v>0</v>
      </c>
      <c r="AG30" s="915">
        <v>0</v>
      </c>
      <c r="AH30" s="915">
        <v>1</v>
      </c>
      <c r="AI30" s="915">
        <v>70225</v>
      </c>
      <c r="AJ30" s="915">
        <v>2010</v>
      </c>
      <c r="AK30" s="915">
        <v>0</v>
      </c>
      <c r="AL30" s="915">
        <v>0</v>
      </c>
      <c r="AO30" s="955"/>
      <c r="AP30" s="955"/>
      <c r="AQ30" s="915" t="str">
        <f t="shared" si="0"/>
        <v/>
      </c>
      <c r="AS30" s="915" t="str">
        <f t="shared" si="1"/>
        <v>wci_corp</v>
      </c>
    </row>
    <row r="31" spans="2:45">
      <c r="B31" s="915" t="s">
        <v>1990</v>
      </c>
      <c r="C31" s="952">
        <v>42735</v>
      </c>
      <c r="D31" s="953">
        <v>1084</v>
      </c>
      <c r="E31" s="953">
        <v>0</v>
      </c>
      <c r="F31" s="954" t="s">
        <v>1613</v>
      </c>
      <c r="G31" s="915" t="s">
        <v>2020</v>
      </c>
      <c r="H31" s="955" t="s">
        <v>1615</v>
      </c>
      <c r="I31" s="915" t="s">
        <v>2021</v>
      </c>
      <c r="J31" s="915" t="s">
        <v>2000</v>
      </c>
      <c r="K31" s="915" t="s">
        <v>1618</v>
      </c>
      <c r="L31" s="919"/>
      <c r="M31" s="919"/>
      <c r="N31" s="919" t="s">
        <v>2022</v>
      </c>
      <c r="O31" s="940"/>
      <c r="P31" s="919"/>
      <c r="Q31" s="919"/>
      <c r="U31" s="915" t="s">
        <v>2023</v>
      </c>
      <c r="V31" s="915" t="s">
        <v>2023</v>
      </c>
      <c r="X31" s="952">
        <v>42740</v>
      </c>
      <c r="Y31" s="952">
        <v>42740</v>
      </c>
      <c r="AA31" s="952"/>
      <c r="AB31" s="915" t="s">
        <v>1626</v>
      </c>
      <c r="AC31" s="915">
        <v>0</v>
      </c>
      <c r="AD31" s="915">
        <v>0</v>
      </c>
      <c r="AE31" s="915">
        <v>0</v>
      </c>
      <c r="AF31" s="915">
        <v>0</v>
      </c>
      <c r="AG31" s="915">
        <v>0</v>
      </c>
      <c r="AH31" s="915">
        <v>1</v>
      </c>
      <c r="AI31" s="915">
        <v>70225</v>
      </c>
      <c r="AJ31" s="915">
        <v>2010</v>
      </c>
      <c r="AK31" s="915">
        <v>0</v>
      </c>
      <c r="AL31" s="915">
        <v>0</v>
      </c>
      <c r="AO31" s="955"/>
      <c r="AP31" s="955"/>
      <c r="AQ31" s="915" t="str">
        <f t="shared" si="0"/>
        <v/>
      </c>
      <c r="AS31" s="915" t="str">
        <f t="shared" si="1"/>
        <v>wci_corp</v>
      </c>
    </row>
    <row r="32" spans="2:45">
      <c r="B32" s="915" t="s">
        <v>1990</v>
      </c>
      <c r="C32" s="952">
        <v>42735</v>
      </c>
      <c r="D32" s="953">
        <v>2421.12</v>
      </c>
      <c r="E32" s="953">
        <v>0</v>
      </c>
      <c r="F32" s="954" t="s">
        <v>1613</v>
      </c>
      <c r="G32" s="915" t="s">
        <v>2024</v>
      </c>
      <c r="H32" s="955" t="s">
        <v>1615</v>
      </c>
      <c r="I32" s="915" t="s">
        <v>1999</v>
      </c>
      <c r="J32" s="915" t="s">
        <v>2025</v>
      </c>
      <c r="K32" s="915" t="s">
        <v>1618</v>
      </c>
      <c r="L32" s="919"/>
      <c r="M32" s="919"/>
      <c r="N32" s="919" t="s">
        <v>2026</v>
      </c>
      <c r="O32" s="940"/>
      <c r="P32" s="919"/>
      <c r="Q32" s="919"/>
      <c r="U32" s="915" t="s">
        <v>2027</v>
      </c>
      <c r="V32" s="915" t="s">
        <v>2027</v>
      </c>
      <c r="X32" s="952">
        <v>42741</v>
      </c>
      <c r="Y32" s="952">
        <v>42741</v>
      </c>
      <c r="AA32" s="952"/>
      <c r="AB32" s="915" t="s">
        <v>1626</v>
      </c>
      <c r="AC32" s="915">
        <v>0</v>
      </c>
      <c r="AD32" s="915">
        <v>0</v>
      </c>
      <c r="AE32" s="915">
        <v>0</v>
      </c>
      <c r="AF32" s="915">
        <v>0</v>
      </c>
      <c r="AG32" s="915">
        <v>0</v>
      </c>
      <c r="AH32" s="915">
        <v>1</v>
      </c>
      <c r="AI32" s="915">
        <v>70225</v>
      </c>
      <c r="AJ32" s="915">
        <v>2010</v>
      </c>
      <c r="AK32" s="915">
        <v>0</v>
      </c>
      <c r="AL32" s="915">
        <v>0</v>
      </c>
      <c r="AO32" s="955"/>
      <c r="AP32" s="955"/>
      <c r="AQ32" s="915" t="str">
        <f t="shared" si="0"/>
        <v/>
      </c>
      <c r="AS32" s="915" t="str">
        <f t="shared" si="1"/>
        <v>wci_corp</v>
      </c>
    </row>
    <row r="33" spans="2:45">
      <c r="B33" s="915" t="s">
        <v>1990</v>
      </c>
      <c r="C33" s="952">
        <v>42752</v>
      </c>
      <c r="D33" s="953">
        <v>2421.12</v>
      </c>
      <c r="E33" s="953">
        <v>0</v>
      </c>
      <c r="F33" s="954" t="s">
        <v>1613</v>
      </c>
      <c r="G33" s="915" t="s">
        <v>2028</v>
      </c>
      <c r="H33" s="955" t="s">
        <v>1615</v>
      </c>
      <c r="I33" s="915" t="s">
        <v>1616</v>
      </c>
      <c r="J33" s="915" t="s">
        <v>1617</v>
      </c>
      <c r="K33" s="915" t="s">
        <v>1618</v>
      </c>
      <c r="L33" s="919" t="s">
        <v>2029</v>
      </c>
      <c r="M33" s="919"/>
      <c r="N33" s="919" t="s">
        <v>1993</v>
      </c>
      <c r="O33" s="940">
        <v>42735</v>
      </c>
      <c r="P33" s="919" t="s">
        <v>2030</v>
      </c>
      <c r="Q33" s="919">
        <v>3116784</v>
      </c>
      <c r="R33" s="915" t="s">
        <v>2031</v>
      </c>
      <c r="U33" s="915" t="s">
        <v>2032</v>
      </c>
      <c r="V33" s="915" t="s">
        <v>2033</v>
      </c>
      <c r="W33" s="915">
        <v>2010</v>
      </c>
      <c r="X33" s="952">
        <v>42752</v>
      </c>
      <c r="Y33" s="952">
        <v>42758</v>
      </c>
      <c r="Z33" s="915">
        <v>2421.12</v>
      </c>
      <c r="AA33" s="952">
        <v>42745</v>
      </c>
      <c r="AB33" s="915" t="s">
        <v>1626</v>
      </c>
      <c r="AC33" s="915">
        <v>0</v>
      </c>
      <c r="AD33" s="915">
        <v>0</v>
      </c>
      <c r="AE33" s="915">
        <v>0</v>
      </c>
      <c r="AF33" s="915">
        <v>0</v>
      </c>
      <c r="AG33" s="915">
        <v>0</v>
      </c>
      <c r="AH33" s="915">
        <v>1</v>
      </c>
      <c r="AI33" s="915">
        <v>70225</v>
      </c>
      <c r="AJ33" s="915">
        <v>2010</v>
      </c>
      <c r="AK33" s="915">
        <v>0</v>
      </c>
      <c r="AL33" s="915">
        <v>0</v>
      </c>
      <c r="AO33" s="955"/>
      <c r="AP33" s="955"/>
      <c r="AQ33" s="915" t="str">
        <f t="shared" si="0"/>
        <v>VO04173651</v>
      </c>
      <c r="AS33" s="915" t="str">
        <f t="shared" si="1"/>
        <v>wci_corp</v>
      </c>
    </row>
    <row r="34" spans="2:45">
      <c r="B34" s="915" t="s">
        <v>1990</v>
      </c>
      <c r="C34" s="952">
        <v>42766</v>
      </c>
      <c r="D34" s="953">
        <v>-2421.12</v>
      </c>
      <c r="E34" s="953">
        <v>0</v>
      </c>
      <c r="F34" s="954" t="s">
        <v>1613</v>
      </c>
      <c r="G34" s="915" t="s">
        <v>2034</v>
      </c>
      <c r="H34" s="955" t="s">
        <v>1615</v>
      </c>
      <c r="I34" s="915" t="s">
        <v>1999</v>
      </c>
      <c r="J34" s="915" t="s">
        <v>2025</v>
      </c>
      <c r="K34" s="915" t="s">
        <v>1618</v>
      </c>
      <c r="L34" s="919"/>
      <c r="M34" s="919"/>
      <c r="N34" s="919" t="s">
        <v>2026</v>
      </c>
      <c r="O34" s="940"/>
      <c r="P34" s="919"/>
      <c r="Q34" s="919"/>
      <c r="U34" s="915" t="s">
        <v>2027</v>
      </c>
      <c r="V34" s="915" t="s">
        <v>2035</v>
      </c>
      <c r="X34" s="952">
        <v>42741</v>
      </c>
      <c r="Y34" s="952">
        <v>42741</v>
      </c>
      <c r="AA34" s="952"/>
      <c r="AB34" s="915" t="s">
        <v>1626</v>
      </c>
      <c r="AC34" s="915">
        <v>0</v>
      </c>
      <c r="AD34" s="915">
        <v>0</v>
      </c>
      <c r="AE34" s="915">
        <v>0</v>
      </c>
      <c r="AF34" s="915">
        <v>0</v>
      </c>
      <c r="AG34" s="915">
        <v>5</v>
      </c>
      <c r="AH34" s="915">
        <v>1</v>
      </c>
      <c r="AI34" s="915">
        <v>70225</v>
      </c>
      <c r="AJ34" s="915">
        <v>2010</v>
      </c>
      <c r="AK34" s="915">
        <v>0</v>
      </c>
      <c r="AL34" s="915">
        <v>0</v>
      </c>
      <c r="AO34" s="955"/>
      <c r="AP34" s="955"/>
      <c r="AQ34" s="915" t="str">
        <f t="shared" si="0"/>
        <v/>
      </c>
      <c r="AS34" s="915" t="str">
        <f t="shared" si="1"/>
        <v>wci_corp</v>
      </c>
    </row>
    <row r="35" spans="2:45">
      <c r="B35" s="915" t="s">
        <v>1990</v>
      </c>
      <c r="C35" s="952">
        <v>42766</v>
      </c>
      <c r="D35" s="953">
        <v>542</v>
      </c>
      <c r="E35" s="953">
        <v>0</v>
      </c>
      <c r="F35" s="954" t="s">
        <v>1613</v>
      </c>
      <c r="G35" s="915" t="s">
        <v>2036</v>
      </c>
      <c r="H35" s="955" t="s">
        <v>1615</v>
      </c>
      <c r="I35" s="915" t="s">
        <v>2037</v>
      </c>
      <c r="J35" s="915" t="s">
        <v>2000</v>
      </c>
      <c r="K35" s="915" t="s">
        <v>1618</v>
      </c>
      <c r="L35" s="919"/>
      <c r="M35" s="919"/>
      <c r="N35" s="919" t="s">
        <v>2022</v>
      </c>
      <c r="O35" s="940"/>
      <c r="P35" s="919"/>
      <c r="Q35" s="919"/>
      <c r="U35" s="915" t="s">
        <v>2038</v>
      </c>
      <c r="V35" s="915" t="s">
        <v>2038</v>
      </c>
      <c r="X35" s="952">
        <v>42769</v>
      </c>
      <c r="Y35" s="952">
        <v>42769</v>
      </c>
      <c r="AA35" s="952"/>
      <c r="AB35" s="915" t="s">
        <v>1626</v>
      </c>
      <c r="AC35" s="915">
        <v>0</v>
      </c>
      <c r="AD35" s="915">
        <v>0</v>
      </c>
      <c r="AE35" s="915">
        <v>0</v>
      </c>
      <c r="AF35" s="915">
        <v>0</v>
      </c>
      <c r="AG35" s="915">
        <v>0</v>
      </c>
      <c r="AH35" s="915">
        <v>1</v>
      </c>
      <c r="AI35" s="915">
        <v>70225</v>
      </c>
      <c r="AJ35" s="915">
        <v>2010</v>
      </c>
      <c r="AK35" s="915">
        <v>0</v>
      </c>
      <c r="AL35" s="915">
        <v>0</v>
      </c>
      <c r="AO35" s="955"/>
      <c r="AP35" s="955"/>
      <c r="AQ35" s="915" t="str">
        <f t="shared" si="0"/>
        <v/>
      </c>
      <c r="AS35" s="915" t="str">
        <f t="shared" si="1"/>
        <v>wci_corp</v>
      </c>
    </row>
    <row r="36" spans="2:45">
      <c r="B36" s="915" t="s">
        <v>1990</v>
      </c>
      <c r="C36" s="952">
        <v>42766</v>
      </c>
      <c r="D36" s="953">
        <v>542</v>
      </c>
      <c r="E36" s="953">
        <v>0</v>
      </c>
      <c r="F36" s="954" t="s">
        <v>1613</v>
      </c>
      <c r="G36" s="915" t="s">
        <v>2036</v>
      </c>
      <c r="H36" s="955" t="s">
        <v>1615</v>
      </c>
      <c r="I36" s="915" t="s">
        <v>2037</v>
      </c>
      <c r="J36" s="915" t="s">
        <v>2000</v>
      </c>
      <c r="K36" s="915" t="s">
        <v>1618</v>
      </c>
      <c r="L36" s="919"/>
      <c r="M36" s="919"/>
      <c r="N36" s="919" t="s">
        <v>2022</v>
      </c>
      <c r="O36" s="940"/>
      <c r="P36" s="919"/>
      <c r="Q36" s="919"/>
      <c r="U36" s="915" t="s">
        <v>2038</v>
      </c>
      <c r="V36" s="915" t="s">
        <v>2038</v>
      </c>
      <c r="X36" s="952">
        <v>42769</v>
      </c>
      <c r="Y36" s="952">
        <v>42769</v>
      </c>
      <c r="AA36" s="952"/>
      <c r="AB36" s="915" t="s">
        <v>1626</v>
      </c>
      <c r="AC36" s="915">
        <v>0</v>
      </c>
      <c r="AD36" s="915">
        <v>0</v>
      </c>
      <c r="AE36" s="915">
        <v>0</v>
      </c>
      <c r="AF36" s="915">
        <v>0</v>
      </c>
      <c r="AG36" s="915">
        <v>0</v>
      </c>
      <c r="AH36" s="915">
        <v>1</v>
      </c>
      <c r="AI36" s="915">
        <v>70225</v>
      </c>
      <c r="AJ36" s="915">
        <v>2010</v>
      </c>
      <c r="AK36" s="915">
        <v>0</v>
      </c>
      <c r="AL36" s="915">
        <v>0</v>
      </c>
      <c r="AO36" s="955"/>
      <c r="AP36" s="955"/>
      <c r="AQ36" s="915" t="str">
        <f t="shared" si="0"/>
        <v/>
      </c>
      <c r="AS36" s="915" t="str">
        <f t="shared" si="1"/>
        <v>wci_corp</v>
      </c>
    </row>
    <row r="37" spans="2:45">
      <c r="B37" s="915" t="s">
        <v>1990</v>
      </c>
      <c r="C37" s="952">
        <v>42766</v>
      </c>
      <c r="D37" s="953">
        <v>1626</v>
      </c>
      <c r="E37" s="953">
        <v>0</v>
      </c>
      <c r="F37" s="954" t="s">
        <v>1613</v>
      </c>
      <c r="G37" s="915" t="s">
        <v>2036</v>
      </c>
      <c r="H37" s="955" t="s">
        <v>1615</v>
      </c>
      <c r="I37" s="915" t="s">
        <v>2037</v>
      </c>
      <c r="J37" s="915" t="s">
        <v>2000</v>
      </c>
      <c r="K37" s="915" t="s">
        <v>1618</v>
      </c>
      <c r="L37" s="919"/>
      <c r="M37" s="919"/>
      <c r="N37" s="919" t="s">
        <v>2022</v>
      </c>
      <c r="O37" s="940"/>
      <c r="P37" s="919"/>
      <c r="Q37" s="919"/>
      <c r="U37" s="915" t="s">
        <v>2038</v>
      </c>
      <c r="V37" s="915" t="s">
        <v>2038</v>
      </c>
      <c r="X37" s="952">
        <v>42769</v>
      </c>
      <c r="Y37" s="952">
        <v>42769</v>
      </c>
      <c r="AA37" s="952"/>
      <c r="AB37" s="915" t="s">
        <v>1626</v>
      </c>
      <c r="AC37" s="915">
        <v>0</v>
      </c>
      <c r="AD37" s="915">
        <v>0</v>
      </c>
      <c r="AE37" s="915">
        <v>0</v>
      </c>
      <c r="AF37" s="915">
        <v>0</v>
      </c>
      <c r="AG37" s="915">
        <v>0</v>
      </c>
      <c r="AH37" s="915">
        <v>1</v>
      </c>
      <c r="AI37" s="915">
        <v>70225</v>
      </c>
      <c r="AJ37" s="915">
        <v>2010</v>
      </c>
      <c r="AK37" s="915">
        <v>0</v>
      </c>
      <c r="AL37" s="915">
        <v>0</v>
      </c>
      <c r="AO37" s="955"/>
      <c r="AP37" s="955"/>
      <c r="AQ37" s="915" t="str">
        <f t="shared" si="0"/>
        <v/>
      </c>
      <c r="AS37" s="915" t="str">
        <f t="shared" si="1"/>
        <v>wci_corp</v>
      </c>
    </row>
    <row r="38" spans="2:45">
      <c r="B38" s="915" t="s">
        <v>1990</v>
      </c>
      <c r="C38" s="952">
        <v>42766</v>
      </c>
      <c r="D38" s="953">
        <v>1084</v>
      </c>
      <c r="E38" s="953">
        <v>0</v>
      </c>
      <c r="F38" s="954" t="s">
        <v>1613</v>
      </c>
      <c r="G38" s="915" t="s">
        <v>2036</v>
      </c>
      <c r="H38" s="955" t="s">
        <v>1615</v>
      </c>
      <c r="I38" s="915" t="s">
        <v>2037</v>
      </c>
      <c r="J38" s="915" t="s">
        <v>2000</v>
      </c>
      <c r="K38" s="915" t="s">
        <v>1618</v>
      </c>
      <c r="L38" s="919"/>
      <c r="M38" s="919"/>
      <c r="N38" s="919" t="s">
        <v>2022</v>
      </c>
      <c r="O38" s="940"/>
      <c r="P38" s="919"/>
      <c r="Q38" s="919"/>
      <c r="U38" s="915" t="s">
        <v>2038</v>
      </c>
      <c r="V38" s="915" t="s">
        <v>2038</v>
      </c>
      <c r="X38" s="952">
        <v>42769</v>
      </c>
      <c r="Y38" s="952">
        <v>42769</v>
      </c>
      <c r="AA38" s="952"/>
      <c r="AB38" s="915" t="s">
        <v>1626</v>
      </c>
      <c r="AC38" s="915">
        <v>0</v>
      </c>
      <c r="AD38" s="915">
        <v>0</v>
      </c>
      <c r="AE38" s="915">
        <v>0</v>
      </c>
      <c r="AF38" s="915">
        <v>0</v>
      </c>
      <c r="AG38" s="915">
        <v>0</v>
      </c>
      <c r="AH38" s="915">
        <v>1</v>
      </c>
      <c r="AI38" s="915">
        <v>70225</v>
      </c>
      <c r="AJ38" s="915">
        <v>2010</v>
      </c>
      <c r="AK38" s="915">
        <v>0</v>
      </c>
      <c r="AL38" s="915">
        <v>0</v>
      </c>
      <c r="AO38" s="955"/>
      <c r="AP38" s="955"/>
      <c r="AQ38" s="915" t="str">
        <f t="shared" si="0"/>
        <v/>
      </c>
      <c r="AS38" s="915" t="str">
        <f t="shared" si="1"/>
        <v>wci_corp</v>
      </c>
    </row>
    <row r="39" spans="2:45">
      <c r="B39" s="915" t="s">
        <v>1990</v>
      </c>
      <c r="C39" s="952">
        <v>42766</v>
      </c>
      <c r="D39" s="953">
        <v>1084</v>
      </c>
      <c r="E39" s="953">
        <v>0</v>
      </c>
      <c r="F39" s="954" t="s">
        <v>1613</v>
      </c>
      <c r="G39" s="915" t="s">
        <v>2036</v>
      </c>
      <c r="H39" s="955" t="s">
        <v>1615</v>
      </c>
      <c r="I39" s="915" t="s">
        <v>2037</v>
      </c>
      <c r="J39" s="915" t="s">
        <v>2000</v>
      </c>
      <c r="K39" s="915" t="s">
        <v>1618</v>
      </c>
      <c r="L39" s="919"/>
      <c r="M39" s="919"/>
      <c r="N39" s="919" t="s">
        <v>2022</v>
      </c>
      <c r="O39" s="940"/>
      <c r="P39" s="919"/>
      <c r="Q39" s="919"/>
      <c r="U39" s="915" t="s">
        <v>2038</v>
      </c>
      <c r="V39" s="915" t="s">
        <v>2038</v>
      </c>
      <c r="X39" s="952">
        <v>42769</v>
      </c>
      <c r="Y39" s="952">
        <v>42769</v>
      </c>
      <c r="AA39" s="952"/>
      <c r="AB39" s="915" t="s">
        <v>1626</v>
      </c>
      <c r="AC39" s="915">
        <v>0</v>
      </c>
      <c r="AD39" s="915">
        <v>0</v>
      </c>
      <c r="AE39" s="915">
        <v>0</v>
      </c>
      <c r="AF39" s="915">
        <v>0</v>
      </c>
      <c r="AG39" s="915">
        <v>0</v>
      </c>
      <c r="AH39" s="915">
        <v>1</v>
      </c>
      <c r="AI39" s="915">
        <v>70225</v>
      </c>
      <c r="AJ39" s="915">
        <v>2010</v>
      </c>
      <c r="AK39" s="915">
        <v>0</v>
      </c>
      <c r="AL39" s="915">
        <v>0</v>
      </c>
      <c r="AO39" s="955"/>
      <c r="AP39" s="955"/>
      <c r="AQ39" s="915" t="str">
        <f t="shared" si="0"/>
        <v/>
      </c>
      <c r="AS39" s="915" t="str">
        <f t="shared" si="1"/>
        <v>wci_corp</v>
      </c>
    </row>
    <row r="40" spans="2:45">
      <c r="B40" s="915" t="s">
        <v>1990</v>
      </c>
      <c r="C40" s="952">
        <v>42766</v>
      </c>
      <c r="D40" s="953">
        <v>325.2</v>
      </c>
      <c r="E40" s="953">
        <v>0</v>
      </c>
      <c r="F40" s="954" t="s">
        <v>1613</v>
      </c>
      <c r="G40" s="915" t="s">
        <v>2036</v>
      </c>
      <c r="H40" s="955" t="s">
        <v>1615</v>
      </c>
      <c r="I40" s="915" t="s">
        <v>2037</v>
      </c>
      <c r="J40" s="915" t="s">
        <v>2000</v>
      </c>
      <c r="K40" s="915" t="s">
        <v>1618</v>
      </c>
      <c r="L40" s="919"/>
      <c r="M40" s="919"/>
      <c r="N40" s="919" t="s">
        <v>2022</v>
      </c>
      <c r="O40" s="940"/>
      <c r="P40" s="919"/>
      <c r="Q40" s="919"/>
      <c r="U40" s="915" t="s">
        <v>2038</v>
      </c>
      <c r="V40" s="915" t="s">
        <v>2038</v>
      </c>
      <c r="X40" s="952">
        <v>42769</v>
      </c>
      <c r="Y40" s="952">
        <v>42769</v>
      </c>
      <c r="AA40" s="952"/>
      <c r="AB40" s="915" t="s">
        <v>1626</v>
      </c>
      <c r="AC40" s="915">
        <v>0</v>
      </c>
      <c r="AD40" s="915">
        <v>0</v>
      </c>
      <c r="AE40" s="915">
        <v>0</v>
      </c>
      <c r="AF40" s="915">
        <v>0</v>
      </c>
      <c r="AG40" s="915">
        <v>0</v>
      </c>
      <c r="AH40" s="915">
        <v>1</v>
      </c>
      <c r="AI40" s="915">
        <v>70225</v>
      </c>
      <c r="AJ40" s="915">
        <v>2010</v>
      </c>
      <c r="AK40" s="915">
        <v>0</v>
      </c>
      <c r="AL40" s="915">
        <v>0</v>
      </c>
      <c r="AO40" s="955"/>
      <c r="AP40" s="955"/>
      <c r="AQ40" s="915" t="str">
        <f t="shared" si="0"/>
        <v/>
      </c>
      <c r="AS40" s="915" t="str">
        <f t="shared" si="1"/>
        <v>wci_corp</v>
      </c>
    </row>
    <row r="41" spans="2:45">
      <c r="B41" s="915" t="s">
        <v>1990</v>
      </c>
      <c r="C41" s="952">
        <v>42766</v>
      </c>
      <c r="D41" s="953">
        <v>1084</v>
      </c>
      <c r="E41" s="953">
        <v>0</v>
      </c>
      <c r="F41" s="954" t="s">
        <v>1613</v>
      </c>
      <c r="G41" s="915" t="s">
        <v>2036</v>
      </c>
      <c r="H41" s="955" t="s">
        <v>1615</v>
      </c>
      <c r="I41" s="915" t="s">
        <v>2037</v>
      </c>
      <c r="J41" s="915" t="s">
        <v>2000</v>
      </c>
      <c r="K41" s="915" t="s">
        <v>1618</v>
      </c>
      <c r="L41" s="919"/>
      <c r="M41" s="919"/>
      <c r="N41" s="919" t="s">
        <v>2022</v>
      </c>
      <c r="O41" s="940"/>
      <c r="P41" s="919"/>
      <c r="Q41" s="919"/>
      <c r="U41" s="915" t="s">
        <v>2038</v>
      </c>
      <c r="V41" s="915" t="s">
        <v>2038</v>
      </c>
      <c r="X41" s="952">
        <v>42769</v>
      </c>
      <c r="Y41" s="952">
        <v>42769</v>
      </c>
      <c r="AA41" s="952"/>
      <c r="AB41" s="915" t="s">
        <v>1626</v>
      </c>
      <c r="AC41" s="915">
        <v>0</v>
      </c>
      <c r="AD41" s="915">
        <v>0</v>
      </c>
      <c r="AE41" s="915">
        <v>0</v>
      </c>
      <c r="AF41" s="915">
        <v>0</v>
      </c>
      <c r="AG41" s="915">
        <v>0</v>
      </c>
      <c r="AH41" s="915">
        <v>1</v>
      </c>
      <c r="AI41" s="915">
        <v>70225</v>
      </c>
      <c r="AJ41" s="915">
        <v>2010</v>
      </c>
      <c r="AK41" s="915">
        <v>0</v>
      </c>
      <c r="AL41" s="915">
        <v>0</v>
      </c>
      <c r="AO41" s="955"/>
      <c r="AP41" s="955"/>
      <c r="AQ41" s="915" t="str">
        <f t="shared" si="0"/>
        <v/>
      </c>
      <c r="AS41" s="915" t="str">
        <f t="shared" si="1"/>
        <v>wci_corp</v>
      </c>
    </row>
    <row r="42" spans="2:45">
      <c r="B42" s="915" t="s">
        <v>1990</v>
      </c>
      <c r="C42" s="952">
        <v>42766</v>
      </c>
      <c r="D42" s="953">
        <v>1626</v>
      </c>
      <c r="E42" s="953">
        <v>0</v>
      </c>
      <c r="F42" s="954" t="s">
        <v>1613</v>
      </c>
      <c r="G42" s="915" t="s">
        <v>2036</v>
      </c>
      <c r="H42" s="955" t="s">
        <v>1615</v>
      </c>
      <c r="I42" s="915" t="s">
        <v>2037</v>
      </c>
      <c r="J42" s="915" t="s">
        <v>2000</v>
      </c>
      <c r="K42" s="915" t="s">
        <v>1618</v>
      </c>
      <c r="L42" s="919"/>
      <c r="M42" s="919"/>
      <c r="N42" s="919" t="s">
        <v>2022</v>
      </c>
      <c r="O42" s="940"/>
      <c r="P42" s="919"/>
      <c r="Q42" s="919"/>
      <c r="U42" s="915" t="s">
        <v>2038</v>
      </c>
      <c r="V42" s="915" t="s">
        <v>2038</v>
      </c>
      <c r="X42" s="952">
        <v>42769</v>
      </c>
      <c r="Y42" s="952">
        <v>42769</v>
      </c>
      <c r="AA42" s="952"/>
      <c r="AB42" s="915" t="s">
        <v>1626</v>
      </c>
      <c r="AC42" s="915">
        <v>0</v>
      </c>
      <c r="AD42" s="915">
        <v>0</v>
      </c>
      <c r="AE42" s="915">
        <v>0</v>
      </c>
      <c r="AF42" s="915">
        <v>0</v>
      </c>
      <c r="AG42" s="915">
        <v>0</v>
      </c>
      <c r="AH42" s="915">
        <v>1</v>
      </c>
      <c r="AI42" s="915">
        <v>70225</v>
      </c>
      <c r="AJ42" s="915">
        <v>2010</v>
      </c>
      <c r="AK42" s="915">
        <v>0</v>
      </c>
      <c r="AL42" s="915">
        <v>0</v>
      </c>
      <c r="AO42" s="955"/>
      <c r="AP42" s="955"/>
      <c r="AQ42" s="915" t="str">
        <f t="shared" si="0"/>
        <v/>
      </c>
      <c r="AS42" s="915" t="str">
        <f t="shared" si="1"/>
        <v>wci_corp</v>
      </c>
    </row>
    <row r="43" spans="2:45">
      <c r="B43" s="915" t="s">
        <v>1990</v>
      </c>
      <c r="C43" s="952">
        <v>42766</v>
      </c>
      <c r="D43" s="953">
        <v>325.2</v>
      </c>
      <c r="E43" s="953">
        <v>0</v>
      </c>
      <c r="F43" s="954" t="s">
        <v>1613</v>
      </c>
      <c r="G43" s="915" t="s">
        <v>2036</v>
      </c>
      <c r="H43" s="955" t="s">
        <v>1615</v>
      </c>
      <c r="I43" s="915" t="s">
        <v>2037</v>
      </c>
      <c r="J43" s="915" t="s">
        <v>2000</v>
      </c>
      <c r="K43" s="915" t="s">
        <v>1618</v>
      </c>
      <c r="L43" s="919"/>
      <c r="M43" s="919"/>
      <c r="N43" s="919" t="s">
        <v>2022</v>
      </c>
      <c r="O43" s="940"/>
      <c r="P43" s="919"/>
      <c r="Q43" s="919"/>
      <c r="U43" s="915" t="s">
        <v>2038</v>
      </c>
      <c r="V43" s="915" t="s">
        <v>2038</v>
      </c>
      <c r="X43" s="952">
        <v>42769</v>
      </c>
      <c r="Y43" s="952">
        <v>42769</v>
      </c>
      <c r="AA43" s="952"/>
      <c r="AB43" s="915" t="s">
        <v>1626</v>
      </c>
      <c r="AC43" s="915">
        <v>0</v>
      </c>
      <c r="AD43" s="915">
        <v>0</v>
      </c>
      <c r="AE43" s="915">
        <v>0</v>
      </c>
      <c r="AF43" s="915">
        <v>0</v>
      </c>
      <c r="AG43" s="915">
        <v>0</v>
      </c>
      <c r="AH43" s="915">
        <v>1</v>
      </c>
      <c r="AI43" s="915">
        <v>70225</v>
      </c>
      <c r="AJ43" s="915">
        <v>2010</v>
      </c>
      <c r="AK43" s="915">
        <v>0</v>
      </c>
      <c r="AL43" s="915">
        <v>0</v>
      </c>
      <c r="AO43" s="955"/>
      <c r="AP43" s="955"/>
      <c r="AQ43" s="915" t="str">
        <f t="shared" si="0"/>
        <v/>
      </c>
      <c r="AS43" s="915" t="str">
        <f t="shared" si="1"/>
        <v>wci_corp</v>
      </c>
    </row>
    <row r="44" spans="2:45">
      <c r="B44" s="915" t="s">
        <v>1990</v>
      </c>
      <c r="C44" s="952">
        <v>42794</v>
      </c>
      <c r="D44" s="953">
        <v>108.4</v>
      </c>
      <c r="E44" s="953">
        <v>0</v>
      </c>
      <c r="F44" s="954" t="s">
        <v>1613</v>
      </c>
      <c r="G44" s="915" t="s">
        <v>2039</v>
      </c>
      <c r="H44" s="955" t="s">
        <v>1615</v>
      </c>
      <c r="I44" s="915" t="s">
        <v>2040</v>
      </c>
      <c r="J44" s="915" t="s">
        <v>2000</v>
      </c>
      <c r="K44" s="915" t="s">
        <v>1618</v>
      </c>
      <c r="L44" s="919"/>
      <c r="M44" s="919"/>
      <c r="N44" s="919" t="s">
        <v>2022</v>
      </c>
      <c r="O44" s="940"/>
      <c r="P44" s="919"/>
      <c r="Q44" s="919"/>
      <c r="U44" s="915" t="s">
        <v>2041</v>
      </c>
      <c r="V44" s="915" t="s">
        <v>2041</v>
      </c>
      <c r="X44" s="952">
        <v>42796</v>
      </c>
      <c r="Y44" s="952">
        <v>42797</v>
      </c>
      <c r="AA44" s="952"/>
      <c r="AB44" s="915" t="s">
        <v>1626</v>
      </c>
      <c r="AC44" s="915">
        <v>0</v>
      </c>
      <c r="AD44" s="915">
        <v>0</v>
      </c>
      <c r="AE44" s="915">
        <v>0</v>
      </c>
      <c r="AF44" s="915">
        <v>0</v>
      </c>
      <c r="AG44" s="915">
        <v>0</v>
      </c>
      <c r="AH44" s="915">
        <v>1</v>
      </c>
      <c r="AI44" s="915">
        <v>70225</v>
      </c>
      <c r="AJ44" s="915">
        <v>2010</v>
      </c>
      <c r="AK44" s="915">
        <v>0</v>
      </c>
      <c r="AL44" s="915">
        <v>0</v>
      </c>
      <c r="AO44" s="955"/>
      <c r="AP44" s="955"/>
      <c r="AQ44" s="915" t="str">
        <f t="shared" si="0"/>
        <v/>
      </c>
      <c r="AS44" s="915" t="str">
        <f t="shared" si="1"/>
        <v>wci_corp</v>
      </c>
    </row>
    <row r="45" spans="2:45">
      <c r="B45" s="915" t="s">
        <v>1990</v>
      </c>
      <c r="C45" s="952">
        <v>42838</v>
      </c>
      <c r="D45" s="953">
        <v>431.43</v>
      </c>
      <c r="E45" s="953">
        <v>0</v>
      </c>
      <c r="F45" s="954" t="s">
        <v>1613</v>
      </c>
      <c r="G45" s="915" t="s">
        <v>2042</v>
      </c>
      <c r="H45" s="955" t="s">
        <v>1615</v>
      </c>
      <c r="I45" s="915" t="s">
        <v>1616</v>
      </c>
      <c r="J45" s="915" t="s">
        <v>1712</v>
      </c>
      <c r="K45" s="915" t="s">
        <v>1618</v>
      </c>
      <c r="L45" s="919" t="s">
        <v>2043</v>
      </c>
      <c r="M45" s="919"/>
      <c r="N45" s="919" t="s">
        <v>2044</v>
      </c>
      <c r="O45" s="940">
        <v>42836</v>
      </c>
      <c r="P45" s="919" t="s">
        <v>2045</v>
      </c>
      <c r="Q45" s="919">
        <v>18754</v>
      </c>
      <c r="R45" s="915" t="s">
        <v>2046</v>
      </c>
      <c r="U45" s="915" t="s">
        <v>2047</v>
      </c>
      <c r="V45" s="915" t="s">
        <v>2048</v>
      </c>
      <c r="W45" s="915">
        <v>2010</v>
      </c>
      <c r="X45" s="952">
        <v>42838</v>
      </c>
      <c r="Y45" s="952">
        <v>42843</v>
      </c>
      <c r="Z45" s="915">
        <v>431.43</v>
      </c>
      <c r="AA45" s="952">
        <v>42846</v>
      </c>
      <c r="AB45" s="915" t="s">
        <v>1626</v>
      </c>
      <c r="AC45" s="915">
        <v>0</v>
      </c>
      <c r="AD45" s="915">
        <v>0</v>
      </c>
      <c r="AE45" s="915">
        <v>0</v>
      </c>
      <c r="AF45" s="915">
        <v>0</v>
      </c>
      <c r="AG45" s="915">
        <v>0</v>
      </c>
      <c r="AH45" s="915">
        <v>1</v>
      </c>
      <c r="AI45" s="915">
        <v>70225</v>
      </c>
      <c r="AJ45" s="915">
        <v>2010</v>
      </c>
      <c r="AK45" s="915">
        <v>0</v>
      </c>
      <c r="AL45" s="915">
        <v>0</v>
      </c>
      <c r="AO45" s="955"/>
      <c r="AP45" s="955"/>
      <c r="AQ45" s="915" t="str">
        <f t="shared" si="0"/>
        <v>VO04258846</v>
      </c>
      <c r="AS45" s="915" t="str">
        <f t="shared" si="1"/>
        <v>wci_corp</v>
      </c>
    </row>
    <row r="46" spans="2:45">
      <c r="B46" s="915" t="s">
        <v>1990</v>
      </c>
      <c r="C46" s="952">
        <v>42886</v>
      </c>
      <c r="D46" s="953">
        <v>1084</v>
      </c>
      <c r="E46" s="953">
        <v>0</v>
      </c>
      <c r="F46" s="954" t="s">
        <v>1613</v>
      </c>
      <c r="G46" s="915" t="s">
        <v>2049</v>
      </c>
      <c r="H46" s="955" t="s">
        <v>1615</v>
      </c>
      <c r="I46" s="915" t="s">
        <v>2050</v>
      </c>
      <c r="J46" s="915" t="s">
        <v>2025</v>
      </c>
      <c r="K46" s="915" t="s">
        <v>1618</v>
      </c>
      <c r="L46" s="919"/>
      <c r="M46" s="919"/>
      <c r="N46" s="919" t="s">
        <v>2022</v>
      </c>
      <c r="O46" s="940"/>
      <c r="P46" s="919"/>
      <c r="Q46" s="919"/>
      <c r="U46" s="915" t="s">
        <v>2051</v>
      </c>
      <c r="V46" s="915" t="s">
        <v>2051</v>
      </c>
      <c r="X46" s="952">
        <v>42891</v>
      </c>
      <c r="Y46" s="952">
        <v>42891</v>
      </c>
      <c r="AA46" s="952"/>
      <c r="AB46" s="915" t="s">
        <v>1626</v>
      </c>
      <c r="AC46" s="915">
        <v>0</v>
      </c>
      <c r="AD46" s="915">
        <v>0</v>
      </c>
      <c r="AE46" s="915">
        <v>0</v>
      </c>
      <c r="AF46" s="915">
        <v>0</v>
      </c>
      <c r="AG46" s="915">
        <v>0</v>
      </c>
      <c r="AH46" s="915">
        <v>1</v>
      </c>
      <c r="AI46" s="915">
        <v>70225</v>
      </c>
      <c r="AJ46" s="915">
        <v>2010</v>
      </c>
      <c r="AK46" s="915">
        <v>0</v>
      </c>
      <c r="AL46" s="915">
        <v>0</v>
      </c>
      <c r="AO46" s="955"/>
      <c r="AP46" s="955"/>
      <c r="AQ46" s="915" t="str">
        <f t="shared" si="0"/>
        <v/>
      </c>
      <c r="AS46" s="915" t="str">
        <f t="shared" si="1"/>
        <v>wci_corp</v>
      </c>
    </row>
    <row r="47" spans="2:45">
      <c r="B47" s="915" t="s">
        <v>1990</v>
      </c>
      <c r="C47" s="952">
        <v>42886</v>
      </c>
      <c r="D47" s="953">
        <v>379.4</v>
      </c>
      <c r="E47" s="953">
        <v>0</v>
      </c>
      <c r="F47" s="954" t="s">
        <v>1613</v>
      </c>
      <c r="G47" s="915" t="s">
        <v>2049</v>
      </c>
      <c r="H47" s="955" t="s">
        <v>1615</v>
      </c>
      <c r="I47" s="915" t="s">
        <v>2050</v>
      </c>
      <c r="J47" s="915" t="s">
        <v>2025</v>
      </c>
      <c r="K47" s="915" t="s">
        <v>1618</v>
      </c>
      <c r="L47" s="919"/>
      <c r="M47" s="919"/>
      <c r="N47" s="919" t="s">
        <v>2022</v>
      </c>
      <c r="O47" s="940"/>
      <c r="P47" s="919"/>
      <c r="Q47" s="919"/>
      <c r="U47" s="915" t="s">
        <v>2051</v>
      </c>
      <c r="V47" s="915" t="s">
        <v>2051</v>
      </c>
      <c r="X47" s="952">
        <v>42891</v>
      </c>
      <c r="Y47" s="952">
        <v>42891</v>
      </c>
      <c r="AA47" s="952"/>
      <c r="AB47" s="915" t="s">
        <v>1626</v>
      </c>
      <c r="AC47" s="915">
        <v>0</v>
      </c>
      <c r="AD47" s="915">
        <v>0</v>
      </c>
      <c r="AE47" s="915">
        <v>0</v>
      </c>
      <c r="AF47" s="915">
        <v>0</v>
      </c>
      <c r="AG47" s="915">
        <v>0</v>
      </c>
      <c r="AH47" s="915">
        <v>1</v>
      </c>
      <c r="AI47" s="915">
        <v>70225</v>
      </c>
      <c r="AJ47" s="915">
        <v>2010</v>
      </c>
      <c r="AK47" s="915">
        <v>0</v>
      </c>
      <c r="AL47" s="915">
        <v>0</v>
      </c>
      <c r="AO47" s="955"/>
      <c r="AP47" s="955"/>
      <c r="AQ47" s="915" t="str">
        <f t="shared" si="0"/>
        <v/>
      </c>
      <c r="AS47" s="915" t="str">
        <f t="shared" si="1"/>
        <v>wci_corp</v>
      </c>
    </row>
    <row r="48" spans="2:45">
      <c r="B48" s="915" t="s">
        <v>1990</v>
      </c>
      <c r="C48" s="952">
        <v>42886</v>
      </c>
      <c r="D48" s="953">
        <v>1210.56</v>
      </c>
      <c r="E48" s="953">
        <v>0</v>
      </c>
      <c r="F48" s="954" t="s">
        <v>1613</v>
      </c>
      <c r="G48" s="915" t="s">
        <v>2052</v>
      </c>
      <c r="H48" s="955" t="s">
        <v>1615</v>
      </c>
      <c r="I48" s="915" t="s">
        <v>1999</v>
      </c>
      <c r="J48" s="915" t="s">
        <v>2018</v>
      </c>
      <c r="K48" s="915" t="s">
        <v>1618</v>
      </c>
      <c r="L48" s="919"/>
      <c r="M48" s="919"/>
      <c r="N48" s="919" t="s">
        <v>2053</v>
      </c>
      <c r="O48" s="940"/>
      <c r="P48" s="919"/>
      <c r="Q48" s="919"/>
      <c r="U48" s="915" t="s">
        <v>2054</v>
      </c>
      <c r="V48" s="915" t="s">
        <v>2054</v>
      </c>
      <c r="X48" s="952">
        <v>42892</v>
      </c>
      <c r="Y48" s="952">
        <v>42892</v>
      </c>
      <c r="AA48" s="952"/>
      <c r="AB48" s="915" t="s">
        <v>1626</v>
      </c>
      <c r="AC48" s="915">
        <v>0</v>
      </c>
      <c r="AD48" s="915">
        <v>0</v>
      </c>
      <c r="AE48" s="915">
        <v>0</v>
      </c>
      <c r="AF48" s="915">
        <v>0</v>
      </c>
      <c r="AG48" s="915">
        <v>0</v>
      </c>
      <c r="AH48" s="915">
        <v>1</v>
      </c>
      <c r="AI48" s="915">
        <v>70225</v>
      </c>
      <c r="AJ48" s="915">
        <v>2010</v>
      </c>
      <c r="AK48" s="915">
        <v>0</v>
      </c>
      <c r="AL48" s="915">
        <v>0</v>
      </c>
      <c r="AO48" s="955"/>
      <c r="AP48" s="955"/>
      <c r="AQ48" s="915" t="str">
        <f t="shared" si="0"/>
        <v/>
      </c>
      <c r="AS48" s="915" t="str">
        <f t="shared" si="1"/>
        <v>wci_corp</v>
      </c>
    </row>
    <row r="49" spans="2:45">
      <c r="B49" s="915" t="s">
        <v>1990</v>
      </c>
      <c r="C49" s="952">
        <v>42886</v>
      </c>
      <c r="D49" s="953">
        <v>1084</v>
      </c>
      <c r="E49" s="953">
        <v>0</v>
      </c>
      <c r="F49" s="954" t="s">
        <v>1613</v>
      </c>
      <c r="G49" s="915" t="s">
        <v>2055</v>
      </c>
      <c r="H49" s="955" t="s">
        <v>1615</v>
      </c>
      <c r="I49" s="915" t="s">
        <v>2056</v>
      </c>
      <c r="J49" s="915" t="s">
        <v>2018</v>
      </c>
      <c r="K49" s="915" t="s">
        <v>1618</v>
      </c>
      <c r="L49" s="919"/>
      <c r="M49" s="919"/>
      <c r="N49" s="919" t="s">
        <v>2022</v>
      </c>
      <c r="O49" s="940"/>
      <c r="P49" s="919"/>
      <c r="Q49" s="919"/>
      <c r="U49" s="915" t="s">
        <v>2057</v>
      </c>
      <c r="V49" s="915" t="s">
        <v>2057</v>
      </c>
      <c r="X49" s="952">
        <v>42892</v>
      </c>
      <c r="Y49" s="952">
        <v>42893</v>
      </c>
      <c r="AA49" s="952"/>
      <c r="AB49" s="915" t="s">
        <v>1626</v>
      </c>
      <c r="AC49" s="915">
        <v>0</v>
      </c>
      <c r="AD49" s="915">
        <v>0</v>
      </c>
      <c r="AE49" s="915">
        <v>0</v>
      </c>
      <c r="AF49" s="915">
        <v>0</v>
      </c>
      <c r="AG49" s="915">
        <v>0</v>
      </c>
      <c r="AH49" s="915">
        <v>1</v>
      </c>
      <c r="AI49" s="915">
        <v>70225</v>
      </c>
      <c r="AJ49" s="915">
        <v>2010</v>
      </c>
      <c r="AK49" s="915">
        <v>0</v>
      </c>
      <c r="AL49" s="915">
        <v>0</v>
      </c>
      <c r="AO49" s="955"/>
      <c r="AP49" s="955"/>
      <c r="AQ49" s="915" t="str">
        <f t="shared" si="0"/>
        <v/>
      </c>
      <c r="AS49" s="915" t="str">
        <f t="shared" si="1"/>
        <v>wci_corp</v>
      </c>
    </row>
    <row r="50" spans="2:45">
      <c r="B50" s="915" t="s">
        <v>1990</v>
      </c>
      <c r="C50" s="952">
        <v>42886</v>
      </c>
      <c r="D50" s="953">
        <v>162.6</v>
      </c>
      <c r="E50" s="953">
        <v>0</v>
      </c>
      <c r="F50" s="954" t="s">
        <v>1613</v>
      </c>
      <c r="G50" s="915" t="s">
        <v>2055</v>
      </c>
      <c r="H50" s="955" t="s">
        <v>1615</v>
      </c>
      <c r="I50" s="915" t="s">
        <v>2056</v>
      </c>
      <c r="J50" s="915" t="s">
        <v>2018</v>
      </c>
      <c r="K50" s="915" t="s">
        <v>1618</v>
      </c>
      <c r="L50" s="919"/>
      <c r="M50" s="919"/>
      <c r="N50" s="919" t="s">
        <v>2022</v>
      </c>
      <c r="O50" s="940"/>
      <c r="P50" s="919"/>
      <c r="Q50" s="919"/>
      <c r="U50" s="915" t="s">
        <v>2057</v>
      </c>
      <c r="V50" s="915" t="s">
        <v>2057</v>
      </c>
      <c r="X50" s="952">
        <v>42892</v>
      </c>
      <c r="Y50" s="952">
        <v>42893</v>
      </c>
      <c r="AA50" s="952"/>
      <c r="AB50" s="915" t="s">
        <v>1626</v>
      </c>
      <c r="AC50" s="915">
        <v>0</v>
      </c>
      <c r="AD50" s="915">
        <v>0</v>
      </c>
      <c r="AE50" s="915">
        <v>0</v>
      </c>
      <c r="AF50" s="915">
        <v>0</v>
      </c>
      <c r="AG50" s="915">
        <v>0</v>
      </c>
      <c r="AH50" s="915">
        <v>1</v>
      </c>
      <c r="AI50" s="915">
        <v>70225</v>
      </c>
      <c r="AJ50" s="915">
        <v>2010</v>
      </c>
      <c r="AK50" s="915">
        <v>0</v>
      </c>
      <c r="AL50" s="915">
        <v>0</v>
      </c>
      <c r="AO50" s="955"/>
      <c r="AP50" s="955"/>
      <c r="AQ50" s="915" t="str">
        <f t="shared" si="0"/>
        <v/>
      </c>
      <c r="AS50" s="915" t="str">
        <f t="shared" si="1"/>
        <v>wci_corp</v>
      </c>
    </row>
    <row r="51" spans="2:45">
      <c r="B51" s="915" t="s">
        <v>1990</v>
      </c>
      <c r="C51" s="952">
        <v>42894</v>
      </c>
      <c r="D51" s="953">
        <v>1210.56</v>
      </c>
      <c r="E51" s="953">
        <v>0</v>
      </c>
      <c r="F51" s="954" t="s">
        <v>1613</v>
      </c>
      <c r="G51" s="915" t="s">
        <v>2058</v>
      </c>
      <c r="H51" s="955" t="s">
        <v>1615</v>
      </c>
      <c r="I51" s="915" t="s">
        <v>1616</v>
      </c>
      <c r="J51" s="915" t="s">
        <v>1617</v>
      </c>
      <c r="K51" s="915" t="s">
        <v>1618</v>
      </c>
      <c r="L51" s="919" t="s">
        <v>2029</v>
      </c>
      <c r="M51" s="919"/>
      <c r="N51" s="919" t="s">
        <v>1993</v>
      </c>
      <c r="O51" s="940">
        <v>42886</v>
      </c>
      <c r="P51" s="919" t="s">
        <v>2053</v>
      </c>
      <c r="Q51" s="919">
        <v>3121737</v>
      </c>
      <c r="R51" s="915" t="s">
        <v>2059</v>
      </c>
      <c r="U51" s="915" t="s">
        <v>2060</v>
      </c>
      <c r="V51" s="915" t="s">
        <v>2061</v>
      </c>
      <c r="W51" s="915">
        <v>2010</v>
      </c>
      <c r="X51" s="952">
        <v>42894</v>
      </c>
      <c r="Y51" s="952">
        <v>42894</v>
      </c>
      <c r="Z51" s="915">
        <v>1210.56</v>
      </c>
      <c r="AA51" s="952">
        <v>42896</v>
      </c>
      <c r="AB51" s="915" t="s">
        <v>1626</v>
      </c>
      <c r="AC51" s="915">
        <v>0</v>
      </c>
      <c r="AD51" s="915">
        <v>0</v>
      </c>
      <c r="AE51" s="915">
        <v>0</v>
      </c>
      <c r="AF51" s="915">
        <v>0</v>
      </c>
      <c r="AG51" s="915">
        <v>0</v>
      </c>
      <c r="AH51" s="915">
        <v>1</v>
      </c>
      <c r="AI51" s="915">
        <v>70225</v>
      </c>
      <c r="AJ51" s="915">
        <v>2010</v>
      </c>
      <c r="AK51" s="915">
        <v>0</v>
      </c>
      <c r="AL51" s="915">
        <v>0</v>
      </c>
      <c r="AO51" s="955"/>
      <c r="AP51" s="955"/>
      <c r="AQ51" s="915" t="str">
        <f t="shared" si="0"/>
        <v>VO04312036</v>
      </c>
      <c r="AS51" s="915" t="str">
        <f t="shared" si="1"/>
        <v>wci_corp</v>
      </c>
    </row>
    <row r="52" spans="2:45">
      <c r="B52" s="915" t="s">
        <v>1990</v>
      </c>
      <c r="C52" s="952">
        <v>42901</v>
      </c>
      <c r="D52" s="953">
        <v>150</v>
      </c>
      <c r="E52" s="953">
        <v>0</v>
      </c>
      <c r="F52" s="954" t="s">
        <v>1613</v>
      </c>
      <c r="G52" s="915" t="s">
        <v>2062</v>
      </c>
      <c r="H52" s="955" t="s">
        <v>1615</v>
      </c>
      <c r="I52" s="915" t="s">
        <v>1616</v>
      </c>
      <c r="J52" s="915" t="s">
        <v>1617</v>
      </c>
      <c r="K52" s="915" t="s">
        <v>1618</v>
      </c>
      <c r="L52" s="919" t="s">
        <v>2063</v>
      </c>
      <c r="M52" s="919"/>
      <c r="N52" s="919" t="s">
        <v>2064</v>
      </c>
      <c r="O52" s="940">
        <v>42887</v>
      </c>
      <c r="P52" s="919" t="s">
        <v>2065</v>
      </c>
      <c r="Q52" s="919" t="s">
        <v>2066</v>
      </c>
      <c r="R52" s="915" t="s">
        <v>2067</v>
      </c>
      <c r="U52" s="915" t="s">
        <v>2068</v>
      </c>
      <c r="V52" s="915" t="s">
        <v>2069</v>
      </c>
      <c r="W52" s="915">
        <v>2010</v>
      </c>
      <c r="X52" s="952">
        <v>42901</v>
      </c>
      <c r="Y52" s="952">
        <v>42902</v>
      </c>
      <c r="Z52" s="915">
        <v>150</v>
      </c>
      <c r="AA52" s="952">
        <v>42897</v>
      </c>
      <c r="AB52" s="915" t="s">
        <v>1626</v>
      </c>
      <c r="AC52" s="915">
        <v>0</v>
      </c>
      <c r="AD52" s="915">
        <v>0</v>
      </c>
      <c r="AE52" s="915">
        <v>0</v>
      </c>
      <c r="AF52" s="915">
        <v>0</v>
      </c>
      <c r="AG52" s="915">
        <v>0</v>
      </c>
      <c r="AH52" s="915">
        <v>1</v>
      </c>
      <c r="AI52" s="915">
        <v>70225</v>
      </c>
      <c r="AJ52" s="915">
        <v>2010</v>
      </c>
      <c r="AK52" s="915">
        <v>0</v>
      </c>
      <c r="AL52" s="915">
        <v>0</v>
      </c>
      <c r="AO52" s="955"/>
      <c r="AP52" s="955"/>
      <c r="AQ52" s="915" t="str">
        <f t="shared" si="0"/>
        <v>VO04319444</v>
      </c>
      <c r="AS52" s="915" t="str">
        <f t="shared" si="1"/>
        <v>wci_corp</v>
      </c>
    </row>
    <row r="53" spans="2:45">
      <c r="B53" s="915" t="s">
        <v>1990</v>
      </c>
      <c r="C53" s="952">
        <v>42907</v>
      </c>
      <c r="D53" s="953">
        <v>1506.63</v>
      </c>
      <c r="E53" s="953">
        <v>0</v>
      </c>
      <c r="F53" s="954" t="s">
        <v>1613</v>
      </c>
      <c r="G53" s="915" t="s">
        <v>2070</v>
      </c>
      <c r="H53" s="955" t="s">
        <v>1615</v>
      </c>
      <c r="I53" s="915" t="s">
        <v>1616</v>
      </c>
      <c r="J53" s="915" t="s">
        <v>1617</v>
      </c>
      <c r="K53" s="915" t="s">
        <v>1618</v>
      </c>
      <c r="L53" s="919" t="s">
        <v>2043</v>
      </c>
      <c r="M53" s="919"/>
      <c r="N53" s="919" t="s">
        <v>2044</v>
      </c>
      <c r="O53" s="940">
        <v>42899</v>
      </c>
      <c r="P53" s="919" t="s">
        <v>2071</v>
      </c>
      <c r="Q53" s="919">
        <v>18989</v>
      </c>
      <c r="R53" s="915" t="s">
        <v>2072</v>
      </c>
      <c r="U53" s="915" t="s">
        <v>2073</v>
      </c>
      <c r="V53" s="915" t="s">
        <v>2074</v>
      </c>
      <c r="W53" s="915">
        <v>2010</v>
      </c>
      <c r="X53" s="952">
        <v>42907</v>
      </c>
      <c r="Y53" s="952">
        <v>42907</v>
      </c>
      <c r="Z53" s="915">
        <v>1506.63</v>
      </c>
      <c r="AA53" s="952">
        <v>42909</v>
      </c>
      <c r="AB53" s="915" t="s">
        <v>1626</v>
      </c>
      <c r="AC53" s="915">
        <v>0</v>
      </c>
      <c r="AD53" s="915">
        <v>0</v>
      </c>
      <c r="AE53" s="915">
        <v>0</v>
      </c>
      <c r="AF53" s="915">
        <v>0</v>
      </c>
      <c r="AG53" s="915">
        <v>0</v>
      </c>
      <c r="AH53" s="915">
        <v>1</v>
      </c>
      <c r="AI53" s="915">
        <v>70225</v>
      </c>
      <c r="AJ53" s="915">
        <v>2010</v>
      </c>
      <c r="AK53" s="915">
        <v>0</v>
      </c>
      <c r="AL53" s="915">
        <v>0</v>
      </c>
      <c r="AO53" s="955"/>
      <c r="AP53" s="955"/>
      <c r="AQ53" s="915" t="str">
        <f t="shared" si="0"/>
        <v>VO04326449</v>
      </c>
      <c r="AS53" s="915" t="str">
        <f t="shared" si="1"/>
        <v>wci_corp</v>
      </c>
    </row>
    <row r="54" spans="2:45">
      <c r="B54" s="915" t="s">
        <v>1990</v>
      </c>
      <c r="C54" s="952">
        <v>42916</v>
      </c>
      <c r="D54" s="953">
        <v>-1210.56</v>
      </c>
      <c r="E54" s="953">
        <v>0</v>
      </c>
      <c r="F54" s="954" t="s">
        <v>1613</v>
      </c>
      <c r="G54" s="915" t="s">
        <v>2075</v>
      </c>
      <c r="H54" s="955" t="s">
        <v>1615</v>
      </c>
      <c r="I54" s="915" t="s">
        <v>1999</v>
      </c>
      <c r="J54" s="915" t="s">
        <v>2018</v>
      </c>
      <c r="K54" s="915" t="s">
        <v>1618</v>
      </c>
      <c r="L54" s="919"/>
      <c r="M54" s="919"/>
      <c r="N54" s="919" t="s">
        <v>2053</v>
      </c>
      <c r="O54" s="940"/>
      <c r="P54" s="919"/>
      <c r="Q54" s="919"/>
      <c r="U54" s="915" t="s">
        <v>2054</v>
      </c>
      <c r="V54" s="915" t="s">
        <v>2076</v>
      </c>
      <c r="X54" s="952">
        <v>42892</v>
      </c>
      <c r="Y54" s="952">
        <v>42893</v>
      </c>
      <c r="AA54" s="952"/>
      <c r="AB54" s="915" t="s">
        <v>1626</v>
      </c>
      <c r="AC54" s="915">
        <v>0</v>
      </c>
      <c r="AD54" s="915">
        <v>0</v>
      </c>
      <c r="AE54" s="915">
        <v>0</v>
      </c>
      <c r="AF54" s="915">
        <v>0</v>
      </c>
      <c r="AG54" s="915">
        <v>5</v>
      </c>
      <c r="AH54" s="915">
        <v>1</v>
      </c>
      <c r="AI54" s="915">
        <v>70225</v>
      </c>
      <c r="AJ54" s="915">
        <v>2010</v>
      </c>
      <c r="AK54" s="915">
        <v>0</v>
      </c>
      <c r="AL54" s="915">
        <v>0</v>
      </c>
      <c r="AO54" s="955"/>
      <c r="AP54" s="955"/>
      <c r="AQ54" s="915" t="str">
        <f t="shared" si="0"/>
        <v/>
      </c>
      <c r="AS54" s="915" t="str">
        <f t="shared" si="1"/>
        <v>wci_corp</v>
      </c>
    </row>
    <row r="55" spans="2:45">
      <c r="B55" s="915" t="s">
        <v>1990</v>
      </c>
      <c r="C55" s="952">
        <v>42916</v>
      </c>
      <c r="D55" s="953">
        <v>-1084</v>
      </c>
      <c r="E55" s="953">
        <v>0</v>
      </c>
      <c r="F55" s="954" t="s">
        <v>1613</v>
      </c>
      <c r="G55" s="915" t="s">
        <v>2077</v>
      </c>
      <c r="H55" s="955" t="s">
        <v>1615</v>
      </c>
      <c r="I55" s="915" t="s">
        <v>2056</v>
      </c>
      <c r="J55" s="915" t="s">
        <v>2018</v>
      </c>
      <c r="K55" s="915" t="s">
        <v>1618</v>
      </c>
      <c r="L55" s="919"/>
      <c r="M55" s="919"/>
      <c r="N55" s="919" t="s">
        <v>2022</v>
      </c>
      <c r="O55" s="940"/>
      <c r="P55" s="919"/>
      <c r="Q55" s="919"/>
      <c r="U55" s="915" t="s">
        <v>2057</v>
      </c>
      <c r="V55" s="915" t="s">
        <v>2078</v>
      </c>
      <c r="X55" s="952">
        <v>42893</v>
      </c>
      <c r="Y55" s="952">
        <v>42893</v>
      </c>
      <c r="AA55" s="952"/>
      <c r="AB55" s="915" t="s">
        <v>1626</v>
      </c>
      <c r="AC55" s="915">
        <v>0</v>
      </c>
      <c r="AD55" s="915">
        <v>0</v>
      </c>
      <c r="AE55" s="915">
        <v>0</v>
      </c>
      <c r="AF55" s="915">
        <v>0</v>
      </c>
      <c r="AG55" s="915">
        <v>5</v>
      </c>
      <c r="AH55" s="915">
        <v>1</v>
      </c>
      <c r="AI55" s="915">
        <v>70225</v>
      </c>
      <c r="AJ55" s="915">
        <v>2010</v>
      </c>
      <c r="AK55" s="915">
        <v>0</v>
      </c>
      <c r="AL55" s="915">
        <v>0</v>
      </c>
      <c r="AO55" s="955"/>
      <c r="AP55" s="955"/>
      <c r="AQ55" s="915" t="str">
        <f t="shared" si="0"/>
        <v/>
      </c>
      <c r="AS55" s="915" t="str">
        <f t="shared" si="1"/>
        <v>wci_corp</v>
      </c>
    </row>
    <row r="56" spans="2:45">
      <c r="B56" s="915" t="s">
        <v>1990</v>
      </c>
      <c r="C56" s="952">
        <v>42916</v>
      </c>
      <c r="D56" s="953">
        <v>-162.6</v>
      </c>
      <c r="E56" s="953">
        <v>0</v>
      </c>
      <c r="F56" s="954" t="s">
        <v>1613</v>
      </c>
      <c r="G56" s="915" t="s">
        <v>2077</v>
      </c>
      <c r="H56" s="955" t="s">
        <v>1615</v>
      </c>
      <c r="I56" s="915" t="s">
        <v>2056</v>
      </c>
      <c r="J56" s="915" t="s">
        <v>2018</v>
      </c>
      <c r="K56" s="915" t="s">
        <v>1618</v>
      </c>
      <c r="L56" s="919"/>
      <c r="M56" s="919"/>
      <c r="N56" s="919" t="s">
        <v>2022</v>
      </c>
      <c r="O56" s="940"/>
      <c r="P56" s="919"/>
      <c r="Q56" s="919"/>
      <c r="U56" s="915" t="s">
        <v>2057</v>
      </c>
      <c r="V56" s="915" t="s">
        <v>2078</v>
      </c>
      <c r="X56" s="952">
        <v>42893</v>
      </c>
      <c r="Y56" s="952">
        <v>42893</v>
      </c>
      <c r="AA56" s="952"/>
      <c r="AB56" s="915" t="s">
        <v>1626</v>
      </c>
      <c r="AC56" s="915">
        <v>0</v>
      </c>
      <c r="AD56" s="915">
        <v>0</v>
      </c>
      <c r="AE56" s="915">
        <v>0</v>
      </c>
      <c r="AF56" s="915">
        <v>0</v>
      </c>
      <c r="AG56" s="915">
        <v>5</v>
      </c>
      <c r="AH56" s="915">
        <v>1</v>
      </c>
      <c r="AI56" s="915">
        <v>70225</v>
      </c>
      <c r="AJ56" s="915">
        <v>2010</v>
      </c>
      <c r="AK56" s="915">
        <v>0</v>
      </c>
      <c r="AL56" s="915">
        <v>0</v>
      </c>
      <c r="AO56" s="955"/>
      <c r="AP56" s="955"/>
      <c r="AQ56" s="915" t="str">
        <f t="shared" si="0"/>
        <v/>
      </c>
      <c r="AS56" s="915" t="str">
        <f t="shared" si="1"/>
        <v>wci_corp</v>
      </c>
    </row>
    <row r="57" spans="2:45">
      <c r="B57" s="915" t="s">
        <v>1990</v>
      </c>
      <c r="C57" s="952">
        <v>42916</v>
      </c>
      <c r="D57" s="953">
        <v>-1300.81</v>
      </c>
      <c r="E57" s="953">
        <v>0</v>
      </c>
      <c r="F57" s="954" t="s">
        <v>1613</v>
      </c>
      <c r="G57" s="915" t="s">
        <v>2079</v>
      </c>
      <c r="H57" s="955" t="s">
        <v>1615</v>
      </c>
      <c r="I57" s="915" t="s">
        <v>2080</v>
      </c>
      <c r="J57" s="915" t="s">
        <v>1672</v>
      </c>
      <c r="K57" s="915" t="s">
        <v>1630</v>
      </c>
      <c r="L57" s="919"/>
      <c r="M57" s="919"/>
      <c r="N57" s="919" t="s">
        <v>2081</v>
      </c>
      <c r="O57" s="940"/>
      <c r="P57" s="919"/>
      <c r="Q57" s="919"/>
      <c r="U57" s="915" t="s">
        <v>2079</v>
      </c>
      <c r="X57" s="952">
        <v>42921</v>
      </c>
      <c r="Y57" s="952">
        <v>42921</v>
      </c>
      <c r="AA57" s="952"/>
      <c r="AB57" s="915" t="s">
        <v>1626</v>
      </c>
      <c r="AC57" s="915">
        <v>0</v>
      </c>
      <c r="AD57" s="915">
        <v>0</v>
      </c>
      <c r="AE57" s="915">
        <v>0</v>
      </c>
      <c r="AF57" s="915">
        <v>0</v>
      </c>
      <c r="AG57" s="915">
        <v>0</v>
      </c>
      <c r="AH57" s="915">
        <v>1</v>
      </c>
      <c r="AI57" s="915">
        <v>70225</v>
      </c>
      <c r="AJ57" s="915">
        <v>2010</v>
      </c>
      <c r="AK57" s="915">
        <v>0</v>
      </c>
      <c r="AL57" s="915">
        <v>0</v>
      </c>
      <c r="AO57" s="955"/>
      <c r="AP57" s="955"/>
      <c r="AQ57" s="915" t="str">
        <f t="shared" si="0"/>
        <v/>
      </c>
      <c r="AS57" s="915" t="str">
        <f t="shared" si="1"/>
        <v>wci_wa</v>
      </c>
    </row>
    <row r="58" spans="2:45">
      <c r="B58" s="915" t="s">
        <v>1990</v>
      </c>
      <c r="C58" s="952">
        <v>42916</v>
      </c>
      <c r="D58" s="953">
        <v>1084</v>
      </c>
      <c r="E58" s="953">
        <v>0</v>
      </c>
      <c r="F58" s="954" t="s">
        <v>1613</v>
      </c>
      <c r="G58" s="915" t="s">
        <v>2082</v>
      </c>
      <c r="H58" s="955" t="s">
        <v>1615</v>
      </c>
      <c r="I58" s="915" t="s">
        <v>2083</v>
      </c>
      <c r="J58" s="915" t="s">
        <v>2018</v>
      </c>
      <c r="K58" s="915" t="s">
        <v>1618</v>
      </c>
      <c r="L58" s="919"/>
      <c r="M58" s="919"/>
      <c r="N58" s="919" t="s">
        <v>2022</v>
      </c>
      <c r="O58" s="940"/>
      <c r="P58" s="919"/>
      <c r="Q58" s="919"/>
      <c r="U58" s="915" t="s">
        <v>2084</v>
      </c>
      <c r="V58" s="915" t="s">
        <v>2084</v>
      </c>
      <c r="X58" s="952">
        <v>42921</v>
      </c>
      <c r="Y58" s="952">
        <v>42922</v>
      </c>
      <c r="AA58" s="952"/>
      <c r="AB58" s="915" t="s">
        <v>1626</v>
      </c>
      <c r="AC58" s="915">
        <v>0</v>
      </c>
      <c r="AD58" s="915">
        <v>0</v>
      </c>
      <c r="AE58" s="915">
        <v>0</v>
      </c>
      <c r="AF58" s="915">
        <v>0</v>
      </c>
      <c r="AG58" s="915">
        <v>0</v>
      </c>
      <c r="AH58" s="915">
        <v>1</v>
      </c>
      <c r="AI58" s="915">
        <v>70225</v>
      </c>
      <c r="AJ58" s="915">
        <v>2010</v>
      </c>
      <c r="AK58" s="915">
        <v>0</v>
      </c>
      <c r="AL58" s="915">
        <v>0</v>
      </c>
      <c r="AO58" s="955"/>
      <c r="AP58" s="955"/>
      <c r="AQ58" s="915" t="str">
        <f t="shared" si="0"/>
        <v/>
      </c>
      <c r="AS58" s="915" t="str">
        <f t="shared" si="1"/>
        <v>wci_corp</v>
      </c>
    </row>
    <row r="59" spans="2:45">
      <c r="B59" s="915" t="s">
        <v>1990</v>
      </c>
      <c r="C59" s="952">
        <v>42916</v>
      </c>
      <c r="D59" s="953">
        <v>162.6</v>
      </c>
      <c r="E59" s="953">
        <v>0</v>
      </c>
      <c r="F59" s="954" t="s">
        <v>1613</v>
      </c>
      <c r="G59" s="915" t="s">
        <v>2082</v>
      </c>
      <c r="H59" s="955" t="s">
        <v>1615</v>
      </c>
      <c r="I59" s="915" t="s">
        <v>2083</v>
      </c>
      <c r="J59" s="915" t="s">
        <v>2018</v>
      </c>
      <c r="K59" s="915" t="s">
        <v>1618</v>
      </c>
      <c r="L59" s="919"/>
      <c r="M59" s="919"/>
      <c r="N59" s="919" t="s">
        <v>2022</v>
      </c>
      <c r="O59" s="940"/>
      <c r="P59" s="919"/>
      <c r="Q59" s="919"/>
      <c r="U59" s="915" t="s">
        <v>2084</v>
      </c>
      <c r="V59" s="915" t="s">
        <v>2084</v>
      </c>
      <c r="X59" s="952">
        <v>42921</v>
      </c>
      <c r="Y59" s="952">
        <v>42922</v>
      </c>
      <c r="AA59" s="952"/>
      <c r="AB59" s="915" t="s">
        <v>1626</v>
      </c>
      <c r="AC59" s="915">
        <v>0</v>
      </c>
      <c r="AD59" s="915">
        <v>0</v>
      </c>
      <c r="AE59" s="915">
        <v>0</v>
      </c>
      <c r="AF59" s="915">
        <v>0</v>
      </c>
      <c r="AG59" s="915">
        <v>0</v>
      </c>
      <c r="AH59" s="915">
        <v>1</v>
      </c>
      <c r="AI59" s="915">
        <v>70225</v>
      </c>
      <c r="AJ59" s="915">
        <v>2010</v>
      </c>
      <c r="AK59" s="915">
        <v>0</v>
      </c>
      <c r="AL59" s="915">
        <v>0</v>
      </c>
      <c r="AO59" s="955"/>
      <c r="AP59" s="955"/>
      <c r="AQ59" s="915" t="str">
        <f t="shared" si="0"/>
        <v/>
      </c>
      <c r="AS59" s="915" t="str">
        <f t="shared" si="1"/>
        <v>wci_corp</v>
      </c>
    </row>
    <row r="60" spans="2:45">
      <c r="B60" s="915" t="s">
        <v>1990</v>
      </c>
      <c r="C60" s="952">
        <v>42916</v>
      </c>
      <c r="D60" s="953">
        <v>357.5</v>
      </c>
      <c r="E60" s="953">
        <v>0</v>
      </c>
      <c r="F60" s="954" t="s">
        <v>1613</v>
      </c>
      <c r="G60" s="915" t="s">
        <v>2082</v>
      </c>
      <c r="H60" s="955" t="s">
        <v>1615</v>
      </c>
      <c r="I60" s="915" t="s">
        <v>2083</v>
      </c>
      <c r="J60" s="915" t="s">
        <v>2018</v>
      </c>
      <c r="K60" s="915" t="s">
        <v>1618</v>
      </c>
      <c r="L60" s="919"/>
      <c r="M60" s="919"/>
      <c r="N60" s="919" t="s">
        <v>2085</v>
      </c>
      <c r="O60" s="940"/>
      <c r="P60" s="919"/>
      <c r="Q60" s="919"/>
      <c r="U60" s="915" t="s">
        <v>2084</v>
      </c>
      <c r="V60" s="915" t="s">
        <v>2084</v>
      </c>
      <c r="X60" s="952">
        <v>42921</v>
      </c>
      <c r="Y60" s="952">
        <v>42922</v>
      </c>
      <c r="AA60" s="952"/>
      <c r="AB60" s="915" t="s">
        <v>1626</v>
      </c>
      <c r="AC60" s="915">
        <v>0</v>
      </c>
      <c r="AD60" s="915">
        <v>0</v>
      </c>
      <c r="AE60" s="915">
        <v>0</v>
      </c>
      <c r="AF60" s="915">
        <v>0</v>
      </c>
      <c r="AG60" s="915">
        <v>0</v>
      </c>
      <c r="AH60" s="915">
        <v>1</v>
      </c>
      <c r="AI60" s="915">
        <v>70225</v>
      </c>
      <c r="AJ60" s="915">
        <v>2010</v>
      </c>
      <c r="AK60" s="915">
        <v>0</v>
      </c>
      <c r="AL60" s="915">
        <v>0</v>
      </c>
      <c r="AO60" s="955"/>
      <c r="AP60" s="955"/>
      <c r="AQ60" s="915" t="str">
        <f t="shared" si="0"/>
        <v/>
      </c>
      <c r="AS60" s="915" t="str">
        <f t="shared" si="1"/>
        <v>wci_corp</v>
      </c>
    </row>
    <row r="61" spans="2:45">
      <c r="B61" s="915" t="s">
        <v>1990</v>
      </c>
      <c r="C61" s="952">
        <v>42916</v>
      </c>
      <c r="D61" s="953">
        <v>-1506.63</v>
      </c>
      <c r="E61" s="953">
        <v>0</v>
      </c>
      <c r="F61" s="954" t="s">
        <v>1613</v>
      </c>
      <c r="G61" s="915" t="s">
        <v>2086</v>
      </c>
      <c r="H61" s="955" t="s">
        <v>1615</v>
      </c>
      <c r="I61" s="915" t="s">
        <v>2087</v>
      </c>
      <c r="J61" s="915" t="s">
        <v>1672</v>
      </c>
      <c r="K61" s="915" t="s">
        <v>1630</v>
      </c>
      <c r="L61" s="919"/>
      <c r="M61" s="919"/>
      <c r="N61" s="919" t="s">
        <v>2088</v>
      </c>
      <c r="O61" s="940"/>
      <c r="P61" s="919"/>
      <c r="Q61" s="919"/>
      <c r="U61" s="915" t="s">
        <v>2086</v>
      </c>
      <c r="X61" s="952">
        <v>42926</v>
      </c>
      <c r="Y61" s="952">
        <v>42926</v>
      </c>
      <c r="AA61" s="952"/>
      <c r="AB61" s="915" t="s">
        <v>1626</v>
      </c>
      <c r="AC61" s="915">
        <v>0</v>
      </c>
      <c r="AD61" s="915">
        <v>0</v>
      </c>
      <c r="AE61" s="915">
        <v>0</v>
      </c>
      <c r="AF61" s="915">
        <v>0</v>
      </c>
      <c r="AG61" s="915">
        <v>0</v>
      </c>
      <c r="AH61" s="915">
        <v>1</v>
      </c>
      <c r="AI61" s="915">
        <v>70225</v>
      </c>
      <c r="AJ61" s="915">
        <v>2010</v>
      </c>
      <c r="AK61" s="915">
        <v>0</v>
      </c>
      <c r="AL61" s="915">
        <v>0</v>
      </c>
      <c r="AO61" s="955"/>
      <c r="AP61" s="955"/>
      <c r="AQ61" s="915" t="str">
        <f t="shared" si="0"/>
        <v/>
      </c>
      <c r="AS61" s="915" t="str">
        <f t="shared" si="1"/>
        <v>wci_wa</v>
      </c>
    </row>
    <row r="62" spans="2:45">
      <c r="B62" s="915" t="s">
        <v>1990</v>
      </c>
      <c r="C62" s="952">
        <v>42916</v>
      </c>
      <c r="D62" s="953">
        <v>1560</v>
      </c>
      <c r="E62" s="953">
        <v>0</v>
      </c>
      <c r="F62" s="954" t="s">
        <v>1613</v>
      </c>
      <c r="G62" s="915" t="s">
        <v>2089</v>
      </c>
      <c r="H62" s="955" t="s">
        <v>1615</v>
      </c>
      <c r="I62" s="915" t="s">
        <v>1999</v>
      </c>
      <c r="J62" s="915" t="s">
        <v>2018</v>
      </c>
      <c r="K62" s="915" t="s">
        <v>1618</v>
      </c>
      <c r="L62" s="919"/>
      <c r="M62" s="919"/>
      <c r="N62" s="919" t="s">
        <v>2053</v>
      </c>
      <c r="O62" s="940"/>
      <c r="P62" s="919"/>
      <c r="Q62" s="919"/>
      <c r="U62" s="915" t="s">
        <v>2090</v>
      </c>
      <c r="V62" s="915" t="s">
        <v>2090</v>
      </c>
      <c r="X62" s="952">
        <v>42926</v>
      </c>
      <c r="Y62" s="952">
        <v>42926</v>
      </c>
      <c r="AA62" s="952"/>
      <c r="AB62" s="915" t="s">
        <v>1626</v>
      </c>
      <c r="AC62" s="915">
        <v>0</v>
      </c>
      <c r="AD62" s="915">
        <v>0</v>
      </c>
      <c r="AE62" s="915">
        <v>0</v>
      </c>
      <c r="AF62" s="915">
        <v>0</v>
      </c>
      <c r="AG62" s="915">
        <v>0</v>
      </c>
      <c r="AH62" s="915">
        <v>1</v>
      </c>
      <c r="AI62" s="915">
        <v>70225</v>
      </c>
      <c r="AJ62" s="915">
        <v>2010</v>
      </c>
      <c r="AK62" s="915">
        <v>0</v>
      </c>
      <c r="AL62" s="915">
        <v>0</v>
      </c>
      <c r="AO62" s="955"/>
      <c r="AP62" s="955"/>
      <c r="AQ62" s="915" t="str">
        <f t="shared" si="0"/>
        <v/>
      </c>
      <c r="AS62" s="915" t="str">
        <f t="shared" si="1"/>
        <v>wci_corp</v>
      </c>
    </row>
    <row r="63" spans="2:45">
      <c r="B63" s="915" t="s">
        <v>1990</v>
      </c>
      <c r="C63" s="952">
        <v>42922</v>
      </c>
      <c r="D63" s="953">
        <v>1560</v>
      </c>
      <c r="E63" s="953">
        <v>0</v>
      </c>
      <c r="F63" s="954" t="s">
        <v>1613</v>
      </c>
      <c r="G63" s="915" t="s">
        <v>2091</v>
      </c>
      <c r="H63" s="955" t="s">
        <v>1615</v>
      </c>
      <c r="I63" s="915" t="s">
        <v>1616</v>
      </c>
      <c r="J63" s="915" t="s">
        <v>1617</v>
      </c>
      <c r="K63" s="915" t="s">
        <v>1618</v>
      </c>
      <c r="L63" s="919" t="s">
        <v>2029</v>
      </c>
      <c r="M63" s="919"/>
      <c r="N63" s="919" t="s">
        <v>1993</v>
      </c>
      <c r="O63" s="940">
        <v>42916</v>
      </c>
      <c r="P63" s="919" t="s">
        <v>2053</v>
      </c>
      <c r="Q63" s="919">
        <v>3122900</v>
      </c>
      <c r="R63" s="915" t="s">
        <v>2059</v>
      </c>
      <c r="U63" s="915" t="s">
        <v>2092</v>
      </c>
      <c r="V63" s="915" t="s">
        <v>2093</v>
      </c>
      <c r="W63" s="915">
        <v>2010</v>
      </c>
      <c r="X63" s="952">
        <v>42922</v>
      </c>
      <c r="Y63" s="952">
        <v>42922</v>
      </c>
      <c r="Z63" s="915">
        <v>1560</v>
      </c>
      <c r="AA63" s="952">
        <v>42926</v>
      </c>
      <c r="AB63" s="915" t="s">
        <v>1626</v>
      </c>
      <c r="AC63" s="915">
        <v>0</v>
      </c>
      <c r="AD63" s="915">
        <v>0</v>
      </c>
      <c r="AE63" s="915">
        <v>0</v>
      </c>
      <c r="AF63" s="915">
        <v>0</v>
      </c>
      <c r="AG63" s="915">
        <v>0</v>
      </c>
      <c r="AH63" s="915">
        <v>1</v>
      </c>
      <c r="AI63" s="915">
        <v>70225</v>
      </c>
      <c r="AJ63" s="915">
        <v>2010</v>
      </c>
      <c r="AK63" s="915">
        <v>0</v>
      </c>
      <c r="AL63" s="915">
        <v>0</v>
      </c>
      <c r="AO63" s="955"/>
      <c r="AP63" s="955"/>
      <c r="AQ63" s="915" t="str">
        <f t="shared" si="0"/>
        <v>VO04339798</v>
      </c>
      <c r="AS63" s="915" t="str">
        <f t="shared" si="1"/>
        <v>wci_corp</v>
      </c>
    </row>
    <row r="64" spans="2:45">
      <c r="B64" s="915" t="s">
        <v>1990</v>
      </c>
      <c r="C64" s="952">
        <v>42947</v>
      </c>
      <c r="D64" s="953">
        <v>-1560</v>
      </c>
      <c r="E64" s="953">
        <v>0</v>
      </c>
      <c r="F64" s="954" t="s">
        <v>1613</v>
      </c>
      <c r="G64" s="915" t="s">
        <v>2094</v>
      </c>
      <c r="H64" s="955" t="s">
        <v>1615</v>
      </c>
      <c r="I64" s="915" t="s">
        <v>1999</v>
      </c>
      <c r="J64" s="915" t="s">
        <v>2025</v>
      </c>
      <c r="K64" s="915" t="s">
        <v>1618</v>
      </c>
      <c r="L64" s="919"/>
      <c r="M64" s="919"/>
      <c r="N64" s="919" t="s">
        <v>2053</v>
      </c>
      <c r="O64" s="940"/>
      <c r="P64" s="919"/>
      <c r="Q64" s="919"/>
      <c r="U64" s="915" t="s">
        <v>2090</v>
      </c>
      <c r="V64" s="915" t="s">
        <v>2095</v>
      </c>
      <c r="X64" s="952">
        <v>42926</v>
      </c>
      <c r="Y64" s="952">
        <v>42927</v>
      </c>
      <c r="AA64" s="952"/>
      <c r="AB64" s="915" t="s">
        <v>1626</v>
      </c>
      <c r="AC64" s="915">
        <v>0</v>
      </c>
      <c r="AD64" s="915">
        <v>0</v>
      </c>
      <c r="AE64" s="915">
        <v>0</v>
      </c>
      <c r="AF64" s="915">
        <v>0</v>
      </c>
      <c r="AG64" s="915">
        <v>5</v>
      </c>
      <c r="AH64" s="915">
        <v>1</v>
      </c>
      <c r="AI64" s="915">
        <v>70225</v>
      </c>
      <c r="AJ64" s="915">
        <v>2010</v>
      </c>
      <c r="AK64" s="915">
        <v>0</v>
      </c>
      <c r="AL64" s="915">
        <v>0</v>
      </c>
      <c r="AO64" s="955"/>
      <c r="AP64" s="955"/>
      <c r="AQ64" s="915" t="str">
        <f t="shared" si="0"/>
        <v/>
      </c>
      <c r="AS64" s="915" t="str">
        <f t="shared" si="1"/>
        <v>wci_corp</v>
      </c>
    </row>
    <row r="65" spans="2:45">
      <c r="B65" s="915" t="s">
        <v>1990</v>
      </c>
      <c r="C65" s="952">
        <v>42947</v>
      </c>
      <c r="D65" s="953">
        <v>1084</v>
      </c>
      <c r="E65" s="953">
        <v>0</v>
      </c>
      <c r="F65" s="954" t="s">
        <v>1613</v>
      </c>
      <c r="G65" s="915" t="s">
        <v>2096</v>
      </c>
      <c r="H65" s="955" t="s">
        <v>1615</v>
      </c>
      <c r="I65" s="915" t="s">
        <v>2097</v>
      </c>
      <c r="J65" s="915" t="s">
        <v>2018</v>
      </c>
      <c r="K65" s="915" t="s">
        <v>1618</v>
      </c>
      <c r="L65" s="919"/>
      <c r="M65" s="919"/>
      <c r="N65" s="919" t="s">
        <v>2022</v>
      </c>
      <c r="O65" s="940"/>
      <c r="P65" s="919"/>
      <c r="Q65" s="919"/>
      <c r="U65" s="915" t="s">
        <v>2098</v>
      </c>
      <c r="V65" s="915" t="s">
        <v>2098</v>
      </c>
      <c r="X65" s="952">
        <v>42948</v>
      </c>
      <c r="Y65" s="952">
        <v>42949</v>
      </c>
      <c r="AA65" s="952"/>
      <c r="AB65" s="915" t="s">
        <v>1626</v>
      </c>
      <c r="AC65" s="915">
        <v>0</v>
      </c>
      <c r="AD65" s="915">
        <v>0</v>
      </c>
      <c r="AE65" s="915">
        <v>0</v>
      </c>
      <c r="AF65" s="915">
        <v>0</v>
      </c>
      <c r="AG65" s="915">
        <v>0</v>
      </c>
      <c r="AH65" s="915">
        <v>1</v>
      </c>
      <c r="AI65" s="915">
        <v>70225</v>
      </c>
      <c r="AJ65" s="915">
        <v>2010</v>
      </c>
      <c r="AK65" s="915">
        <v>0</v>
      </c>
      <c r="AL65" s="915">
        <v>0</v>
      </c>
      <c r="AO65" s="955"/>
      <c r="AP65" s="955"/>
      <c r="AQ65" s="915" t="str">
        <f t="shared" si="0"/>
        <v/>
      </c>
      <c r="AS65" s="915" t="str">
        <f t="shared" si="1"/>
        <v>wci_corp</v>
      </c>
    </row>
    <row r="66" spans="2:45">
      <c r="B66" s="915" t="s">
        <v>1990</v>
      </c>
      <c r="C66" s="952">
        <v>42947</v>
      </c>
      <c r="D66" s="953">
        <v>271</v>
      </c>
      <c r="E66" s="953">
        <v>0</v>
      </c>
      <c r="F66" s="954" t="s">
        <v>1613</v>
      </c>
      <c r="G66" s="915" t="s">
        <v>2096</v>
      </c>
      <c r="H66" s="955" t="s">
        <v>1615</v>
      </c>
      <c r="I66" s="915" t="s">
        <v>2097</v>
      </c>
      <c r="J66" s="915" t="s">
        <v>2018</v>
      </c>
      <c r="K66" s="915" t="s">
        <v>1618</v>
      </c>
      <c r="L66" s="919"/>
      <c r="M66" s="919"/>
      <c r="N66" s="919" t="s">
        <v>2022</v>
      </c>
      <c r="O66" s="940"/>
      <c r="P66" s="919"/>
      <c r="Q66" s="919"/>
      <c r="U66" s="915" t="s">
        <v>2098</v>
      </c>
      <c r="V66" s="915" t="s">
        <v>2098</v>
      </c>
      <c r="X66" s="952">
        <v>42948</v>
      </c>
      <c r="Y66" s="952">
        <v>42949</v>
      </c>
      <c r="AA66" s="952"/>
      <c r="AB66" s="915" t="s">
        <v>1626</v>
      </c>
      <c r="AC66" s="915">
        <v>0</v>
      </c>
      <c r="AD66" s="915">
        <v>0</v>
      </c>
      <c r="AE66" s="915">
        <v>0</v>
      </c>
      <c r="AF66" s="915">
        <v>0</v>
      </c>
      <c r="AG66" s="915">
        <v>0</v>
      </c>
      <c r="AH66" s="915">
        <v>1</v>
      </c>
      <c r="AI66" s="915">
        <v>70225</v>
      </c>
      <c r="AJ66" s="915">
        <v>2010</v>
      </c>
      <c r="AK66" s="915">
        <v>0</v>
      </c>
      <c r="AL66" s="915">
        <v>0</v>
      </c>
      <c r="AO66" s="955"/>
      <c r="AP66" s="955"/>
      <c r="AQ66" s="915" t="str">
        <f t="shared" si="0"/>
        <v/>
      </c>
      <c r="AS66" s="915" t="str">
        <f t="shared" si="1"/>
        <v>wci_corp</v>
      </c>
    </row>
    <row r="67" spans="2:45">
      <c r="B67" s="915" t="s">
        <v>1990</v>
      </c>
      <c r="C67" s="952">
        <v>42978</v>
      </c>
      <c r="D67" s="953">
        <v>21.68</v>
      </c>
      <c r="E67" s="953">
        <v>0</v>
      </c>
      <c r="F67" s="954" t="s">
        <v>1613</v>
      </c>
      <c r="G67" s="915" t="s">
        <v>2099</v>
      </c>
      <c r="H67" s="955" t="s">
        <v>1615</v>
      </c>
      <c r="I67" s="915" t="s">
        <v>2100</v>
      </c>
      <c r="J67" s="915" t="s">
        <v>2018</v>
      </c>
      <c r="K67" s="915" t="s">
        <v>1618</v>
      </c>
      <c r="L67" s="919"/>
      <c r="M67" s="919"/>
      <c r="N67" s="919" t="s">
        <v>2022</v>
      </c>
      <c r="O67" s="940"/>
      <c r="P67" s="919"/>
      <c r="Q67" s="919"/>
      <c r="U67" s="915" t="s">
        <v>2101</v>
      </c>
      <c r="V67" s="915" t="s">
        <v>2101</v>
      </c>
      <c r="X67" s="952">
        <v>42983</v>
      </c>
      <c r="Y67" s="952">
        <v>42984</v>
      </c>
      <c r="AA67" s="952"/>
      <c r="AB67" s="915" t="s">
        <v>1626</v>
      </c>
      <c r="AC67" s="915">
        <v>0</v>
      </c>
      <c r="AD67" s="915">
        <v>0</v>
      </c>
      <c r="AE67" s="915">
        <v>0</v>
      </c>
      <c r="AF67" s="915">
        <v>0</v>
      </c>
      <c r="AG67" s="915">
        <v>0</v>
      </c>
      <c r="AH67" s="915">
        <v>1</v>
      </c>
      <c r="AI67" s="915">
        <v>70225</v>
      </c>
      <c r="AJ67" s="915">
        <v>2010</v>
      </c>
      <c r="AK67" s="915">
        <v>0</v>
      </c>
      <c r="AL67" s="915">
        <v>0</v>
      </c>
      <c r="AO67" s="955"/>
      <c r="AP67" s="955"/>
      <c r="AQ67" s="915" t="str">
        <f t="shared" si="0"/>
        <v/>
      </c>
      <c r="AS67" s="915" t="str">
        <f t="shared" si="1"/>
        <v>wci_corp</v>
      </c>
    </row>
    <row r="68" spans="2:45">
      <c r="B68" s="915" t="s">
        <v>1990</v>
      </c>
      <c r="C68" s="952">
        <v>42978</v>
      </c>
      <c r="D68" s="953">
        <v>10.84</v>
      </c>
      <c r="E68" s="953">
        <v>0</v>
      </c>
      <c r="F68" s="954" t="s">
        <v>1613</v>
      </c>
      <c r="G68" s="915" t="s">
        <v>2099</v>
      </c>
      <c r="H68" s="955" t="s">
        <v>1615</v>
      </c>
      <c r="I68" s="915" t="s">
        <v>2100</v>
      </c>
      <c r="J68" s="915" t="s">
        <v>2018</v>
      </c>
      <c r="K68" s="915" t="s">
        <v>1618</v>
      </c>
      <c r="L68" s="919"/>
      <c r="M68" s="919"/>
      <c r="N68" s="919" t="s">
        <v>2022</v>
      </c>
      <c r="O68" s="940"/>
      <c r="P68" s="919"/>
      <c r="Q68" s="919"/>
      <c r="U68" s="915" t="s">
        <v>2101</v>
      </c>
      <c r="V68" s="915" t="s">
        <v>2101</v>
      </c>
      <c r="X68" s="952">
        <v>42983</v>
      </c>
      <c r="Y68" s="952">
        <v>42984</v>
      </c>
      <c r="AA68" s="952"/>
      <c r="AB68" s="915" t="s">
        <v>1626</v>
      </c>
      <c r="AC68" s="915">
        <v>0</v>
      </c>
      <c r="AD68" s="915">
        <v>0</v>
      </c>
      <c r="AE68" s="915">
        <v>0</v>
      </c>
      <c r="AF68" s="915">
        <v>0</v>
      </c>
      <c r="AG68" s="915">
        <v>0</v>
      </c>
      <c r="AH68" s="915">
        <v>1</v>
      </c>
      <c r="AI68" s="915">
        <v>70225</v>
      </c>
      <c r="AJ68" s="915">
        <v>2010</v>
      </c>
      <c r="AK68" s="915">
        <v>0</v>
      </c>
      <c r="AL68" s="915">
        <v>0</v>
      </c>
      <c r="AO68" s="955"/>
      <c r="AP68" s="955"/>
      <c r="AQ68" s="915" t="str">
        <f t="shared" si="0"/>
        <v/>
      </c>
      <c r="AS68" s="915" t="str">
        <f t="shared" si="1"/>
        <v>wci_corp</v>
      </c>
    </row>
    <row r="69" spans="2:45">
      <c r="B69" s="915" t="s">
        <v>1990</v>
      </c>
      <c r="C69" s="952">
        <v>42978</v>
      </c>
      <c r="D69" s="953">
        <v>861.13</v>
      </c>
      <c r="E69" s="953">
        <v>0</v>
      </c>
      <c r="F69" s="954" t="s">
        <v>1613</v>
      </c>
      <c r="G69" s="915" t="s">
        <v>2102</v>
      </c>
      <c r="H69" s="955" t="s">
        <v>1615</v>
      </c>
      <c r="I69" s="915" t="s">
        <v>2103</v>
      </c>
      <c r="J69" s="915" t="s">
        <v>2018</v>
      </c>
      <c r="K69" s="915" t="s">
        <v>1618</v>
      </c>
      <c r="L69" s="919"/>
      <c r="M69" s="919"/>
      <c r="N69" s="919" t="s">
        <v>2053</v>
      </c>
      <c r="O69" s="940"/>
      <c r="P69" s="919"/>
      <c r="Q69" s="919"/>
      <c r="U69" s="915" t="s">
        <v>2104</v>
      </c>
      <c r="V69" s="915" t="s">
        <v>2104</v>
      </c>
      <c r="X69" s="952">
        <v>42985</v>
      </c>
      <c r="Y69" s="952">
        <v>42985</v>
      </c>
      <c r="AA69" s="952"/>
      <c r="AB69" s="915" t="s">
        <v>1626</v>
      </c>
      <c r="AC69" s="915">
        <v>0</v>
      </c>
      <c r="AD69" s="915">
        <v>0</v>
      </c>
      <c r="AE69" s="915">
        <v>0</v>
      </c>
      <c r="AF69" s="915">
        <v>0</v>
      </c>
      <c r="AG69" s="915">
        <v>0</v>
      </c>
      <c r="AH69" s="915">
        <v>1</v>
      </c>
      <c r="AI69" s="915">
        <v>70225</v>
      </c>
      <c r="AJ69" s="915">
        <v>2010</v>
      </c>
      <c r="AK69" s="915">
        <v>0</v>
      </c>
      <c r="AL69" s="915">
        <v>0</v>
      </c>
      <c r="AO69" s="955"/>
      <c r="AP69" s="955"/>
      <c r="AQ69" s="915" t="str">
        <f t="shared" si="0"/>
        <v/>
      </c>
      <c r="AS69" s="915" t="str">
        <f t="shared" si="1"/>
        <v>wci_corp</v>
      </c>
    </row>
    <row r="70" spans="2:45">
      <c r="B70" s="915" t="s">
        <v>1990</v>
      </c>
      <c r="C70" s="952">
        <v>42985</v>
      </c>
      <c r="D70" s="953">
        <v>861.13</v>
      </c>
      <c r="E70" s="953">
        <v>0</v>
      </c>
      <c r="F70" s="954" t="s">
        <v>1613</v>
      </c>
      <c r="G70" s="915" t="s">
        <v>2105</v>
      </c>
      <c r="H70" s="955" t="s">
        <v>1615</v>
      </c>
      <c r="I70" s="915" t="s">
        <v>1616</v>
      </c>
      <c r="J70" s="915" t="s">
        <v>1712</v>
      </c>
      <c r="K70" s="915" t="s">
        <v>1618</v>
      </c>
      <c r="L70" s="919" t="s">
        <v>2029</v>
      </c>
      <c r="M70" s="919"/>
      <c r="N70" s="919" t="s">
        <v>1993</v>
      </c>
      <c r="O70" s="940">
        <v>42978</v>
      </c>
      <c r="P70" s="919" t="s">
        <v>2053</v>
      </c>
      <c r="Q70" s="919">
        <v>3125065</v>
      </c>
      <c r="R70" s="915" t="s">
        <v>2059</v>
      </c>
      <c r="U70" s="915" t="s">
        <v>2106</v>
      </c>
      <c r="V70" s="915" t="s">
        <v>2107</v>
      </c>
      <c r="W70" s="915">
        <v>2010</v>
      </c>
      <c r="X70" s="952">
        <v>42985</v>
      </c>
      <c r="Y70" s="952">
        <v>42985</v>
      </c>
      <c r="Z70" s="915">
        <v>861.13</v>
      </c>
      <c r="AA70" s="952">
        <v>42988</v>
      </c>
      <c r="AB70" s="915" t="s">
        <v>1626</v>
      </c>
      <c r="AC70" s="915">
        <v>0</v>
      </c>
      <c r="AD70" s="915">
        <v>0</v>
      </c>
      <c r="AE70" s="915">
        <v>0</v>
      </c>
      <c r="AF70" s="915">
        <v>0</v>
      </c>
      <c r="AG70" s="915">
        <v>0</v>
      </c>
      <c r="AH70" s="915">
        <v>1</v>
      </c>
      <c r="AI70" s="915">
        <v>70225</v>
      </c>
      <c r="AJ70" s="915">
        <v>2010</v>
      </c>
      <c r="AK70" s="915">
        <v>0</v>
      </c>
      <c r="AL70" s="915">
        <v>0</v>
      </c>
      <c r="AO70" s="955"/>
      <c r="AP70" s="955"/>
      <c r="AQ70" s="915" t="str">
        <f t="shared" si="0"/>
        <v>VO04402184</v>
      </c>
      <c r="AS70" s="915" t="str">
        <f t="shared" si="1"/>
        <v>wci_corp</v>
      </c>
    </row>
    <row r="71" spans="2:45">
      <c r="B71" s="915" t="s">
        <v>1990</v>
      </c>
      <c r="C71" s="952">
        <v>43008</v>
      </c>
      <c r="D71" s="953">
        <v>-861.13</v>
      </c>
      <c r="E71" s="953">
        <v>0</v>
      </c>
      <c r="F71" s="954" t="s">
        <v>1613</v>
      </c>
      <c r="G71" s="915" t="s">
        <v>2108</v>
      </c>
      <c r="H71" s="955" t="s">
        <v>1615</v>
      </c>
      <c r="I71" s="915" t="s">
        <v>2103</v>
      </c>
      <c r="J71" s="915" t="s">
        <v>2018</v>
      </c>
      <c r="K71" s="915" t="s">
        <v>1618</v>
      </c>
      <c r="L71" s="919"/>
      <c r="M71" s="919"/>
      <c r="N71" s="919" t="s">
        <v>2053</v>
      </c>
      <c r="O71" s="940"/>
      <c r="P71" s="919"/>
      <c r="Q71" s="919"/>
      <c r="U71" s="915" t="s">
        <v>2104</v>
      </c>
      <c r="V71" s="915" t="s">
        <v>2109</v>
      </c>
      <c r="X71" s="952">
        <v>42985</v>
      </c>
      <c r="Y71" s="952">
        <v>42985</v>
      </c>
      <c r="AA71" s="952"/>
      <c r="AB71" s="915" t="s">
        <v>1626</v>
      </c>
      <c r="AC71" s="915">
        <v>0</v>
      </c>
      <c r="AD71" s="915">
        <v>0</v>
      </c>
      <c r="AE71" s="915">
        <v>0</v>
      </c>
      <c r="AF71" s="915">
        <v>0</v>
      </c>
      <c r="AG71" s="915">
        <v>5</v>
      </c>
      <c r="AH71" s="915">
        <v>1</v>
      </c>
      <c r="AI71" s="915">
        <v>70225</v>
      </c>
      <c r="AJ71" s="915">
        <v>2010</v>
      </c>
      <c r="AK71" s="915">
        <v>0</v>
      </c>
      <c r="AL71" s="915">
        <v>0</v>
      </c>
      <c r="AO71" s="955"/>
      <c r="AP71" s="955"/>
      <c r="AQ71" s="915" t="str">
        <f t="shared" si="0"/>
        <v/>
      </c>
      <c r="AS71" s="915" t="str">
        <f t="shared" si="1"/>
        <v>wci_corp</v>
      </c>
    </row>
    <row r="72" spans="2:45">
      <c r="B72" s="915" t="s">
        <v>1990</v>
      </c>
      <c r="C72" s="952">
        <v>43008</v>
      </c>
      <c r="D72" s="953">
        <v>1084</v>
      </c>
      <c r="E72" s="953">
        <v>0</v>
      </c>
      <c r="F72" s="954" t="s">
        <v>1613</v>
      </c>
      <c r="G72" s="915" t="s">
        <v>2110</v>
      </c>
      <c r="H72" s="955" t="s">
        <v>1615</v>
      </c>
      <c r="I72" s="915" t="s">
        <v>2111</v>
      </c>
      <c r="J72" s="915" t="s">
        <v>2018</v>
      </c>
      <c r="K72" s="915" t="s">
        <v>1618</v>
      </c>
      <c r="L72" s="919"/>
      <c r="M72" s="919"/>
      <c r="N72" s="919" t="s">
        <v>2022</v>
      </c>
      <c r="O72" s="940"/>
      <c r="P72" s="919"/>
      <c r="Q72" s="919"/>
      <c r="U72" s="915" t="s">
        <v>2112</v>
      </c>
      <c r="V72" s="915" t="s">
        <v>2112</v>
      </c>
      <c r="X72" s="952">
        <v>43011</v>
      </c>
      <c r="Y72" s="952">
        <v>43011</v>
      </c>
      <c r="AA72" s="952"/>
      <c r="AB72" s="915" t="s">
        <v>1626</v>
      </c>
      <c r="AC72" s="915">
        <v>0</v>
      </c>
      <c r="AD72" s="915">
        <v>0</v>
      </c>
      <c r="AE72" s="915">
        <v>0</v>
      </c>
      <c r="AF72" s="915">
        <v>0</v>
      </c>
      <c r="AG72" s="915">
        <v>0</v>
      </c>
      <c r="AH72" s="915">
        <v>1</v>
      </c>
      <c r="AI72" s="915">
        <v>70225</v>
      </c>
      <c r="AJ72" s="915">
        <v>2010</v>
      </c>
      <c r="AK72" s="915">
        <v>0</v>
      </c>
      <c r="AL72" s="915">
        <v>0</v>
      </c>
      <c r="AO72" s="955"/>
      <c r="AP72" s="955"/>
      <c r="AQ72" s="915" t="str">
        <f t="shared" si="0"/>
        <v/>
      </c>
      <c r="AS72" s="915" t="str">
        <f t="shared" si="1"/>
        <v>wci_corp</v>
      </c>
    </row>
    <row r="73" spans="2:45">
      <c r="B73" s="915" t="s">
        <v>1990</v>
      </c>
      <c r="C73" s="952">
        <v>43008</v>
      </c>
      <c r="D73" s="953">
        <v>325.2</v>
      </c>
      <c r="E73" s="953">
        <v>0</v>
      </c>
      <c r="F73" s="954" t="s">
        <v>1613</v>
      </c>
      <c r="G73" s="915" t="s">
        <v>2110</v>
      </c>
      <c r="H73" s="955" t="s">
        <v>1615</v>
      </c>
      <c r="I73" s="915" t="s">
        <v>2111</v>
      </c>
      <c r="J73" s="915" t="s">
        <v>2018</v>
      </c>
      <c r="K73" s="915" t="s">
        <v>1618</v>
      </c>
      <c r="L73" s="919"/>
      <c r="M73" s="919"/>
      <c r="N73" s="919" t="s">
        <v>2022</v>
      </c>
      <c r="O73" s="940"/>
      <c r="P73" s="919"/>
      <c r="Q73" s="919"/>
      <c r="U73" s="915" t="s">
        <v>2112</v>
      </c>
      <c r="V73" s="915" t="s">
        <v>2112</v>
      </c>
      <c r="X73" s="952">
        <v>43011</v>
      </c>
      <c r="Y73" s="952">
        <v>43011</v>
      </c>
      <c r="AA73" s="952"/>
      <c r="AB73" s="915" t="s">
        <v>1626</v>
      </c>
      <c r="AC73" s="915">
        <v>0</v>
      </c>
      <c r="AD73" s="915">
        <v>0</v>
      </c>
      <c r="AE73" s="915">
        <v>0</v>
      </c>
      <c r="AF73" s="915">
        <v>0</v>
      </c>
      <c r="AG73" s="915">
        <v>0</v>
      </c>
      <c r="AH73" s="915">
        <v>1</v>
      </c>
      <c r="AI73" s="915">
        <v>70225</v>
      </c>
      <c r="AJ73" s="915">
        <v>2010</v>
      </c>
      <c r="AK73" s="915">
        <v>0</v>
      </c>
      <c r="AL73" s="915">
        <v>0</v>
      </c>
      <c r="AO73" s="955"/>
      <c r="AP73" s="955"/>
      <c r="AQ73" s="915" t="str">
        <f t="shared" si="0"/>
        <v/>
      </c>
      <c r="AS73" s="915" t="str">
        <f t="shared" si="1"/>
        <v>wci_corp</v>
      </c>
    </row>
    <row r="74" spans="2:45">
      <c r="B74" s="915" t="s">
        <v>1990</v>
      </c>
      <c r="C74" s="952">
        <v>43008</v>
      </c>
      <c r="D74" s="953">
        <v>10.84</v>
      </c>
      <c r="E74" s="953">
        <v>0</v>
      </c>
      <c r="F74" s="954" t="s">
        <v>1613</v>
      </c>
      <c r="G74" s="915" t="s">
        <v>2110</v>
      </c>
      <c r="H74" s="955" t="s">
        <v>1615</v>
      </c>
      <c r="I74" s="915" t="s">
        <v>2111</v>
      </c>
      <c r="J74" s="915" t="s">
        <v>2018</v>
      </c>
      <c r="K74" s="915" t="s">
        <v>1618</v>
      </c>
      <c r="L74" s="919"/>
      <c r="M74" s="919"/>
      <c r="N74" s="919" t="s">
        <v>2022</v>
      </c>
      <c r="O74" s="940"/>
      <c r="P74" s="919"/>
      <c r="Q74" s="919"/>
      <c r="U74" s="915" t="s">
        <v>2112</v>
      </c>
      <c r="V74" s="915" t="s">
        <v>2112</v>
      </c>
      <c r="X74" s="952">
        <v>43011</v>
      </c>
      <c r="Y74" s="952">
        <v>43011</v>
      </c>
      <c r="AA74" s="952"/>
      <c r="AB74" s="915" t="s">
        <v>1626</v>
      </c>
      <c r="AC74" s="915">
        <v>0</v>
      </c>
      <c r="AD74" s="915">
        <v>0</v>
      </c>
      <c r="AE74" s="915">
        <v>0</v>
      </c>
      <c r="AF74" s="915">
        <v>0</v>
      </c>
      <c r="AG74" s="915">
        <v>0</v>
      </c>
      <c r="AH74" s="915">
        <v>1</v>
      </c>
      <c r="AI74" s="915">
        <v>70225</v>
      </c>
      <c r="AJ74" s="915">
        <v>2010</v>
      </c>
      <c r="AK74" s="915">
        <v>0</v>
      </c>
      <c r="AL74" s="915">
        <v>0</v>
      </c>
      <c r="AO74" s="955"/>
      <c r="AP74" s="955"/>
      <c r="AQ74" s="915" t="str">
        <f t="shared" si="0"/>
        <v/>
      </c>
      <c r="AS74" s="915" t="str">
        <f t="shared" si="1"/>
        <v>wci_corp</v>
      </c>
    </row>
    <row r="75" spans="2:45">
      <c r="C75" s="952"/>
      <c r="D75" s="957"/>
      <c r="E75" s="957"/>
      <c r="F75" s="957"/>
      <c r="H75" s="918"/>
    </row>
    <row r="76" spans="2:45">
      <c r="B76" s="958" t="s">
        <v>1743</v>
      </c>
      <c r="C76" s="958"/>
      <c r="D76" s="959"/>
      <c r="E76" s="959"/>
      <c r="F76" s="959"/>
      <c r="G76" s="958"/>
      <c r="H76" s="960"/>
      <c r="I76" s="958"/>
      <c r="J76" s="958"/>
      <c r="K76" s="958"/>
      <c r="L76" s="958"/>
      <c r="M76" s="958"/>
      <c r="N76" s="958"/>
      <c r="O76" s="958"/>
      <c r="P76" s="958"/>
      <c r="Q76" s="958"/>
      <c r="R76" s="958"/>
      <c r="S76" s="958"/>
      <c r="T76" s="958"/>
      <c r="U76" s="958"/>
      <c r="V76" s="958"/>
      <c r="W76" s="958"/>
      <c r="X76" s="958"/>
      <c r="Y76" s="958"/>
      <c r="Z76" s="958"/>
      <c r="AA76" s="958"/>
      <c r="AB76" s="958"/>
      <c r="AC76" s="958"/>
      <c r="AD76" s="958"/>
      <c r="AE76" s="958"/>
      <c r="AF76" s="958"/>
      <c r="AG76" s="958"/>
      <c r="AH76" s="958"/>
      <c r="AI76" s="958"/>
      <c r="AJ76" s="958"/>
      <c r="AK76" s="958"/>
      <c r="AL76" s="958"/>
      <c r="AM76" s="958"/>
      <c r="AN76" s="958"/>
      <c r="AO76" s="958"/>
      <c r="AP76" s="961"/>
    </row>
    <row r="77" spans="2:45">
      <c r="H77" s="918"/>
    </row>
    <row r="78" spans="2:45">
      <c r="H78" s="918"/>
    </row>
    <row r="79" spans="2:45">
      <c r="B79" s="1110"/>
      <c r="H79" s="918"/>
    </row>
    <row r="81" spans="2:5" ht="15">
      <c r="B81" s="1132" t="s">
        <v>1434</v>
      </c>
      <c r="C81" t="s">
        <v>1744</v>
      </c>
      <c r="D81" s="915" t="s">
        <v>1744</v>
      </c>
    </row>
    <row r="82" spans="2:5" ht="15">
      <c r="B82" s="1133" t="s">
        <v>1994</v>
      </c>
      <c r="C82" s="1134">
        <v>-240</v>
      </c>
      <c r="D82" s="626">
        <v>-240</v>
      </c>
      <c r="E82" s="915" t="s">
        <v>1745</v>
      </c>
    </row>
    <row r="83" spans="2:5" ht="15">
      <c r="B83" s="1133" t="s">
        <v>2012</v>
      </c>
      <c r="C83" s="1134">
        <v>0</v>
      </c>
      <c r="D83" s="626">
        <v>0</v>
      </c>
    </row>
    <row r="84" spans="2:5" ht="15">
      <c r="B84" s="1133" t="s">
        <v>2053</v>
      </c>
      <c r="C84" s="1134">
        <v>0</v>
      </c>
      <c r="D84" s="626">
        <v>0</v>
      </c>
    </row>
    <row r="85" spans="2:5" ht="15">
      <c r="B85" s="1133" t="s">
        <v>2081</v>
      </c>
      <c r="C85" s="1134">
        <v>-1300.81</v>
      </c>
      <c r="D85" s="626">
        <v>-1300.81</v>
      </c>
      <c r="E85" s="915" t="s">
        <v>2113</v>
      </c>
    </row>
    <row r="86" spans="2:5" ht="15">
      <c r="B86" s="1133" t="s">
        <v>2005</v>
      </c>
      <c r="C86" s="1134">
        <v>190</v>
      </c>
      <c r="D86" s="965">
        <v>190</v>
      </c>
      <c r="E86" s="915" t="s">
        <v>1745</v>
      </c>
    </row>
    <row r="87" spans="2:5" ht="15">
      <c r="B87" s="1133" t="s">
        <v>2044</v>
      </c>
      <c r="C87" s="1134">
        <v>1938.0600000000002</v>
      </c>
      <c r="D87" s="965">
        <v>1938.0600000000002</v>
      </c>
      <c r="E87" s="915" t="s">
        <v>1745</v>
      </c>
    </row>
    <row r="88" spans="2:5" ht="15">
      <c r="B88" s="1133" t="s">
        <v>2026</v>
      </c>
      <c r="C88" s="1134">
        <v>0</v>
      </c>
      <c r="D88" s="965">
        <v>0</v>
      </c>
    </row>
    <row r="89" spans="2:5" ht="15">
      <c r="B89" s="1133" t="s">
        <v>2088</v>
      </c>
      <c r="C89" s="1134">
        <v>-1506.63</v>
      </c>
      <c r="D89" s="965">
        <v>-1506.63</v>
      </c>
      <c r="E89" s="915" t="s">
        <v>2114</v>
      </c>
    </row>
    <row r="90" spans="2:5" ht="15">
      <c r="B90" s="1133" t="s">
        <v>2085</v>
      </c>
      <c r="C90" s="1134">
        <v>357.5</v>
      </c>
      <c r="D90" s="965">
        <v>357.5</v>
      </c>
      <c r="E90" s="915" t="s">
        <v>1745</v>
      </c>
    </row>
    <row r="91" spans="2:5" ht="15">
      <c r="B91" s="1133" t="s">
        <v>1993</v>
      </c>
      <c r="C91" s="1134">
        <v>7503.37</v>
      </c>
      <c r="D91" s="965">
        <v>7503.37</v>
      </c>
      <c r="E91" s="915" t="s">
        <v>2115</v>
      </c>
    </row>
    <row r="92" spans="2:5" ht="15">
      <c r="B92" s="1133" t="s">
        <v>2064</v>
      </c>
      <c r="C92" s="1134">
        <v>150</v>
      </c>
      <c r="D92" s="965">
        <v>150</v>
      </c>
      <c r="E92" s="915" t="s">
        <v>1745</v>
      </c>
    </row>
    <row r="93" spans="2:5" ht="15">
      <c r="B93" s="1133" t="s">
        <v>2022</v>
      </c>
      <c r="C93" s="1134">
        <v>19175.960000000003</v>
      </c>
      <c r="D93" s="965">
        <v>19175.960000000003</v>
      </c>
      <c r="E93" s="915" t="s">
        <v>2113</v>
      </c>
    </row>
    <row r="94" spans="2:5" ht="15">
      <c r="B94" s="1133" t="s">
        <v>343</v>
      </c>
      <c r="C94" s="751">
        <v>26267.450000000004</v>
      </c>
      <c r="D94" s="626">
        <v>26267.450000000004</v>
      </c>
    </row>
    <row r="97" spans="3:4">
      <c r="C97" s="927" t="s">
        <v>2116</v>
      </c>
      <c r="D97" s="1111">
        <f>SUM(D82,D86:D90,D92)</f>
        <v>888.93000000000006</v>
      </c>
    </row>
  </sheetData>
  <dataValidations disablePrompts="1" count="1">
    <dataValidation type="list" allowBlank="1" showInputMessage="1" showErrorMessage="1" sqref="P15">
      <formula1>"All,Posted/Unposted,Posted,Unposted,Staged"</formula1>
    </dataValidation>
  </dataValidations>
  <pageMargins left="0.27" right="0.28999999999999998" top="0.37" bottom="0.43" header="0.25" footer="0.25"/>
  <pageSetup scale="34" fitToHeight="0" orientation="landscape" r:id="rId2"/>
  <headerFooter alignWithMargins="0">
    <oddHeader>&amp;L&amp;8 &amp;R&amp;8 &amp;D-&amp;T-Jeff Honsowetz</oddHeader>
    <oddFooter xml:space="preserve">&amp;L&amp;8&amp;F - &amp;A
&amp;R&amp;8Page &amp;P of &amp;N
</oddFooter>
  </headerFooter>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
  <sheetViews>
    <sheetView view="pageBreakPreview" topLeftCell="B11" zoomScale="85" zoomScaleNormal="100" zoomScaleSheetLayoutView="85" workbookViewId="0">
      <selection activeCell="AI26" sqref="AI26"/>
    </sheetView>
  </sheetViews>
  <sheetFormatPr defaultRowHeight="15" outlineLevelRow="1" outlineLevelCol="1"/>
  <cols>
    <col min="1" max="1" width="27.5703125" style="122" hidden="1" customWidth="1" outlineLevel="1"/>
    <col min="2" max="2" width="32.28515625" style="122" customWidth="1" collapsed="1"/>
    <col min="3" max="3" width="1.140625" style="122" customWidth="1"/>
    <col min="4" max="4" width="18" style="122" bestFit="1" customWidth="1"/>
    <col min="5" max="5" width="0.7109375" style="122" customWidth="1"/>
    <col min="6" max="256" width="9.140625" style="122"/>
    <col min="257" max="257" width="0" style="122" hidden="1" customWidth="1"/>
    <col min="258" max="258" width="32.28515625" style="122" customWidth="1"/>
    <col min="259" max="259" width="1.140625" style="122" customWidth="1"/>
    <col min="260" max="260" width="16.7109375" style="122" customWidth="1"/>
    <col min="261" max="261" width="0.7109375" style="122" customWidth="1"/>
    <col min="262" max="512" width="9.140625" style="122"/>
    <col min="513" max="513" width="0" style="122" hidden="1" customWidth="1"/>
    <col min="514" max="514" width="32.28515625" style="122" customWidth="1"/>
    <col min="515" max="515" width="1.140625" style="122" customWidth="1"/>
    <col min="516" max="516" width="16.7109375" style="122" customWidth="1"/>
    <col min="517" max="517" width="0.7109375" style="122" customWidth="1"/>
    <col min="518" max="768" width="9.140625" style="122"/>
    <col min="769" max="769" width="0" style="122" hidden="1" customWidth="1"/>
    <col min="770" max="770" width="32.28515625" style="122" customWidth="1"/>
    <col min="771" max="771" width="1.140625" style="122" customWidth="1"/>
    <col min="772" max="772" width="16.7109375" style="122" customWidth="1"/>
    <col min="773" max="773" width="0.7109375" style="122" customWidth="1"/>
    <col min="774" max="1024" width="9.140625" style="122"/>
    <col min="1025" max="1025" width="0" style="122" hidden="1" customWidth="1"/>
    <col min="1026" max="1026" width="32.28515625" style="122" customWidth="1"/>
    <col min="1027" max="1027" width="1.140625" style="122" customWidth="1"/>
    <col min="1028" max="1028" width="16.7109375" style="122" customWidth="1"/>
    <col min="1029" max="1029" width="0.7109375" style="122" customWidth="1"/>
    <col min="1030" max="1280" width="9.140625" style="122"/>
    <col min="1281" max="1281" width="0" style="122" hidden="1" customWidth="1"/>
    <col min="1282" max="1282" width="32.28515625" style="122" customWidth="1"/>
    <col min="1283" max="1283" width="1.140625" style="122" customWidth="1"/>
    <col min="1284" max="1284" width="16.7109375" style="122" customWidth="1"/>
    <col min="1285" max="1285" width="0.7109375" style="122" customWidth="1"/>
    <col min="1286" max="1536" width="9.140625" style="122"/>
    <col min="1537" max="1537" width="0" style="122" hidden="1" customWidth="1"/>
    <col min="1538" max="1538" width="32.28515625" style="122" customWidth="1"/>
    <col min="1539" max="1539" width="1.140625" style="122" customWidth="1"/>
    <col min="1540" max="1540" width="16.7109375" style="122" customWidth="1"/>
    <col min="1541" max="1541" width="0.7109375" style="122" customWidth="1"/>
    <col min="1542" max="1792" width="9.140625" style="122"/>
    <col min="1793" max="1793" width="0" style="122" hidden="1" customWidth="1"/>
    <col min="1794" max="1794" width="32.28515625" style="122" customWidth="1"/>
    <col min="1795" max="1795" width="1.140625" style="122" customWidth="1"/>
    <col min="1796" max="1796" width="16.7109375" style="122" customWidth="1"/>
    <col min="1797" max="1797" width="0.7109375" style="122" customWidth="1"/>
    <col min="1798" max="2048" width="9.140625" style="122"/>
    <col min="2049" max="2049" width="0" style="122" hidden="1" customWidth="1"/>
    <col min="2050" max="2050" width="32.28515625" style="122" customWidth="1"/>
    <col min="2051" max="2051" width="1.140625" style="122" customWidth="1"/>
    <col min="2052" max="2052" width="16.7109375" style="122" customWidth="1"/>
    <col min="2053" max="2053" width="0.7109375" style="122" customWidth="1"/>
    <col min="2054" max="2304" width="9.140625" style="122"/>
    <col min="2305" max="2305" width="0" style="122" hidden="1" customWidth="1"/>
    <col min="2306" max="2306" width="32.28515625" style="122" customWidth="1"/>
    <col min="2307" max="2307" width="1.140625" style="122" customWidth="1"/>
    <col min="2308" max="2308" width="16.7109375" style="122" customWidth="1"/>
    <col min="2309" max="2309" width="0.7109375" style="122" customWidth="1"/>
    <col min="2310" max="2560" width="9.140625" style="122"/>
    <col min="2561" max="2561" width="0" style="122" hidden="1" customWidth="1"/>
    <col min="2562" max="2562" width="32.28515625" style="122" customWidth="1"/>
    <col min="2563" max="2563" width="1.140625" style="122" customWidth="1"/>
    <col min="2564" max="2564" width="16.7109375" style="122" customWidth="1"/>
    <col min="2565" max="2565" width="0.7109375" style="122" customWidth="1"/>
    <col min="2566" max="2816" width="9.140625" style="122"/>
    <col min="2817" max="2817" width="0" style="122" hidden="1" customWidth="1"/>
    <col min="2818" max="2818" width="32.28515625" style="122" customWidth="1"/>
    <col min="2819" max="2819" width="1.140625" style="122" customWidth="1"/>
    <col min="2820" max="2820" width="16.7109375" style="122" customWidth="1"/>
    <col min="2821" max="2821" width="0.7109375" style="122" customWidth="1"/>
    <col min="2822" max="3072" width="9.140625" style="122"/>
    <col min="3073" max="3073" width="0" style="122" hidden="1" customWidth="1"/>
    <col min="3074" max="3074" width="32.28515625" style="122" customWidth="1"/>
    <col min="3075" max="3075" width="1.140625" style="122" customWidth="1"/>
    <col min="3076" max="3076" width="16.7109375" style="122" customWidth="1"/>
    <col min="3077" max="3077" width="0.7109375" style="122" customWidth="1"/>
    <col min="3078" max="3328" width="9.140625" style="122"/>
    <col min="3329" max="3329" width="0" style="122" hidden="1" customWidth="1"/>
    <col min="3330" max="3330" width="32.28515625" style="122" customWidth="1"/>
    <col min="3331" max="3331" width="1.140625" style="122" customWidth="1"/>
    <col min="3332" max="3332" width="16.7109375" style="122" customWidth="1"/>
    <col min="3333" max="3333" width="0.7109375" style="122" customWidth="1"/>
    <col min="3334" max="3584" width="9.140625" style="122"/>
    <col min="3585" max="3585" width="0" style="122" hidden="1" customWidth="1"/>
    <col min="3586" max="3586" width="32.28515625" style="122" customWidth="1"/>
    <col min="3587" max="3587" width="1.140625" style="122" customWidth="1"/>
    <col min="3588" max="3588" width="16.7109375" style="122" customWidth="1"/>
    <col min="3589" max="3589" width="0.7109375" style="122" customWidth="1"/>
    <col min="3590" max="3840" width="9.140625" style="122"/>
    <col min="3841" max="3841" width="0" style="122" hidden="1" customWidth="1"/>
    <col min="3842" max="3842" width="32.28515625" style="122" customWidth="1"/>
    <col min="3843" max="3843" width="1.140625" style="122" customWidth="1"/>
    <col min="3844" max="3844" width="16.7109375" style="122" customWidth="1"/>
    <col min="3845" max="3845" width="0.7109375" style="122" customWidth="1"/>
    <col min="3846" max="4096" width="9.140625" style="122"/>
    <col min="4097" max="4097" width="0" style="122" hidden="1" customWidth="1"/>
    <col min="4098" max="4098" width="32.28515625" style="122" customWidth="1"/>
    <col min="4099" max="4099" width="1.140625" style="122" customWidth="1"/>
    <col min="4100" max="4100" width="16.7109375" style="122" customWidth="1"/>
    <col min="4101" max="4101" width="0.7109375" style="122" customWidth="1"/>
    <col min="4102" max="4352" width="9.140625" style="122"/>
    <col min="4353" max="4353" width="0" style="122" hidden="1" customWidth="1"/>
    <col min="4354" max="4354" width="32.28515625" style="122" customWidth="1"/>
    <col min="4355" max="4355" width="1.140625" style="122" customWidth="1"/>
    <col min="4356" max="4356" width="16.7109375" style="122" customWidth="1"/>
    <col min="4357" max="4357" width="0.7109375" style="122" customWidth="1"/>
    <col min="4358" max="4608" width="9.140625" style="122"/>
    <col min="4609" max="4609" width="0" style="122" hidden="1" customWidth="1"/>
    <col min="4610" max="4610" width="32.28515625" style="122" customWidth="1"/>
    <col min="4611" max="4611" width="1.140625" style="122" customWidth="1"/>
    <col min="4612" max="4612" width="16.7109375" style="122" customWidth="1"/>
    <col min="4613" max="4613" width="0.7109375" style="122" customWidth="1"/>
    <col min="4614" max="4864" width="9.140625" style="122"/>
    <col min="4865" max="4865" width="0" style="122" hidden="1" customWidth="1"/>
    <col min="4866" max="4866" width="32.28515625" style="122" customWidth="1"/>
    <col min="4867" max="4867" width="1.140625" style="122" customWidth="1"/>
    <col min="4868" max="4868" width="16.7109375" style="122" customWidth="1"/>
    <col min="4869" max="4869" width="0.7109375" style="122" customWidth="1"/>
    <col min="4870" max="5120" width="9.140625" style="122"/>
    <col min="5121" max="5121" width="0" style="122" hidden="1" customWidth="1"/>
    <col min="5122" max="5122" width="32.28515625" style="122" customWidth="1"/>
    <col min="5123" max="5123" width="1.140625" style="122" customWidth="1"/>
    <col min="5124" max="5124" width="16.7109375" style="122" customWidth="1"/>
    <col min="5125" max="5125" width="0.7109375" style="122" customWidth="1"/>
    <col min="5126" max="5376" width="9.140625" style="122"/>
    <col min="5377" max="5377" width="0" style="122" hidden="1" customWidth="1"/>
    <col min="5378" max="5378" width="32.28515625" style="122" customWidth="1"/>
    <col min="5379" max="5379" width="1.140625" style="122" customWidth="1"/>
    <col min="5380" max="5380" width="16.7109375" style="122" customWidth="1"/>
    <col min="5381" max="5381" width="0.7109375" style="122" customWidth="1"/>
    <col min="5382" max="5632" width="9.140625" style="122"/>
    <col min="5633" max="5633" width="0" style="122" hidden="1" customWidth="1"/>
    <col min="5634" max="5634" width="32.28515625" style="122" customWidth="1"/>
    <col min="5635" max="5635" width="1.140625" style="122" customWidth="1"/>
    <col min="5636" max="5636" width="16.7109375" style="122" customWidth="1"/>
    <col min="5637" max="5637" width="0.7109375" style="122" customWidth="1"/>
    <col min="5638" max="5888" width="9.140625" style="122"/>
    <col min="5889" max="5889" width="0" style="122" hidden="1" customWidth="1"/>
    <col min="5890" max="5890" width="32.28515625" style="122" customWidth="1"/>
    <col min="5891" max="5891" width="1.140625" style="122" customWidth="1"/>
    <col min="5892" max="5892" width="16.7109375" style="122" customWidth="1"/>
    <col min="5893" max="5893" width="0.7109375" style="122" customWidth="1"/>
    <col min="5894" max="6144" width="9.140625" style="122"/>
    <col min="6145" max="6145" width="0" style="122" hidden="1" customWidth="1"/>
    <col min="6146" max="6146" width="32.28515625" style="122" customWidth="1"/>
    <col min="6147" max="6147" width="1.140625" style="122" customWidth="1"/>
    <col min="6148" max="6148" width="16.7109375" style="122" customWidth="1"/>
    <col min="6149" max="6149" width="0.7109375" style="122" customWidth="1"/>
    <col min="6150" max="6400" width="9.140625" style="122"/>
    <col min="6401" max="6401" width="0" style="122" hidden="1" customWidth="1"/>
    <col min="6402" max="6402" width="32.28515625" style="122" customWidth="1"/>
    <col min="6403" max="6403" width="1.140625" style="122" customWidth="1"/>
    <col min="6404" max="6404" width="16.7109375" style="122" customWidth="1"/>
    <col min="6405" max="6405" width="0.7109375" style="122" customWidth="1"/>
    <col min="6406" max="6656" width="9.140625" style="122"/>
    <col min="6657" max="6657" width="0" style="122" hidden="1" customWidth="1"/>
    <col min="6658" max="6658" width="32.28515625" style="122" customWidth="1"/>
    <col min="6659" max="6659" width="1.140625" style="122" customWidth="1"/>
    <col min="6660" max="6660" width="16.7109375" style="122" customWidth="1"/>
    <col min="6661" max="6661" width="0.7109375" style="122" customWidth="1"/>
    <col min="6662" max="6912" width="9.140625" style="122"/>
    <col min="6913" max="6913" width="0" style="122" hidden="1" customWidth="1"/>
    <col min="6914" max="6914" width="32.28515625" style="122" customWidth="1"/>
    <col min="6915" max="6915" width="1.140625" style="122" customWidth="1"/>
    <col min="6916" max="6916" width="16.7109375" style="122" customWidth="1"/>
    <col min="6917" max="6917" width="0.7109375" style="122" customWidth="1"/>
    <col min="6918" max="7168" width="9.140625" style="122"/>
    <col min="7169" max="7169" width="0" style="122" hidden="1" customWidth="1"/>
    <col min="7170" max="7170" width="32.28515625" style="122" customWidth="1"/>
    <col min="7171" max="7171" width="1.140625" style="122" customWidth="1"/>
    <col min="7172" max="7172" width="16.7109375" style="122" customWidth="1"/>
    <col min="7173" max="7173" width="0.7109375" style="122" customWidth="1"/>
    <col min="7174" max="7424" width="9.140625" style="122"/>
    <col min="7425" max="7425" width="0" style="122" hidden="1" customWidth="1"/>
    <col min="7426" max="7426" width="32.28515625" style="122" customWidth="1"/>
    <col min="7427" max="7427" width="1.140625" style="122" customWidth="1"/>
    <col min="7428" max="7428" width="16.7109375" style="122" customWidth="1"/>
    <col min="7429" max="7429" width="0.7109375" style="122" customWidth="1"/>
    <col min="7430" max="7680" width="9.140625" style="122"/>
    <col min="7681" max="7681" width="0" style="122" hidden="1" customWidth="1"/>
    <col min="7682" max="7682" width="32.28515625" style="122" customWidth="1"/>
    <col min="7683" max="7683" width="1.140625" style="122" customWidth="1"/>
    <col min="7684" max="7684" width="16.7109375" style="122" customWidth="1"/>
    <col min="7685" max="7685" width="0.7109375" style="122" customWidth="1"/>
    <col min="7686" max="7936" width="9.140625" style="122"/>
    <col min="7937" max="7937" width="0" style="122" hidden="1" customWidth="1"/>
    <col min="7938" max="7938" width="32.28515625" style="122" customWidth="1"/>
    <col min="7939" max="7939" width="1.140625" style="122" customWidth="1"/>
    <col min="7940" max="7940" width="16.7109375" style="122" customWidth="1"/>
    <col min="7941" max="7941" width="0.7109375" style="122" customWidth="1"/>
    <col min="7942" max="8192" width="9.140625" style="122"/>
    <col min="8193" max="8193" width="0" style="122" hidden="1" customWidth="1"/>
    <col min="8194" max="8194" width="32.28515625" style="122" customWidth="1"/>
    <col min="8195" max="8195" width="1.140625" style="122" customWidth="1"/>
    <col min="8196" max="8196" width="16.7109375" style="122" customWidth="1"/>
    <col min="8197" max="8197" width="0.7109375" style="122" customWidth="1"/>
    <col min="8198" max="8448" width="9.140625" style="122"/>
    <col min="8449" max="8449" width="0" style="122" hidden="1" customWidth="1"/>
    <col min="8450" max="8450" width="32.28515625" style="122" customWidth="1"/>
    <col min="8451" max="8451" width="1.140625" style="122" customWidth="1"/>
    <col min="8452" max="8452" width="16.7109375" style="122" customWidth="1"/>
    <col min="8453" max="8453" width="0.7109375" style="122" customWidth="1"/>
    <col min="8454" max="8704" width="9.140625" style="122"/>
    <col min="8705" max="8705" width="0" style="122" hidden="1" customWidth="1"/>
    <col min="8706" max="8706" width="32.28515625" style="122" customWidth="1"/>
    <col min="8707" max="8707" width="1.140625" style="122" customWidth="1"/>
    <col min="8708" max="8708" width="16.7109375" style="122" customWidth="1"/>
    <col min="8709" max="8709" width="0.7109375" style="122" customWidth="1"/>
    <col min="8710" max="8960" width="9.140625" style="122"/>
    <col min="8961" max="8961" width="0" style="122" hidden="1" customWidth="1"/>
    <col min="8962" max="8962" width="32.28515625" style="122" customWidth="1"/>
    <col min="8963" max="8963" width="1.140625" style="122" customWidth="1"/>
    <col min="8964" max="8964" width="16.7109375" style="122" customWidth="1"/>
    <col min="8965" max="8965" width="0.7109375" style="122" customWidth="1"/>
    <col min="8966" max="9216" width="9.140625" style="122"/>
    <col min="9217" max="9217" width="0" style="122" hidden="1" customWidth="1"/>
    <col min="9218" max="9218" width="32.28515625" style="122" customWidth="1"/>
    <col min="9219" max="9219" width="1.140625" style="122" customWidth="1"/>
    <col min="9220" max="9220" width="16.7109375" style="122" customWidth="1"/>
    <col min="9221" max="9221" width="0.7109375" style="122" customWidth="1"/>
    <col min="9222" max="9472" width="9.140625" style="122"/>
    <col min="9473" max="9473" width="0" style="122" hidden="1" customWidth="1"/>
    <col min="9474" max="9474" width="32.28515625" style="122" customWidth="1"/>
    <col min="9475" max="9475" width="1.140625" style="122" customWidth="1"/>
    <col min="9476" max="9476" width="16.7109375" style="122" customWidth="1"/>
    <col min="9477" max="9477" width="0.7109375" style="122" customWidth="1"/>
    <col min="9478" max="9728" width="9.140625" style="122"/>
    <col min="9729" max="9729" width="0" style="122" hidden="1" customWidth="1"/>
    <col min="9730" max="9730" width="32.28515625" style="122" customWidth="1"/>
    <col min="9731" max="9731" width="1.140625" style="122" customWidth="1"/>
    <col min="9732" max="9732" width="16.7109375" style="122" customWidth="1"/>
    <col min="9733" max="9733" width="0.7109375" style="122" customWidth="1"/>
    <col min="9734" max="9984" width="9.140625" style="122"/>
    <col min="9985" max="9985" width="0" style="122" hidden="1" customWidth="1"/>
    <col min="9986" max="9986" width="32.28515625" style="122" customWidth="1"/>
    <col min="9987" max="9987" width="1.140625" style="122" customWidth="1"/>
    <col min="9988" max="9988" width="16.7109375" style="122" customWidth="1"/>
    <col min="9989" max="9989" width="0.7109375" style="122" customWidth="1"/>
    <col min="9990" max="10240" width="9.140625" style="122"/>
    <col min="10241" max="10241" width="0" style="122" hidden="1" customWidth="1"/>
    <col min="10242" max="10242" width="32.28515625" style="122" customWidth="1"/>
    <col min="10243" max="10243" width="1.140625" style="122" customWidth="1"/>
    <col min="10244" max="10244" width="16.7109375" style="122" customWidth="1"/>
    <col min="10245" max="10245" width="0.7109375" style="122" customWidth="1"/>
    <col min="10246" max="10496" width="9.140625" style="122"/>
    <col min="10497" max="10497" width="0" style="122" hidden="1" customWidth="1"/>
    <col min="10498" max="10498" width="32.28515625" style="122" customWidth="1"/>
    <col min="10499" max="10499" width="1.140625" style="122" customWidth="1"/>
    <col min="10500" max="10500" width="16.7109375" style="122" customWidth="1"/>
    <col min="10501" max="10501" width="0.7109375" style="122" customWidth="1"/>
    <col min="10502" max="10752" width="9.140625" style="122"/>
    <col min="10753" max="10753" width="0" style="122" hidden="1" customWidth="1"/>
    <col min="10754" max="10754" width="32.28515625" style="122" customWidth="1"/>
    <col min="10755" max="10755" width="1.140625" style="122" customWidth="1"/>
    <col min="10756" max="10756" width="16.7109375" style="122" customWidth="1"/>
    <col min="10757" max="10757" width="0.7109375" style="122" customWidth="1"/>
    <col min="10758" max="11008" width="9.140625" style="122"/>
    <col min="11009" max="11009" width="0" style="122" hidden="1" customWidth="1"/>
    <col min="11010" max="11010" width="32.28515625" style="122" customWidth="1"/>
    <col min="11011" max="11011" width="1.140625" style="122" customWidth="1"/>
    <col min="11012" max="11012" width="16.7109375" style="122" customWidth="1"/>
    <col min="11013" max="11013" width="0.7109375" style="122" customWidth="1"/>
    <col min="11014" max="11264" width="9.140625" style="122"/>
    <col min="11265" max="11265" width="0" style="122" hidden="1" customWidth="1"/>
    <col min="11266" max="11266" width="32.28515625" style="122" customWidth="1"/>
    <col min="11267" max="11267" width="1.140625" style="122" customWidth="1"/>
    <col min="11268" max="11268" width="16.7109375" style="122" customWidth="1"/>
    <col min="11269" max="11269" width="0.7109375" style="122" customWidth="1"/>
    <col min="11270" max="11520" width="9.140625" style="122"/>
    <col min="11521" max="11521" width="0" style="122" hidden="1" customWidth="1"/>
    <col min="11522" max="11522" width="32.28515625" style="122" customWidth="1"/>
    <col min="11523" max="11523" width="1.140625" style="122" customWidth="1"/>
    <col min="11524" max="11524" width="16.7109375" style="122" customWidth="1"/>
    <col min="11525" max="11525" width="0.7109375" style="122" customWidth="1"/>
    <col min="11526" max="11776" width="9.140625" style="122"/>
    <col min="11777" max="11777" width="0" style="122" hidden="1" customWidth="1"/>
    <col min="11778" max="11778" width="32.28515625" style="122" customWidth="1"/>
    <col min="11779" max="11779" width="1.140625" style="122" customWidth="1"/>
    <col min="11780" max="11780" width="16.7109375" style="122" customWidth="1"/>
    <col min="11781" max="11781" width="0.7109375" style="122" customWidth="1"/>
    <col min="11782" max="12032" width="9.140625" style="122"/>
    <col min="12033" max="12033" width="0" style="122" hidden="1" customWidth="1"/>
    <col min="12034" max="12034" width="32.28515625" style="122" customWidth="1"/>
    <col min="12035" max="12035" width="1.140625" style="122" customWidth="1"/>
    <col min="12036" max="12036" width="16.7109375" style="122" customWidth="1"/>
    <col min="12037" max="12037" width="0.7109375" style="122" customWidth="1"/>
    <col min="12038" max="12288" width="9.140625" style="122"/>
    <col min="12289" max="12289" width="0" style="122" hidden="1" customWidth="1"/>
    <col min="12290" max="12290" width="32.28515625" style="122" customWidth="1"/>
    <col min="12291" max="12291" width="1.140625" style="122" customWidth="1"/>
    <col min="12292" max="12292" width="16.7109375" style="122" customWidth="1"/>
    <col min="12293" max="12293" width="0.7109375" style="122" customWidth="1"/>
    <col min="12294" max="12544" width="9.140625" style="122"/>
    <col min="12545" max="12545" width="0" style="122" hidden="1" customWidth="1"/>
    <col min="12546" max="12546" width="32.28515625" style="122" customWidth="1"/>
    <col min="12547" max="12547" width="1.140625" style="122" customWidth="1"/>
    <col min="12548" max="12548" width="16.7109375" style="122" customWidth="1"/>
    <col min="12549" max="12549" width="0.7109375" style="122" customWidth="1"/>
    <col min="12550" max="12800" width="9.140625" style="122"/>
    <col min="12801" max="12801" width="0" style="122" hidden="1" customWidth="1"/>
    <col min="12802" max="12802" width="32.28515625" style="122" customWidth="1"/>
    <col min="12803" max="12803" width="1.140625" style="122" customWidth="1"/>
    <col min="12804" max="12804" width="16.7109375" style="122" customWidth="1"/>
    <col min="12805" max="12805" width="0.7109375" style="122" customWidth="1"/>
    <col min="12806" max="13056" width="9.140625" style="122"/>
    <col min="13057" max="13057" width="0" style="122" hidden="1" customWidth="1"/>
    <col min="13058" max="13058" width="32.28515625" style="122" customWidth="1"/>
    <col min="13059" max="13059" width="1.140625" style="122" customWidth="1"/>
    <col min="13060" max="13060" width="16.7109375" style="122" customWidth="1"/>
    <col min="13061" max="13061" width="0.7109375" style="122" customWidth="1"/>
    <col min="13062" max="13312" width="9.140625" style="122"/>
    <col min="13313" max="13313" width="0" style="122" hidden="1" customWidth="1"/>
    <col min="13314" max="13314" width="32.28515625" style="122" customWidth="1"/>
    <col min="13315" max="13315" width="1.140625" style="122" customWidth="1"/>
    <col min="13316" max="13316" width="16.7109375" style="122" customWidth="1"/>
    <col min="13317" max="13317" width="0.7109375" style="122" customWidth="1"/>
    <col min="13318" max="13568" width="9.140625" style="122"/>
    <col min="13569" max="13569" width="0" style="122" hidden="1" customWidth="1"/>
    <col min="13570" max="13570" width="32.28515625" style="122" customWidth="1"/>
    <col min="13571" max="13571" width="1.140625" style="122" customWidth="1"/>
    <col min="13572" max="13572" width="16.7109375" style="122" customWidth="1"/>
    <col min="13573" max="13573" width="0.7109375" style="122" customWidth="1"/>
    <col min="13574" max="13824" width="9.140625" style="122"/>
    <col min="13825" max="13825" width="0" style="122" hidden="1" customWidth="1"/>
    <col min="13826" max="13826" width="32.28515625" style="122" customWidth="1"/>
    <col min="13827" max="13827" width="1.140625" style="122" customWidth="1"/>
    <col min="13828" max="13828" width="16.7109375" style="122" customWidth="1"/>
    <col min="13829" max="13829" width="0.7109375" style="122" customWidth="1"/>
    <col min="13830" max="14080" width="9.140625" style="122"/>
    <col min="14081" max="14081" width="0" style="122" hidden="1" customWidth="1"/>
    <col min="14082" max="14082" width="32.28515625" style="122" customWidth="1"/>
    <col min="14083" max="14083" width="1.140625" style="122" customWidth="1"/>
    <col min="14084" max="14084" width="16.7109375" style="122" customWidth="1"/>
    <col min="14085" max="14085" width="0.7109375" style="122" customWidth="1"/>
    <col min="14086" max="14336" width="9.140625" style="122"/>
    <col min="14337" max="14337" width="0" style="122" hidden="1" customWidth="1"/>
    <col min="14338" max="14338" width="32.28515625" style="122" customWidth="1"/>
    <col min="14339" max="14339" width="1.140625" style="122" customWidth="1"/>
    <col min="14340" max="14340" width="16.7109375" style="122" customWidth="1"/>
    <col min="14341" max="14341" width="0.7109375" style="122" customWidth="1"/>
    <col min="14342" max="14592" width="9.140625" style="122"/>
    <col min="14593" max="14593" width="0" style="122" hidden="1" customWidth="1"/>
    <col min="14594" max="14594" width="32.28515625" style="122" customWidth="1"/>
    <col min="14595" max="14595" width="1.140625" style="122" customWidth="1"/>
    <col min="14596" max="14596" width="16.7109375" style="122" customWidth="1"/>
    <col min="14597" max="14597" width="0.7109375" style="122" customWidth="1"/>
    <col min="14598" max="14848" width="9.140625" style="122"/>
    <col min="14849" max="14849" width="0" style="122" hidden="1" customWidth="1"/>
    <col min="14850" max="14850" width="32.28515625" style="122" customWidth="1"/>
    <col min="14851" max="14851" width="1.140625" style="122" customWidth="1"/>
    <col min="14852" max="14852" width="16.7109375" style="122" customWidth="1"/>
    <col min="14853" max="14853" width="0.7109375" style="122" customWidth="1"/>
    <col min="14854" max="15104" width="9.140625" style="122"/>
    <col min="15105" max="15105" width="0" style="122" hidden="1" customWidth="1"/>
    <col min="15106" max="15106" width="32.28515625" style="122" customWidth="1"/>
    <col min="15107" max="15107" width="1.140625" style="122" customWidth="1"/>
    <col min="15108" max="15108" width="16.7109375" style="122" customWidth="1"/>
    <col min="15109" max="15109" width="0.7109375" style="122" customWidth="1"/>
    <col min="15110" max="15360" width="9.140625" style="122"/>
    <col min="15361" max="15361" width="0" style="122" hidden="1" customWidth="1"/>
    <col min="15362" max="15362" width="32.28515625" style="122" customWidth="1"/>
    <col min="15363" max="15363" width="1.140625" style="122" customWidth="1"/>
    <col min="15364" max="15364" width="16.7109375" style="122" customWidth="1"/>
    <col min="15365" max="15365" width="0.7109375" style="122" customWidth="1"/>
    <col min="15366" max="15616" width="9.140625" style="122"/>
    <col min="15617" max="15617" width="0" style="122" hidden="1" customWidth="1"/>
    <col min="15618" max="15618" width="32.28515625" style="122" customWidth="1"/>
    <col min="15619" max="15619" width="1.140625" style="122" customWidth="1"/>
    <col min="15620" max="15620" width="16.7109375" style="122" customWidth="1"/>
    <col min="15621" max="15621" width="0.7109375" style="122" customWidth="1"/>
    <col min="15622" max="15872" width="9.140625" style="122"/>
    <col min="15873" max="15873" width="0" style="122" hidden="1" customWidth="1"/>
    <col min="15874" max="15874" width="32.28515625" style="122" customWidth="1"/>
    <col min="15875" max="15875" width="1.140625" style="122" customWidth="1"/>
    <col min="15876" max="15876" width="16.7109375" style="122" customWidth="1"/>
    <col min="15877" max="15877" width="0.7109375" style="122" customWidth="1"/>
    <col min="15878" max="16128" width="9.140625" style="122"/>
    <col min="16129" max="16129" width="0" style="122" hidden="1" customWidth="1"/>
    <col min="16130" max="16130" width="32.28515625" style="122" customWidth="1"/>
    <col min="16131" max="16131" width="1.140625" style="122" customWidth="1"/>
    <col min="16132" max="16132" width="16.7109375" style="122" customWidth="1"/>
    <col min="16133" max="16133" width="0.7109375" style="122" customWidth="1"/>
    <col min="16134" max="16384" width="9.140625" style="122"/>
  </cols>
  <sheetData>
    <row r="1" spans="2:5" hidden="1" outlineLevel="1">
      <c r="B1" s="122" t="s">
        <v>1087</v>
      </c>
      <c r="D1" s="122" t="s">
        <v>383</v>
      </c>
    </row>
    <row r="2" spans="2:5" hidden="1" outlineLevel="1">
      <c r="B2" s="122" t="s">
        <v>218</v>
      </c>
      <c r="D2" s="122" t="s">
        <v>383</v>
      </c>
    </row>
    <row r="3" spans="2:5" hidden="1" outlineLevel="1">
      <c r="B3" s="122" t="s">
        <v>1088</v>
      </c>
      <c r="D3" s="122" t="s">
        <v>383</v>
      </c>
    </row>
    <row r="4" spans="2:5" hidden="1" outlineLevel="1">
      <c r="B4" s="122" t="s">
        <v>1089</v>
      </c>
      <c r="D4" s="122" t="s">
        <v>382</v>
      </c>
    </row>
    <row r="5" spans="2:5" hidden="1" outlineLevel="1">
      <c r="B5" s="122" t="s">
        <v>1090</v>
      </c>
      <c r="D5" s="122" t="s">
        <v>17</v>
      </c>
    </row>
    <row r="6" spans="2:5" hidden="1" outlineLevel="1">
      <c r="B6" s="122" t="s">
        <v>1091</v>
      </c>
      <c r="D6" s="122" t="s">
        <v>379</v>
      </c>
    </row>
    <row r="7" spans="2:5" hidden="1" outlineLevel="1">
      <c r="B7" s="122" t="s">
        <v>1092</v>
      </c>
      <c r="D7" s="318"/>
    </row>
    <row r="8" spans="2:5" hidden="1" outlineLevel="1">
      <c r="B8" s="122" t="s">
        <v>1093</v>
      </c>
      <c r="D8" s="319">
        <v>2014</v>
      </c>
    </row>
    <row r="9" spans="2:5" hidden="1" outlineLevel="1">
      <c r="B9" s="122" t="s">
        <v>1094</v>
      </c>
      <c r="D9" s="319"/>
    </row>
    <row r="10" spans="2:5" hidden="1" outlineLevel="1"/>
    <row r="11" spans="2:5" collapsed="1">
      <c r="B11" s="119" t="s">
        <v>212</v>
      </c>
      <c r="C11" s="119"/>
      <c r="E11" s="119"/>
    </row>
    <row r="12" spans="2:5">
      <c r="B12" s="119" t="s">
        <v>0</v>
      </c>
      <c r="C12" s="119"/>
      <c r="E12" s="119"/>
    </row>
    <row r="13" spans="2:5">
      <c r="B13" s="320" t="s">
        <v>1095</v>
      </c>
      <c r="C13" s="119"/>
      <c r="E13" s="119"/>
    </row>
    <row r="14" spans="2:5">
      <c r="D14" s="321" t="s">
        <v>1096</v>
      </c>
    </row>
    <row r="15" spans="2:5">
      <c r="D15" s="321" t="s">
        <v>377</v>
      </c>
    </row>
    <row r="16" spans="2:5">
      <c r="D16" s="322" t="s">
        <v>1097</v>
      </c>
    </row>
    <row r="17" spans="1:5">
      <c r="D17" s="323"/>
    </row>
    <row r="18" spans="1:5">
      <c r="A18" t="s">
        <v>1098</v>
      </c>
      <c r="B18" s="122" t="s">
        <v>1038</v>
      </c>
      <c r="D18" s="103">
        <v>3375862933.4099998</v>
      </c>
    </row>
    <row r="19" spans="1:5">
      <c r="B19" s="122" t="s">
        <v>1099</v>
      </c>
      <c r="D19" s="103"/>
    </row>
    <row r="20" spans="1:5">
      <c r="A20" t="s">
        <v>1100</v>
      </c>
      <c r="B20" s="122" t="s">
        <v>1101</v>
      </c>
      <c r="D20" s="108">
        <v>1957712009.0799999</v>
      </c>
      <c r="E20" s="324"/>
    </row>
    <row r="21" spans="1:5">
      <c r="A21" t="s">
        <v>1102</v>
      </c>
      <c r="B21" s="122" t="s">
        <v>1103</v>
      </c>
      <c r="D21" s="108">
        <v>474262619.99000001</v>
      </c>
      <c r="E21" s="324"/>
    </row>
    <row r="22" spans="1:5">
      <c r="A22" s="196" t="s">
        <v>1104</v>
      </c>
      <c r="B22" s="122" t="s">
        <v>1105</v>
      </c>
      <c r="D22" s="108">
        <v>393600078.06999999</v>
      </c>
      <c r="E22" s="324"/>
    </row>
    <row r="23" spans="1:5">
      <c r="A23" s="325" t="s">
        <v>1106</v>
      </c>
      <c r="B23" s="122" t="s">
        <v>1107</v>
      </c>
      <c r="D23" s="108">
        <v>70311952.549999997</v>
      </c>
      <c r="E23" s="324"/>
    </row>
    <row r="24" spans="1:5">
      <c r="A24" s="326" t="s">
        <v>1108</v>
      </c>
      <c r="B24" s="122" t="s">
        <v>1109</v>
      </c>
      <c r="D24" s="108">
        <v>28678379.440000001</v>
      </c>
      <c r="E24" s="324"/>
    </row>
    <row r="25" spans="1:5">
      <c r="A25" s="327">
        <v>91005</v>
      </c>
      <c r="B25" s="122" t="s">
        <v>1110</v>
      </c>
      <c r="D25" s="108">
        <v>-999998.23</v>
      </c>
      <c r="E25" s="324"/>
    </row>
    <row r="26" spans="1:5">
      <c r="B26" s="122" t="s">
        <v>1111</v>
      </c>
      <c r="D26" s="324">
        <f>D18-SUM(D20:D25)</f>
        <v>452297892.50999975</v>
      </c>
      <c r="E26" s="324"/>
    </row>
    <row r="27" spans="1:5">
      <c r="D27" s="324"/>
      <c r="E27" s="324"/>
    </row>
    <row r="28" spans="1:5">
      <c r="A28" s="326" t="s">
        <v>321</v>
      </c>
      <c r="B28" s="122" t="s">
        <v>1112</v>
      </c>
      <c r="D28" s="108">
        <v>-386335231.99000001</v>
      </c>
      <c r="E28" s="324"/>
    </row>
    <row r="29" spans="1:5">
      <c r="A29" s="326" t="s">
        <v>324</v>
      </c>
      <c r="B29" s="122" t="s">
        <v>1113</v>
      </c>
      <c r="D29" s="108">
        <v>294228798.06999999</v>
      </c>
      <c r="E29" s="324"/>
    </row>
    <row r="30" spans="1:5">
      <c r="A30" t="s">
        <v>326</v>
      </c>
      <c r="B30" s="122" t="s">
        <v>1114</v>
      </c>
      <c r="D30" s="108">
        <v>53192.23</v>
      </c>
      <c r="E30" s="324"/>
    </row>
    <row r="31" spans="1:5">
      <c r="A31" t="s">
        <v>1115</v>
      </c>
      <c r="B31" s="122" t="s">
        <v>1116</v>
      </c>
      <c r="D31" s="108">
        <v>1120994.08</v>
      </c>
      <c r="E31" s="324"/>
    </row>
    <row r="32" spans="1:5">
      <c r="D32" s="324"/>
      <c r="E32" s="324"/>
    </row>
    <row r="33" spans="1:5">
      <c r="B33" s="122" t="s">
        <v>1117</v>
      </c>
      <c r="D33" s="324">
        <f>SUM(D26:D31)</f>
        <v>361365644.89999974</v>
      </c>
      <c r="E33" s="324"/>
    </row>
    <row r="34" spans="1:5">
      <c r="D34" s="324"/>
      <c r="E34" s="324"/>
    </row>
    <row r="35" spans="1:5">
      <c r="A35" s="326" t="s">
        <v>331</v>
      </c>
      <c r="B35" s="122" t="s">
        <v>1118</v>
      </c>
      <c r="D35" s="108">
        <v>-114044305.34</v>
      </c>
      <c r="E35" s="324"/>
    </row>
    <row r="36" spans="1:5">
      <c r="D36" s="324"/>
      <c r="E36" s="324"/>
    </row>
    <row r="37" spans="1:5">
      <c r="B37" s="122" t="s">
        <v>1119</v>
      </c>
      <c r="D37" s="324">
        <f>SUM(D33:D35)</f>
        <v>247321339.55999973</v>
      </c>
      <c r="E37" s="324"/>
    </row>
    <row r="38" spans="1:5">
      <c r="B38" s="122" t="s">
        <v>1120</v>
      </c>
      <c r="D38" s="324"/>
      <c r="E38" s="324"/>
    </row>
    <row r="39" spans="1:5">
      <c r="A39" s="326" t="s">
        <v>334</v>
      </c>
      <c r="B39" s="122" t="s">
        <v>1121</v>
      </c>
      <c r="D39" s="108">
        <v>-781715.64</v>
      </c>
    </row>
    <row r="40" spans="1:5">
      <c r="D40" s="328"/>
    </row>
    <row r="41" spans="1:5" ht="15.75" thickBot="1">
      <c r="B41" s="122" t="s">
        <v>1122</v>
      </c>
      <c r="D41" s="329">
        <f>SUM(D37:D39)</f>
        <v>246539623.91999975</v>
      </c>
    </row>
    <row r="42" spans="1:5">
      <c r="D42" s="330"/>
    </row>
  </sheetData>
  <pageMargins left="0.7" right="0.7" top="0.75" bottom="0.75" header="0.3" footer="0.3"/>
  <pageSetup orientation="portrait" r:id="rId1"/>
  <headerFooter>
    <oddFooter xml:space="preserve">&amp;L&amp;F - &amp;A
&amp;RPage &amp;P of &amp;N
</oddFooter>
  </headerFooter>
  <colBreaks count="1" manualBreakCount="1">
    <brk id="7" max="47"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
  <sheetViews>
    <sheetView view="pageBreakPreview" topLeftCell="B7" zoomScale="60" zoomScaleNormal="100" workbookViewId="0">
      <selection activeCell="AI26" sqref="AI26"/>
    </sheetView>
  </sheetViews>
  <sheetFormatPr defaultRowHeight="15" outlineLevelRow="1" outlineLevelCol="1"/>
  <cols>
    <col min="1" max="1" width="35" style="95" hidden="1" customWidth="1" outlineLevel="1"/>
    <col min="2" max="2" width="41.28515625" style="95" bestFit="1" customWidth="1" collapsed="1"/>
    <col min="3" max="3" width="17.42578125" style="95" bestFit="1" customWidth="1"/>
    <col min="4" max="4" width="9.140625" style="95"/>
    <col min="5" max="5" width="20.42578125" style="95" bestFit="1" customWidth="1"/>
    <col min="6" max="7" width="10.85546875" style="95" bestFit="1" customWidth="1"/>
    <col min="8" max="13" width="9.140625" style="95"/>
    <col min="14" max="14" width="14.28515625" style="95" bestFit="1" customWidth="1"/>
    <col min="15" max="256" width="9.140625" style="95"/>
    <col min="257" max="257" width="0" style="95" hidden="1" customWidth="1"/>
    <col min="258" max="258" width="41.28515625" style="95" bestFit="1" customWidth="1"/>
    <col min="259" max="259" width="15.7109375" style="95" customWidth="1"/>
    <col min="260" max="260" width="9.140625" style="95"/>
    <col min="261" max="261" width="20.42578125" style="95" bestFit="1" customWidth="1"/>
    <col min="262" max="263" width="10.85546875" style="95" bestFit="1" customWidth="1"/>
    <col min="264" max="512" width="9.140625" style="95"/>
    <col min="513" max="513" width="0" style="95" hidden="1" customWidth="1"/>
    <col min="514" max="514" width="41.28515625" style="95" bestFit="1" customWidth="1"/>
    <col min="515" max="515" width="15.7109375" style="95" customWidth="1"/>
    <col min="516" max="516" width="9.140625" style="95"/>
    <col min="517" max="517" width="20.42578125" style="95" bestFit="1" customWidth="1"/>
    <col min="518" max="519" width="10.85546875" style="95" bestFit="1" customWidth="1"/>
    <col min="520" max="768" width="9.140625" style="95"/>
    <col min="769" max="769" width="0" style="95" hidden="1" customWidth="1"/>
    <col min="770" max="770" width="41.28515625" style="95" bestFit="1" customWidth="1"/>
    <col min="771" max="771" width="15.7109375" style="95" customWidth="1"/>
    <col min="772" max="772" width="9.140625" style="95"/>
    <col min="773" max="773" width="20.42578125" style="95" bestFit="1" customWidth="1"/>
    <col min="774" max="775" width="10.85546875" style="95" bestFit="1" customWidth="1"/>
    <col min="776" max="1024" width="9.140625" style="95"/>
    <col min="1025" max="1025" width="0" style="95" hidden="1" customWidth="1"/>
    <col min="1026" max="1026" width="41.28515625" style="95" bestFit="1" customWidth="1"/>
    <col min="1027" max="1027" width="15.7109375" style="95" customWidth="1"/>
    <col min="1028" max="1028" width="9.140625" style="95"/>
    <col min="1029" max="1029" width="20.42578125" style="95" bestFit="1" customWidth="1"/>
    <col min="1030" max="1031" width="10.85546875" style="95" bestFit="1" customWidth="1"/>
    <col min="1032" max="1280" width="9.140625" style="95"/>
    <col min="1281" max="1281" width="0" style="95" hidden="1" customWidth="1"/>
    <col min="1282" max="1282" width="41.28515625" style="95" bestFit="1" customWidth="1"/>
    <col min="1283" max="1283" width="15.7109375" style="95" customWidth="1"/>
    <col min="1284" max="1284" width="9.140625" style="95"/>
    <col min="1285" max="1285" width="20.42578125" style="95" bestFit="1" customWidth="1"/>
    <col min="1286" max="1287" width="10.85546875" style="95" bestFit="1" customWidth="1"/>
    <col min="1288" max="1536" width="9.140625" style="95"/>
    <col min="1537" max="1537" width="0" style="95" hidden="1" customWidth="1"/>
    <col min="1538" max="1538" width="41.28515625" style="95" bestFit="1" customWidth="1"/>
    <col min="1539" max="1539" width="15.7109375" style="95" customWidth="1"/>
    <col min="1540" max="1540" width="9.140625" style="95"/>
    <col min="1541" max="1541" width="20.42578125" style="95" bestFit="1" customWidth="1"/>
    <col min="1542" max="1543" width="10.85546875" style="95" bestFit="1" customWidth="1"/>
    <col min="1544" max="1792" width="9.140625" style="95"/>
    <col min="1793" max="1793" width="0" style="95" hidden="1" customWidth="1"/>
    <col min="1794" max="1794" width="41.28515625" style="95" bestFit="1" customWidth="1"/>
    <col min="1795" max="1795" width="15.7109375" style="95" customWidth="1"/>
    <col min="1796" max="1796" width="9.140625" style="95"/>
    <col min="1797" max="1797" width="20.42578125" style="95" bestFit="1" customWidth="1"/>
    <col min="1798" max="1799" width="10.85546875" style="95" bestFit="1" customWidth="1"/>
    <col min="1800" max="2048" width="9.140625" style="95"/>
    <col min="2049" max="2049" width="0" style="95" hidden="1" customWidth="1"/>
    <col min="2050" max="2050" width="41.28515625" style="95" bestFit="1" customWidth="1"/>
    <col min="2051" max="2051" width="15.7109375" style="95" customWidth="1"/>
    <col min="2052" max="2052" width="9.140625" style="95"/>
    <col min="2053" max="2053" width="20.42578125" style="95" bestFit="1" customWidth="1"/>
    <col min="2054" max="2055" width="10.85546875" style="95" bestFit="1" customWidth="1"/>
    <col min="2056" max="2304" width="9.140625" style="95"/>
    <col min="2305" max="2305" width="0" style="95" hidden="1" customWidth="1"/>
    <col min="2306" max="2306" width="41.28515625" style="95" bestFit="1" customWidth="1"/>
    <col min="2307" max="2307" width="15.7109375" style="95" customWidth="1"/>
    <col min="2308" max="2308" width="9.140625" style="95"/>
    <col min="2309" max="2309" width="20.42578125" style="95" bestFit="1" customWidth="1"/>
    <col min="2310" max="2311" width="10.85546875" style="95" bestFit="1" customWidth="1"/>
    <col min="2312" max="2560" width="9.140625" style="95"/>
    <col min="2561" max="2561" width="0" style="95" hidden="1" customWidth="1"/>
    <col min="2562" max="2562" width="41.28515625" style="95" bestFit="1" customWidth="1"/>
    <col min="2563" max="2563" width="15.7109375" style="95" customWidth="1"/>
    <col min="2564" max="2564" width="9.140625" style="95"/>
    <col min="2565" max="2565" width="20.42578125" style="95" bestFit="1" customWidth="1"/>
    <col min="2566" max="2567" width="10.85546875" style="95" bestFit="1" customWidth="1"/>
    <col min="2568" max="2816" width="9.140625" style="95"/>
    <col min="2817" max="2817" width="0" style="95" hidden="1" customWidth="1"/>
    <col min="2818" max="2818" width="41.28515625" style="95" bestFit="1" customWidth="1"/>
    <col min="2819" max="2819" width="15.7109375" style="95" customWidth="1"/>
    <col min="2820" max="2820" width="9.140625" style="95"/>
    <col min="2821" max="2821" width="20.42578125" style="95" bestFit="1" customWidth="1"/>
    <col min="2822" max="2823" width="10.85546875" style="95" bestFit="1" customWidth="1"/>
    <col min="2824" max="3072" width="9.140625" style="95"/>
    <col min="3073" max="3073" width="0" style="95" hidden="1" customWidth="1"/>
    <col min="3074" max="3074" width="41.28515625" style="95" bestFit="1" customWidth="1"/>
    <col min="3075" max="3075" width="15.7109375" style="95" customWidth="1"/>
    <col min="3076" max="3076" width="9.140625" style="95"/>
    <col min="3077" max="3077" width="20.42578125" style="95" bestFit="1" customWidth="1"/>
    <col min="3078" max="3079" width="10.85546875" style="95" bestFit="1" customWidth="1"/>
    <col min="3080" max="3328" width="9.140625" style="95"/>
    <col min="3329" max="3329" width="0" style="95" hidden="1" customWidth="1"/>
    <col min="3330" max="3330" width="41.28515625" style="95" bestFit="1" customWidth="1"/>
    <col min="3331" max="3331" width="15.7109375" style="95" customWidth="1"/>
    <col min="3332" max="3332" width="9.140625" style="95"/>
    <col min="3333" max="3333" width="20.42578125" style="95" bestFit="1" customWidth="1"/>
    <col min="3334" max="3335" width="10.85546875" style="95" bestFit="1" customWidth="1"/>
    <col min="3336" max="3584" width="9.140625" style="95"/>
    <col min="3585" max="3585" width="0" style="95" hidden="1" customWidth="1"/>
    <col min="3586" max="3586" width="41.28515625" style="95" bestFit="1" customWidth="1"/>
    <col min="3587" max="3587" width="15.7109375" style="95" customWidth="1"/>
    <col min="3588" max="3588" width="9.140625" style="95"/>
    <col min="3589" max="3589" width="20.42578125" style="95" bestFit="1" customWidth="1"/>
    <col min="3590" max="3591" width="10.85546875" style="95" bestFit="1" customWidth="1"/>
    <col min="3592" max="3840" width="9.140625" style="95"/>
    <col min="3841" max="3841" width="0" style="95" hidden="1" customWidth="1"/>
    <col min="3842" max="3842" width="41.28515625" style="95" bestFit="1" customWidth="1"/>
    <col min="3843" max="3843" width="15.7109375" style="95" customWidth="1"/>
    <col min="3844" max="3844" width="9.140625" style="95"/>
    <col min="3845" max="3845" width="20.42578125" style="95" bestFit="1" customWidth="1"/>
    <col min="3846" max="3847" width="10.85546875" style="95" bestFit="1" customWidth="1"/>
    <col min="3848" max="4096" width="9.140625" style="95"/>
    <col min="4097" max="4097" width="0" style="95" hidden="1" customWidth="1"/>
    <col min="4098" max="4098" width="41.28515625" style="95" bestFit="1" customWidth="1"/>
    <col min="4099" max="4099" width="15.7109375" style="95" customWidth="1"/>
    <col min="4100" max="4100" width="9.140625" style="95"/>
    <col min="4101" max="4101" width="20.42578125" style="95" bestFit="1" customWidth="1"/>
    <col min="4102" max="4103" width="10.85546875" style="95" bestFit="1" customWidth="1"/>
    <col min="4104" max="4352" width="9.140625" style="95"/>
    <col min="4353" max="4353" width="0" style="95" hidden="1" customWidth="1"/>
    <col min="4354" max="4354" width="41.28515625" style="95" bestFit="1" customWidth="1"/>
    <col min="4355" max="4355" width="15.7109375" style="95" customWidth="1"/>
    <col min="4356" max="4356" width="9.140625" style="95"/>
    <col min="4357" max="4357" width="20.42578125" style="95" bestFit="1" customWidth="1"/>
    <col min="4358" max="4359" width="10.85546875" style="95" bestFit="1" customWidth="1"/>
    <col min="4360" max="4608" width="9.140625" style="95"/>
    <col min="4609" max="4609" width="0" style="95" hidden="1" customWidth="1"/>
    <col min="4610" max="4610" width="41.28515625" style="95" bestFit="1" customWidth="1"/>
    <col min="4611" max="4611" width="15.7109375" style="95" customWidth="1"/>
    <col min="4612" max="4612" width="9.140625" style="95"/>
    <col min="4613" max="4613" width="20.42578125" style="95" bestFit="1" customWidth="1"/>
    <col min="4614" max="4615" width="10.85546875" style="95" bestFit="1" customWidth="1"/>
    <col min="4616" max="4864" width="9.140625" style="95"/>
    <col min="4865" max="4865" width="0" style="95" hidden="1" customWidth="1"/>
    <col min="4866" max="4866" width="41.28515625" style="95" bestFit="1" customWidth="1"/>
    <col min="4867" max="4867" width="15.7109375" style="95" customWidth="1"/>
    <col min="4868" max="4868" width="9.140625" style="95"/>
    <col min="4869" max="4869" width="20.42578125" style="95" bestFit="1" customWidth="1"/>
    <col min="4870" max="4871" width="10.85546875" style="95" bestFit="1" customWidth="1"/>
    <col min="4872" max="5120" width="9.140625" style="95"/>
    <col min="5121" max="5121" width="0" style="95" hidden="1" customWidth="1"/>
    <col min="5122" max="5122" width="41.28515625" style="95" bestFit="1" customWidth="1"/>
    <col min="5123" max="5123" width="15.7109375" style="95" customWidth="1"/>
    <col min="5124" max="5124" width="9.140625" style="95"/>
    <col min="5125" max="5125" width="20.42578125" style="95" bestFit="1" customWidth="1"/>
    <col min="5126" max="5127" width="10.85546875" style="95" bestFit="1" customWidth="1"/>
    <col min="5128" max="5376" width="9.140625" style="95"/>
    <col min="5377" max="5377" width="0" style="95" hidden="1" customWidth="1"/>
    <col min="5378" max="5378" width="41.28515625" style="95" bestFit="1" customWidth="1"/>
    <col min="5379" max="5379" width="15.7109375" style="95" customWidth="1"/>
    <col min="5380" max="5380" width="9.140625" style="95"/>
    <col min="5381" max="5381" width="20.42578125" style="95" bestFit="1" customWidth="1"/>
    <col min="5382" max="5383" width="10.85546875" style="95" bestFit="1" customWidth="1"/>
    <col min="5384" max="5632" width="9.140625" style="95"/>
    <col min="5633" max="5633" width="0" style="95" hidden="1" customWidth="1"/>
    <col min="5634" max="5634" width="41.28515625" style="95" bestFit="1" customWidth="1"/>
    <col min="5635" max="5635" width="15.7109375" style="95" customWidth="1"/>
    <col min="5636" max="5636" width="9.140625" style="95"/>
    <col min="5637" max="5637" width="20.42578125" style="95" bestFit="1" customWidth="1"/>
    <col min="5638" max="5639" width="10.85546875" style="95" bestFit="1" customWidth="1"/>
    <col min="5640" max="5888" width="9.140625" style="95"/>
    <col min="5889" max="5889" width="0" style="95" hidden="1" customWidth="1"/>
    <col min="5890" max="5890" width="41.28515625" style="95" bestFit="1" customWidth="1"/>
    <col min="5891" max="5891" width="15.7109375" style="95" customWidth="1"/>
    <col min="5892" max="5892" width="9.140625" style="95"/>
    <col min="5893" max="5893" width="20.42578125" style="95" bestFit="1" customWidth="1"/>
    <col min="5894" max="5895" width="10.85546875" style="95" bestFit="1" customWidth="1"/>
    <col min="5896" max="6144" width="9.140625" style="95"/>
    <col min="6145" max="6145" width="0" style="95" hidden="1" customWidth="1"/>
    <col min="6146" max="6146" width="41.28515625" style="95" bestFit="1" customWidth="1"/>
    <col min="6147" max="6147" width="15.7109375" style="95" customWidth="1"/>
    <col min="6148" max="6148" width="9.140625" style="95"/>
    <col min="6149" max="6149" width="20.42578125" style="95" bestFit="1" customWidth="1"/>
    <col min="6150" max="6151" width="10.85546875" style="95" bestFit="1" customWidth="1"/>
    <col min="6152" max="6400" width="9.140625" style="95"/>
    <col min="6401" max="6401" width="0" style="95" hidden="1" customWidth="1"/>
    <col min="6402" max="6402" width="41.28515625" style="95" bestFit="1" customWidth="1"/>
    <col min="6403" max="6403" width="15.7109375" style="95" customWidth="1"/>
    <col min="6404" max="6404" width="9.140625" style="95"/>
    <col min="6405" max="6405" width="20.42578125" style="95" bestFit="1" customWidth="1"/>
    <col min="6406" max="6407" width="10.85546875" style="95" bestFit="1" customWidth="1"/>
    <col min="6408" max="6656" width="9.140625" style="95"/>
    <col min="6657" max="6657" width="0" style="95" hidden="1" customWidth="1"/>
    <col min="6658" max="6658" width="41.28515625" style="95" bestFit="1" customWidth="1"/>
    <col min="6659" max="6659" width="15.7109375" style="95" customWidth="1"/>
    <col min="6660" max="6660" width="9.140625" style="95"/>
    <col min="6661" max="6661" width="20.42578125" style="95" bestFit="1" customWidth="1"/>
    <col min="6662" max="6663" width="10.85546875" style="95" bestFit="1" customWidth="1"/>
    <col min="6664" max="6912" width="9.140625" style="95"/>
    <col min="6913" max="6913" width="0" style="95" hidden="1" customWidth="1"/>
    <col min="6914" max="6914" width="41.28515625" style="95" bestFit="1" customWidth="1"/>
    <col min="6915" max="6915" width="15.7109375" style="95" customWidth="1"/>
    <col min="6916" max="6916" width="9.140625" style="95"/>
    <col min="6917" max="6917" width="20.42578125" style="95" bestFit="1" customWidth="1"/>
    <col min="6918" max="6919" width="10.85546875" style="95" bestFit="1" customWidth="1"/>
    <col min="6920" max="7168" width="9.140625" style="95"/>
    <col min="7169" max="7169" width="0" style="95" hidden="1" customWidth="1"/>
    <col min="7170" max="7170" width="41.28515625" style="95" bestFit="1" customWidth="1"/>
    <col min="7171" max="7171" width="15.7109375" style="95" customWidth="1"/>
    <col min="7172" max="7172" width="9.140625" style="95"/>
    <col min="7173" max="7173" width="20.42578125" style="95" bestFit="1" customWidth="1"/>
    <col min="7174" max="7175" width="10.85546875" style="95" bestFit="1" customWidth="1"/>
    <col min="7176" max="7424" width="9.140625" style="95"/>
    <col min="7425" max="7425" width="0" style="95" hidden="1" customWidth="1"/>
    <col min="7426" max="7426" width="41.28515625" style="95" bestFit="1" customWidth="1"/>
    <col min="7427" max="7427" width="15.7109375" style="95" customWidth="1"/>
    <col min="7428" max="7428" width="9.140625" style="95"/>
    <col min="7429" max="7429" width="20.42578125" style="95" bestFit="1" customWidth="1"/>
    <col min="7430" max="7431" width="10.85546875" style="95" bestFit="1" customWidth="1"/>
    <col min="7432" max="7680" width="9.140625" style="95"/>
    <col min="7681" max="7681" width="0" style="95" hidden="1" customWidth="1"/>
    <col min="7682" max="7682" width="41.28515625" style="95" bestFit="1" customWidth="1"/>
    <col min="7683" max="7683" width="15.7109375" style="95" customWidth="1"/>
    <col min="7684" max="7684" width="9.140625" style="95"/>
    <col min="7685" max="7685" width="20.42578125" style="95" bestFit="1" customWidth="1"/>
    <col min="7686" max="7687" width="10.85546875" style="95" bestFit="1" customWidth="1"/>
    <col min="7688" max="7936" width="9.140625" style="95"/>
    <col min="7937" max="7937" width="0" style="95" hidden="1" customWidth="1"/>
    <col min="7938" max="7938" width="41.28515625" style="95" bestFit="1" customWidth="1"/>
    <col min="7939" max="7939" width="15.7109375" style="95" customWidth="1"/>
    <col min="7940" max="7940" width="9.140625" style="95"/>
    <col min="7941" max="7941" width="20.42578125" style="95" bestFit="1" customWidth="1"/>
    <col min="7942" max="7943" width="10.85546875" style="95" bestFit="1" customWidth="1"/>
    <col min="7944" max="8192" width="9.140625" style="95"/>
    <col min="8193" max="8193" width="0" style="95" hidden="1" customWidth="1"/>
    <col min="8194" max="8194" width="41.28515625" style="95" bestFit="1" customWidth="1"/>
    <col min="8195" max="8195" width="15.7109375" style="95" customWidth="1"/>
    <col min="8196" max="8196" width="9.140625" style="95"/>
    <col min="8197" max="8197" width="20.42578125" style="95" bestFit="1" customWidth="1"/>
    <col min="8198" max="8199" width="10.85546875" style="95" bestFit="1" customWidth="1"/>
    <col min="8200" max="8448" width="9.140625" style="95"/>
    <col min="8449" max="8449" width="0" style="95" hidden="1" customWidth="1"/>
    <col min="8450" max="8450" width="41.28515625" style="95" bestFit="1" customWidth="1"/>
    <col min="8451" max="8451" width="15.7109375" style="95" customWidth="1"/>
    <col min="8452" max="8452" width="9.140625" style="95"/>
    <col min="8453" max="8453" width="20.42578125" style="95" bestFit="1" customWidth="1"/>
    <col min="8454" max="8455" width="10.85546875" style="95" bestFit="1" customWidth="1"/>
    <col min="8456" max="8704" width="9.140625" style="95"/>
    <col min="8705" max="8705" width="0" style="95" hidden="1" customWidth="1"/>
    <col min="8706" max="8706" width="41.28515625" style="95" bestFit="1" customWidth="1"/>
    <col min="8707" max="8707" width="15.7109375" style="95" customWidth="1"/>
    <col min="8708" max="8708" width="9.140625" style="95"/>
    <col min="8709" max="8709" width="20.42578125" style="95" bestFit="1" customWidth="1"/>
    <col min="8710" max="8711" width="10.85546875" style="95" bestFit="1" customWidth="1"/>
    <col min="8712" max="8960" width="9.140625" style="95"/>
    <col min="8961" max="8961" width="0" style="95" hidden="1" customWidth="1"/>
    <col min="8962" max="8962" width="41.28515625" style="95" bestFit="1" customWidth="1"/>
    <col min="8963" max="8963" width="15.7109375" style="95" customWidth="1"/>
    <col min="8964" max="8964" width="9.140625" style="95"/>
    <col min="8965" max="8965" width="20.42578125" style="95" bestFit="1" customWidth="1"/>
    <col min="8966" max="8967" width="10.85546875" style="95" bestFit="1" customWidth="1"/>
    <col min="8968" max="9216" width="9.140625" style="95"/>
    <col min="9217" max="9217" width="0" style="95" hidden="1" customWidth="1"/>
    <col min="9218" max="9218" width="41.28515625" style="95" bestFit="1" customWidth="1"/>
    <col min="9219" max="9219" width="15.7109375" style="95" customWidth="1"/>
    <col min="9220" max="9220" width="9.140625" style="95"/>
    <col min="9221" max="9221" width="20.42578125" style="95" bestFit="1" customWidth="1"/>
    <col min="9222" max="9223" width="10.85546875" style="95" bestFit="1" customWidth="1"/>
    <col min="9224" max="9472" width="9.140625" style="95"/>
    <col min="9473" max="9473" width="0" style="95" hidden="1" customWidth="1"/>
    <col min="9474" max="9474" width="41.28515625" style="95" bestFit="1" customWidth="1"/>
    <col min="9475" max="9475" width="15.7109375" style="95" customWidth="1"/>
    <col min="9476" max="9476" width="9.140625" style="95"/>
    <col min="9477" max="9477" width="20.42578125" style="95" bestFit="1" customWidth="1"/>
    <col min="9478" max="9479" width="10.85546875" style="95" bestFit="1" customWidth="1"/>
    <col min="9480" max="9728" width="9.140625" style="95"/>
    <col min="9729" max="9729" width="0" style="95" hidden="1" customWidth="1"/>
    <col min="9730" max="9730" width="41.28515625" style="95" bestFit="1" customWidth="1"/>
    <col min="9731" max="9731" width="15.7109375" style="95" customWidth="1"/>
    <col min="9732" max="9732" width="9.140625" style="95"/>
    <col min="9733" max="9733" width="20.42578125" style="95" bestFit="1" customWidth="1"/>
    <col min="9734" max="9735" width="10.85546875" style="95" bestFit="1" customWidth="1"/>
    <col min="9736" max="9984" width="9.140625" style="95"/>
    <col min="9985" max="9985" width="0" style="95" hidden="1" customWidth="1"/>
    <col min="9986" max="9986" width="41.28515625" style="95" bestFit="1" customWidth="1"/>
    <col min="9987" max="9987" width="15.7109375" style="95" customWidth="1"/>
    <col min="9988" max="9988" width="9.140625" style="95"/>
    <col min="9989" max="9989" width="20.42578125" style="95" bestFit="1" customWidth="1"/>
    <col min="9990" max="9991" width="10.85546875" style="95" bestFit="1" customWidth="1"/>
    <col min="9992" max="10240" width="9.140625" style="95"/>
    <col min="10241" max="10241" width="0" style="95" hidden="1" customWidth="1"/>
    <col min="10242" max="10242" width="41.28515625" style="95" bestFit="1" customWidth="1"/>
    <col min="10243" max="10243" width="15.7109375" style="95" customWidth="1"/>
    <col min="10244" max="10244" width="9.140625" style="95"/>
    <col min="10245" max="10245" width="20.42578125" style="95" bestFit="1" customWidth="1"/>
    <col min="10246" max="10247" width="10.85546875" style="95" bestFit="1" customWidth="1"/>
    <col min="10248" max="10496" width="9.140625" style="95"/>
    <col min="10497" max="10497" width="0" style="95" hidden="1" customWidth="1"/>
    <col min="10498" max="10498" width="41.28515625" style="95" bestFit="1" customWidth="1"/>
    <col min="10499" max="10499" width="15.7109375" style="95" customWidth="1"/>
    <col min="10500" max="10500" width="9.140625" style="95"/>
    <col min="10501" max="10501" width="20.42578125" style="95" bestFit="1" customWidth="1"/>
    <col min="10502" max="10503" width="10.85546875" style="95" bestFit="1" customWidth="1"/>
    <col min="10504" max="10752" width="9.140625" style="95"/>
    <col min="10753" max="10753" width="0" style="95" hidden="1" customWidth="1"/>
    <col min="10754" max="10754" width="41.28515625" style="95" bestFit="1" customWidth="1"/>
    <col min="10755" max="10755" width="15.7109375" style="95" customWidth="1"/>
    <col min="10756" max="10756" width="9.140625" style="95"/>
    <col min="10757" max="10757" width="20.42578125" style="95" bestFit="1" customWidth="1"/>
    <col min="10758" max="10759" width="10.85546875" style="95" bestFit="1" customWidth="1"/>
    <col min="10760" max="11008" width="9.140625" style="95"/>
    <col min="11009" max="11009" width="0" style="95" hidden="1" customWidth="1"/>
    <col min="11010" max="11010" width="41.28515625" style="95" bestFit="1" customWidth="1"/>
    <col min="11011" max="11011" width="15.7109375" style="95" customWidth="1"/>
    <col min="11012" max="11012" width="9.140625" style="95"/>
    <col min="11013" max="11013" width="20.42578125" style="95" bestFit="1" customWidth="1"/>
    <col min="11014" max="11015" width="10.85546875" style="95" bestFit="1" customWidth="1"/>
    <col min="11016" max="11264" width="9.140625" style="95"/>
    <col min="11265" max="11265" width="0" style="95" hidden="1" customWidth="1"/>
    <col min="11266" max="11266" width="41.28515625" style="95" bestFit="1" customWidth="1"/>
    <col min="11267" max="11267" width="15.7109375" style="95" customWidth="1"/>
    <col min="11268" max="11268" width="9.140625" style="95"/>
    <col min="11269" max="11269" width="20.42578125" style="95" bestFit="1" customWidth="1"/>
    <col min="11270" max="11271" width="10.85546875" style="95" bestFit="1" customWidth="1"/>
    <col min="11272" max="11520" width="9.140625" style="95"/>
    <col min="11521" max="11521" width="0" style="95" hidden="1" customWidth="1"/>
    <col min="11522" max="11522" width="41.28515625" style="95" bestFit="1" customWidth="1"/>
    <col min="11523" max="11523" width="15.7109375" style="95" customWidth="1"/>
    <col min="11524" max="11524" width="9.140625" style="95"/>
    <col min="11525" max="11525" width="20.42578125" style="95" bestFit="1" customWidth="1"/>
    <col min="11526" max="11527" width="10.85546875" style="95" bestFit="1" customWidth="1"/>
    <col min="11528" max="11776" width="9.140625" style="95"/>
    <col min="11777" max="11777" width="0" style="95" hidden="1" customWidth="1"/>
    <col min="11778" max="11778" width="41.28515625" style="95" bestFit="1" customWidth="1"/>
    <col min="11779" max="11779" width="15.7109375" style="95" customWidth="1"/>
    <col min="11780" max="11780" width="9.140625" style="95"/>
    <col min="11781" max="11781" width="20.42578125" style="95" bestFit="1" customWidth="1"/>
    <col min="11782" max="11783" width="10.85546875" style="95" bestFit="1" customWidth="1"/>
    <col min="11784" max="12032" width="9.140625" style="95"/>
    <col min="12033" max="12033" width="0" style="95" hidden="1" customWidth="1"/>
    <col min="12034" max="12034" width="41.28515625" style="95" bestFit="1" customWidth="1"/>
    <col min="12035" max="12035" width="15.7109375" style="95" customWidth="1"/>
    <col min="12036" max="12036" width="9.140625" style="95"/>
    <col min="12037" max="12037" width="20.42578125" style="95" bestFit="1" customWidth="1"/>
    <col min="12038" max="12039" width="10.85546875" style="95" bestFit="1" customWidth="1"/>
    <col min="12040" max="12288" width="9.140625" style="95"/>
    <col min="12289" max="12289" width="0" style="95" hidden="1" customWidth="1"/>
    <col min="12290" max="12290" width="41.28515625" style="95" bestFit="1" customWidth="1"/>
    <col min="12291" max="12291" width="15.7109375" style="95" customWidth="1"/>
    <col min="12292" max="12292" width="9.140625" style="95"/>
    <col min="12293" max="12293" width="20.42578125" style="95" bestFit="1" customWidth="1"/>
    <col min="12294" max="12295" width="10.85546875" style="95" bestFit="1" customWidth="1"/>
    <col min="12296" max="12544" width="9.140625" style="95"/>
    <col min="12545" max="12545" width="0" style="95" hidden="1" customWidth="1"/>
    <col min="12546" max="12546" width="41.28515625" style="95" bestFit="1" customWidth="1"/>
    <col min="12547" max="12547" width="15.7109375" style="95" customWidth="1"/>
    <col min="12548" max="12548" width="9.140625" style="95"/>
    <col min="12549" max="12549" width="20.42578125" style="95" bestFit="1" customWidth="1"/>
    <col min="12550" max="12551" width="10.85546875" style="95" bestFit="1" customWidth="1"/>
    <col min="12552" max="12800" width="9.140625" style="95"/>
    <col min="12801" max="12801" width="0" style="95" hidden="1" customWidth="1"/>
    <col min="12802" max="12802" width="41.28515625" style="95" bestFit="1" customWidth="1"/>
    <col min="12803" max="12803" width="15.7109375" style="95" customWidth="1"/>
    <col min="12804" max="12804" width="9.140625" style="95"/>
    <col min="12805" max="12805" width="20.42578125" style="95" bestFit="1" customWidth="1"/>
    <col min="12806" max="12807" width="10.85546875" style="95" bestFit="1" customWidth="1"/>
    <col min="12808" max="13056" width="9.140625" style="95"/>
    <col min="13057" max="13057" width="0" style="95" hidden="1" customWidth="1"/>
    <col min="13058" max="13058" width="41.28515625" style="95" bestFit="1" customWidth="1"/>
    <col min="13059" max="13059" width="15.7109375" style="95" customWidth="1"/>
    <col min="13060" max="13060" width="9.140625" style="95"/>
    <col min="13061" max="13061" width="20.42578125" style="95" bestFit="1" customWidth="1"/>
    <col min="13062" max="13063" width="10.85546875" style="95" bestFit="1" customWidth="1"/>
    <col min="13064" max="13312" width="9.140625" style="95"/>
    <col min="13313" max="13313" width="0" style="95" hidden="1" customWidth="1"/>
    <col min="13314" max="13314" width="41.28515625" style="95" bestFit="1" customWidth="1"/>
    <col min="13315" max="13315" width="15.7109375" style="95" customWidth="1"/>
    <col min="13316" max="13316" width="9.140625" style="95"/>
    <col min="13317" max="13317" width="20.42578125" style="95" bestFit="1" customWidth="1"/>
    <col min="13318" max="13319" width="10.85546875" style="95" bestFit="1" customWidth="1"/>
    <col min="13320" max="13568" width="9.140625" style="95"/>
    <col min="13569" max="13569" width="0" style="95" hidden="1" customWidth="1"/>
    <col min="13570" max="13570" width="41.28515625" style="95" bestFit="1" customWidth="1"/>
    <col min="13571" max="13571" width="15.7109375" style="95" customWidth="1"/>
    <col min="13572" max="13572" width="9.140625" style="95"/>
    <col min="13573" max="13573" width="20.42578125" style="95" bestFit="1" customWidth="1"/>
    <col min="13574" max="13575" width="10.85546875" style="95" bestFit="1" customWidth="1"/>
    <col min="13576" max="13824" width="9.140625" style="95"/>
    <col min="13825" max="13825" width="0" style="95" hidden="1" customWidth="1"/>
    <col min="13826" max="13826" width="41.28515625" style="95" bestFit="1" customWidth="1"/>
    <col min="13827" max="13827" width="15.7109375" style="95" customWidth="1"/>
    <col min="13828" max="13828" width="9.140625" style="95"/>
    <col min="13829" max="13829" width="20.42578125" style="95" bestFit="1" customWidth="1"/>
    <col min="13830" max="13831" width="10.85546875" style="95" bestFit="1" customWidth="1"/>
    <col min="13832" max="14080" width="9.140625" style="95"/>
    <col min="14081" max="14081" width="0" style="95" hidden="1" customWidth="1"/>
    <col min="14082" max="14082" width="41.28515625" style="95" bestFit="1" customWidth="1"/>
    <col min="14083" max="14083" width="15.7109375" style="95" customWidth="1"/>
    <col min="14084" max="14084" width="9.140625" style="95"/>
    <col min="14085" max="14085" width="20.42578125" style="95" bestFit="1" customWidth="1"/>
    <col min="14086" max="14087" width="10.85546875" style="95" bestFit="1" customWidth="1"/>
    <col min="14088" max="14336" width="9.140625" style="95"/>
    <col min="14337" max="14337" width="0" style="95" hidden="1" customWidth="1"/>
    <col min="14338" max="14338" width="41.28515625" style="95" bestFit="1" customWidth="1"/>
    <col min="14339" max="14339" width="15.7109375" style="95" customWidth="1"/>
    <col min="14340" max="14340" width="9.140625" style="95"/>
    <col min="14341" max="14341" width="20.42578125" style="95" bestFit="1" customWidth="1"/>
    <col min="14342" max="14343" width="10.85546875" style="95" bestFit="1" customWidth="1"/>
    <col min="14344" max="14592" width="9.140625" style="95"/>
    <col min="14593" max="14593" width="0" style="95" hidden="1" customWidth="1"/>
    <col min="14594" max="14594" width="41.28515625" style="95" bestFit="1" customWidth="1"/>
    <col min="14595" max="14595" width="15.7109375" style="95" customWidth="1"/>
    <col min="14596" max="14596" width="9.140625" style="95"/>
    <col min="14597" max="14597" width="20.42578125" style="95" bestFit="1" customWidth="1"/>
    <col min="14598" max="14599" width="10.85546875" style="95" bestFit="1" customWidth="1"/>
    <col min="14600" max="14848" width="9.140625" style="95"/>
    <col min="14849" max="14849" width="0" style="95" hidden="1" customWidth="1"/>
    <col min="14850" max="14850" width="41.28515625" style="95" bestFit="1" customWidth="1"/>
    <col min="14851" max="14851" width="15.7109375" style="95" customWidth="1"/>
    <col min="14852" max="14852" width="9.140625" style="95"/>
    <col min="14853" max="14853" width="20.42578125" style="95" bestFit="1" customWidth="1"/>
    <col min="14854" max="14855" width="10.85546875" style="95" bestFit="1" customWidth="1"/>
    <col min="14856" max="15104" width="9.140625" style="95"/>
    <col min="15105" max="15105" width="0" style="95" hidden="1" customWidth="1"/>
    <col min="15106" max="15106" width="41.28515625" style="95" bestFit="1" customWidth="1"/>
    <col min="15107" max="15107" width="15.7109375" style="95" customWidth="1"/>
    <col min="15108" max="15108" width="9.140625" style="95"/>
    <col min="15109" max="15109" width="20.42578125" style="95" bestFit="1" customWidth="1"/>
    <col min="15110" max="15111" width="10.85546875" style="95" bestFit="1" customWidth="1"/>
    <col min="15112" max="15360" width="9.140625" style="95"/>
    <col min="15361" max="15361" width="0" style="95" hidden="1" customWidth="1"/>
    <col min="15362" max="15362" width="41.28515625" style="95" bestFit="1" customWidth="1"/>
    <col min="15363" max="15363" width="15.7109375" style="95" customWidth="1"/>
    <col min="15364" max="15364" width="9.140625" style="95"/>
    <col min="15365" max="15365" width="20.42578125" style="95" bestFit="1" customWidth="1"/>
    <col min="15366" max="15367" width="10.85546875" style="95" bestFit="1" customWidth="1"/>
    <col min="15368" max="15616" width="9.140625" style="95"/>
    <col min="15617" max="15617" width="0" style="95" hidden="1" customWidth="1"/>
    <col min="15618" max="15618" width="41.28515625" style="95" bestFit="1" customWidth="1"/>
    <col min="15619" max="15619" width="15.7109375" style="95" customWidth="1"/>
    <col min="15620" max="15620" width="9.140625" style="95"/>
    <col min="15621" max="15621" width="20.42578125" style="95" bestFit="1" customWidth="1"/>
    <col min="15622" max="15623" width="10.85546875" style="95" bestFit="1" customWidth="1"/>
    <col min="15624" max="15872" width="9.140625" style="95"/>
    <col min="15873" max="15873" width="0" style="95" hidden="1" customWidth="1"/>
    <col min="15874" max="15874" width="41.28515625" style="95" bestFit="1" customWidth="1"/>
    <col min="15875" max="15875" width="15.7109375" style="95" customWidth="1"/>
    <col min="15876" max="15876" width="9.140625" style="95"/>
    <col min="15877" max="15877" width="20.42578125" style="95" bestFit="1" customWidth="1"/>
    <col min="15878" max="15879" width="10.85546875" style="95" bestFit="1" customWidth="1"/>
    <col min="15880" max="16128" width="9.140625" style="95"/>
    <col min="16129" max="16129" width="0" style="95" hidden="1" customWidth="1"/>
    <col min="16130" max="16130" width="41.28515625" style="95" bestFit="1" customWidth="1"/>
    <col min="16131" max="16131" width="15.7109375" style="95" customWidth="1"/>
    <col min="16132" max="16132" width="9.140625" style="95"/>
    <col min="16133" max="16133" width="20.42578125" style="95" bestFit="1" customWidth="1"/>
    <col min="16134" max="16135" width="10.85546875" style="95" bestFit="1" customWidth="1"/>
    <col min="16136" max="16384" width="9.140625" style="95"/>
  </cols>
  <sheetData>
    <row r="1" spans="1:7" hidden="1" outlineLevel="1">
      <c r="B1" s="122" t="s">
        <v>1123</v>
      </c>
      <c r="C1" s="331" t="s">
        <v>383</v>
      </c>
      <c r="D1"/>
      <c r="E1"/>
    </row>
    <row r="2" spans="1:7" hidden="1" outlineLevel="1">
      <c r="B2" s="122" t="s">
        <v>218</v>
      </c>
      <c r="C2" s="331" t="s">
        <v>383</v>
      </c>
      <c r="D2"/>
      <c r="E2"/>
    </row>
    <row r="3" spans="1:7" hidden="1" outlineLevel="1">
      <c r="B3" s="122" t="s">
        <v>1088</v>
      </c>
      <c r="C3" s="331" t="s">
        <v>383</v>
      </c>
      <c r="D3"/>
      <c r="E3"/>
    </row>
    <row r="4" spans="1:7" hidden="1" outlineLevel="1">
      <c r="B4" s="122" t="s">
        <v>1089</v>
      </c>
      <c r="C4" s="331" t="s">
        <v>382</v>
      </c>
      <c r="D4"/>
      <c r="E4"/>
    </row>
    <row r="5" spans="1:7" hidden="1" outlineLevel="1">
      <c r="B5" s="122" t="s">
        <v>1090</v>
      </c>
      <c r="C5" s="331" t="s">
        <v>17</v>
      </c>
      <c r="D5"/>
      <c r="E5"/>
    </row>
    <row r="6" spans="1:7" hidden="1" outlineLevel="1"/>
    <row r="7" spans="1:7" collapsed="1">
      <c r="B7" s="119" t="s">
        <v>212</v>
      </c>
      <c r="C7" s="121"/>
    </row>
    <row r="8" spans="1:7">
      <c r="B8" s="119" t="s">
        <v>1124</v>
      </c>
    </row>
    <row r="9" spans="1:7">
      <c r="B9" s="320" t="s">
        <v>1095</v>
      </c>
      <c r="C9" s="332"/>
      <c r="E9"/>
      <c r="F9"/>
      <c r="G9"/>
    </row>
    <row r="10" spans="1:7">
      <c r="A10" s="116"/>
      <c r="B10" s="333"/>
      <c r="C10" s="117" t="s">
        <v>1125</v>
      </c>
    </row>
    <row r="11" spans="1:7" ht="15.75" thickBot="1">
      <c r="A11" s="116"/>
      <c r="B11" s="334"/>
      <c r="C11" s="335" t="s">
        <v>356</v>
      </c>
    </row>
    <row r="12" spans="1:7" ht="15.75" thickBot="1">
      <c r="A12" s="116"/>
      <c r="B12" s="336" t="s">
        <v>1126</v>
      </c>
      <c r="C12" s="333"/>
    </row>
    <row r="13" spans="1:7">
      <c r="A13" s="116"/>
      <c r="B13" s="333"/>
      <c r="C13" s="333"/>
    </row>
    <row r="14" spans="1:7">
      <c r="A14" s="116"/>
      <c r="B14" s="333" t="s">
        <v>1127</v>
      </c>
      <c r="C14" s="333"/>
    </row>
    <row r="15" spans="1:7">
      <c r="A15" s="122" t="s">
        <v>1128</v>
      </c>
      <c r="B15" s="337" t="s">
        <v>1129</v>
      </c>
      <c r="C15" s="103">
        <v>154423879.43000001</v>
      </c>
    </row>
    <row r="16" spans="1:7">
      <c r="A16" s="122" t="s">
        <v>1130</v>
      </c>
      <c r="B16" s="337" t="s">
        <v>1131</v>
      </c>
      <c r="C16" s="108">
        <v>490864037.73000002</v>
      </c>
    </row>
    <row r="17" spans="1:5">
      <c r="A17" s="122" t="s">
        <v>1132</v>
      </c>
      <c r="B17" s="337" t="s">
        <v>1133</v>
      </c>
      <c r="C17" s="108">
        <v>89177152</v>
      </c>
    </row>
    <row r="18" spans="1:5">
      <c r="A18" s="122" t="s">
        <v>1134</v>
      </c>
      <c r="B18" s="337" t="s">
        <v>1135</v>
      </c>
      <c r="C18" s="108">
        <v>24757952.510000002</v>
      </c>
    </row>
    <row r="19" spans="1:5">
      <c r="A19" s="122" t="s">
        <v>1136</v>
      </c>
      <c r="B19" s="337" t="s">
        <v>1137</v>
      </c>
      <c r="C19" s="338">
        <f>243533031.61-170187391</f>
        <v>73345640.610000014</v>
      </c>
    </row>
    <row r="20" spans="1:5" ht="15.75" thickBot="1">
      <c r="A20" s="116"/>
      <c r="B20" s="339" t="s">
        <v>1138</v>
      </c>
      <c r="C20" s="340">
        <f>SUM(C15:C19)</f>
        <v>832568662.28000009</v>
      </c>
    </row>
    <row r="21" spans="1:5">
      <c r="A21" s="122"/>
      <c r="B21" s="333"/>
      <c r="C21" s="341"/>
    </row>
    <row r="22" spans="1:5">
      <c r="A22" s="122" t="s">
        <v>1139</v>
      </c>
      <c r="B22" s="342" t="s">
        <v>1140</v>
      </c>
      <c r="C22" s="111">
        <v>4771678340.5100002</v>
      </c>
    </row>
    <row r="23" spans="1:5">
      <c r="A23" s="122" t="s">
        <v>1141</v>
      </c>
      <c r="B23" s="342" t="s">
        <v>1142</v>
      </c>
      <c r="C23" s="111">
        <v>4400314962.8500004</v>
      </c>
    </row>
    <row r="24" spans="1:5">
      <c r="A24" s="122" t="s">
        <v>1143</v>
      </c>
      <c r="B24" s="342" t="s">
        <v>1144</v>
      </c>
      <c r="C24" s="111">
        <v>1072251703.91</v>
      </c>
    </row>
    <row r="25" spans="1:5">
      <c r="A25" s="343" t="s">
        <v>1145</v>
      </c>
      <c r="B25" s="342" t="s">
        <v>1146</v>
      </c>
      <c r="C25" s="111">
        <v>63406246.299999997</v>
      </c>
    </row>
    <row r="26" spans="1:5">
      <c r="A26" s="343" t="s">
        <v>1147</v>
      </c>
      <c r="B26" s="342" t="s">
        <v>1148</v>
      </c>
      <c r="C26" s="111">
        <f>6601433179.07-6548551120</f>
        <v>52882059.069999695</v>
      </c>
    </row>
    <row r="27" spans="1:5">
      <c r="A27" s="343" t="s">
        <v>1149</v>
      </c>
      <c r="B27" s="342" t="s">
        <v>1150</v>
      </c>
      <c r="C27" s="338">
        <v>0</v>
      </c>
    </row>
    <row r="28" spans="1:5">
      <c r="A28" s="122"/>
      <c r="B28" s="334"/>
      <c r="C28" s="341"/>
    </row>
    <row r="29" spans="1:5" ht="15.75" thickBot="1">
      <c r="A29" s="122"/>
      <c r="B29" s="337"/>
      <c r="C29" s="340">
        <f>SUM(C20:C27)</f>
        <v>11193101974.919998</v>
      </c>
      <c r="E29" s="101"/>
    </row>
    <row r="30" spans="1:5" ht="15.75" thickBot="1">
      <c r="A30" s="122"/>
      <c r="B30" s="333"/>
      <c r="C30" s="341"/>
    </row>
    <row r="31" spans="1:5" ht="15.75" thickBot="1">
      <c r="A31" s="343"/>
      <c r="B31" s="336" t="s">
        <v>1151</v>
      </c>
      <c r="C31" s="333"/>
    </row>
    <row r="32" spans="1:5">
      <c r="A32" s="343"/>
      <c r="B32" s="333"/>
      <c r="C32" s="333"/>
    </row>
    <row r="33" spans="1:3">
      <c r="A33" s="343"/>
      <c r="B33" s="342" t="s">
        <v>1152</v>
      </c>
      <c r="C33" s="333"/>
    </row>
    <row r="34" spans="1:3">
      <c r="A34" s="343" t="s">
        <v>1153</v>
      </c>
      <c r="B34" s="339" t="s">
        <v>1154</v>
      </c>
      <c r="C34" s="103">
        <v>252572428.78</v>
      </c>
    </row>
    <row r="35" spans="1:3">
      <c r="A35" s="344" t="s">
        <v>1155</v>
      </c>
      <c r="B35" s="339" t="s">
        <v>1156</v>
      </c>
      <c r="C35" s="108">
        <v>10955646.539999999</v>
      </c>
    </row>
    <row r="36" spans="1:3">
      <c r="A36" s="343" t="s">
        <v>1157</v>
      </c>
      <c r="B36" s="339" t="s">
        <v>1158</v>
      </c>
      <c r="C36" s="108">
        <f>441400627.7-170187391</f>
        <v>271213236.69999999</v>
      </c>
    </row>
    <row r="37" spans="1:3">
      <c r="A37" s="345" t="s">
        <v>1159</v>
      </c>
      <c r="B37" s="339" t="s">
        <v>1160</v>
      </c>
      <c r="C37" s="108">
        <v>21452869.300000001</v>
      </c>
    </row>
    <row r="38" spans="1:3">
      <c r="A38" s="344" t="s">
        <v>1161</v>
      </c>
      <c r="B38" s="339" t="s">
        <v>1162</v>
      </c>
      <c r="C38" s="108">
        <v>134332635.94999999</v>
      </c>
    </row>
    <row r="39" spans="1:3">
      <c r="A39" s="344" t="s">
        <v>1163</v>
      </c>
      <c r="B39" s="339" t="s">
        <v>1164</v>
      </c>
      <c r="C39" s="338">
        <v>1650261.87</v>
      </c>
    </row>
    <row r="40" spans="1:3">
      <c r="A40" s="344"/>
      <c r="B40" s="346" t="s">
        <v>1165</v>
      </c>
      <c r="C40" s="334">
        <f>SUM(C34:C39)</f>
        <v>692177079.13999999</v>
      </c>
    </row>
    <row r="41" spans="1:3">
      <c r="A41" s="344"/>
      <c r="B41" s="342"/>
      <c r="C41" s="347"/>
    </row>
    <row r="42" spans="1:3">
      <c r="A42" s="343" t="s">
        <v>1166</v>
      </c>
      <c r="B42" s="342" t="s">
        <v>1167</v>
      </c>
      <c r="C42" s="108">
        <f>10165311040.58-6548551120</f>
        <v>3616759920.5799999</v>
      </c>
    </row>
    <row r="43" spans="1:3">
      <c r="A43" s="345" t="s">
        <v>1168</v>
      </c>
      <c r="B43" s="342" t="s">
        <v>1169</v>
      </c>
      <c r="C43" s="108">
        <v>30373383.73</v>
      </c>
    </row>
    <row r="44" spans="1:3">
      <c r="A44" s="344" t="s">
        <v>1170</v>
      </c>
      <c r="B44" s="342" t="s">
        <v>1171</v>
      </c>
      <c r="C44" s="108">
        <v>867840568.61000001</v>
      </c>
    </row>
    <row r="45" spans="1:3">
      <c r="A45" s="344" t="s">
        <v>1172</v>
      </c>
      <c r="B45" s="342" t="s">
        <v>1173</v>
      </c>
      <c r="C45" s="338">
        <v>331074148.98000002</v>
      </c>
    </row>
    <row r="46" spans="1:3">
      <c r="A46" s="343"/>
      <c r="B46" s="337" t="s">
        <v>1174</v>
      </c>
      <c r="C46" s="348">
        <f>SUM(C40:C45)</f>
        <v>5538225101.039999</v>
      </c>
    </row>
    <row r="47" spans="1:3">
      <c r="A47" s="343"/>
      <c r="B47" s="333"/>
      <c r="C47" s="333"/>
    </row>
    <row r="48" spans="1:3">
      <c r="A48" s="344"/>
      <c r="B48" s="349" t="s">
        <v>1175</v>
      </c>
      <c r="C48" s="333"/>
    </row>
    <row r="49" spans="1:5">
      <c r="A49" s="344" t="s">
        <v>1176</v>
      </c>
      <c r="B49" s="337" t="s">
        <v>1177</v>
      </c>
      <c r="C49" s="108">
        <v>4187864080.79</v>
      </c>
    </row>
    <row r="50" spans="1:5">
      <c r="A50" s="344" t="s">
        <v>1178</v>
      </c>
      <c r="B50" s="337" t="s">
        <v>1179</v>
      </c>
      <c r="C50" s="108">
        <v>102220472.51000001</v>
      </c>
    </row>
    <row r="51" spans="1:5">
      <c r="A51" s="344" t="s">
        <v>1180</v>
      </c>
      <c r="B51" s="337" t="s">
        <v>1181</v>
      </c>
      <c r="C51" s="108">
        <v>0</v>
      </c>
    </row>
    <row r="52" spans="1:5">
      <c r="A52" s="344" t="s">
        <v>1182</v>
      </c>
      <c r="B52" s="337" t="s">
        <v>1183</v>
      </c>
      <c r="C52" s="108">
        <v>0</v>
      </c>
    </row>
    <row r="53" spans="1:5">
      <c r="A53" s="344" t="s">
        <v>1184</v>
      </c>
      <c r="B53" s="337" t="s">
        <v>1185</v>
      </c>
      <c r="C53" s="108">
        <v>-13055938.08</v>
      </c>
      <c r="E53" s="350"/>
    </row>
    <row r="54" spans="1:5">
      <c r="A54" s="351" t="s">
        <v>1186</v>
      </c>
      <c r="B54" s="337" t="s">
        <v>1187</v>
      </c>
      <c r="C54" s="108">
        <v>-50930986.109999999</v>
      </c>
    </row>
    <row r="55" spans="1:5">
      <c r="A55" s="351" t="s">
        <v>1188</v>
      </c>
      <c r="B55" s="337" t="s">
        <v>1189</v>
      </c>
      <c r="C55" s="108">
        <v>1413487582.53</v>
      </c>
    </row>
    <row r="56" spans="1:5">
      <c r="A56" s="351" t="s">
        <v>1190</v>
      </c>
      <c r="B56" s="337" t="s">
        <v>1191</v>
      </c>
      <c r="C56" s="338">
        <v>7929741.6200000001</v>
      </c>
    </row>
    <row r="57" spans="1:5">
      <c r="A57" s="343"/>
      <c r="B57" s="339" t="s">
        <v>1192</v>
      </c>
      <c r="C57" s="111">
        <f>SUM(C49:C56)</f>
        <v>5647514953.2600002</v>
      </c>
    </row>
    <row r="58" spans="1:5">
      <c r="A58" s="351" t="s">
        <v>1193</v>
      </c>
      <c r="B58" s="342" t="s">
        <v>1194</v>
      </c>
      <c r="C58" s="338">
        <v>7361920.3700000001</v>
      </c>
    </row>
    <row r="59" spans="1:5">
      <c r="A59" s="344"/>
      <c r="B59" s="339" t="s">
        <v>1195</v>
      </c>
      <c r="C59" s="338">
        <f>SUM(C57:C58)</f>
        <v>5654876873.6300001</v>
      </c>
    </row>
    <row r="60" spans="1:5">
      <c r="A60" s="116"/>
      <c r="B60" s="339"/>
      <c r="C60" s="333"/>
    </row>
    <row r="61" spans="1:5" ht="15.75" thickBot="1">
      <c r="A61" s="344"/>
      <c r="B61" s="337"/>
      <c r="C61" s="340">
        <f>+C59+C46</f>
        <v>11193101974.669998</v>
      </c>
    </row>
    <row r="62" spans="1:5">
      <c r="A62" s="344"/>
      <c r="B62" s="352"/>
      <c r="C62" s="102"/>
    </row>
    <row r="63" spans="1:5">
      <c r="A63" s="344"/>
      <c r="B63" s="352"/>
      <c r="C63" s="102"/>
    </row>
    <row r="64" spans="1:5">
      <c r="B64" s="353"/>
      <c r="C64" s="354"/>
    </row>
    <row r="65" spans="1:14" ht="15.75" thickBot="1">
      <c r="A65" s="344"/>
      <c r="B65" s="352"/>
      <c r="C65" s="355"/>
    </row>
    <row r="66" spans="1:14">
      <c r="B66" s="356"/>
      <c r="C66" s="357" t="s">
        <v>1196</v>
      </c>
      <c r="D66" s="357"/>
      <c r="E66" s="358" t="s">
        <v>1197</v>
      </c>
      <c r="F66" s="359"/>
    </row>
    <row r="67" spans="1:14">
      <c r="B67" s="360" t="s">
        <v>1198</v>
      </c>
      <c r="C67" s="361">
        <f>3616760+1650</f>
        <v>3618410</v>
      </c>
      <c r="D67" s="362">
        <f>C67/C69</f>
        <v>0.3901971329044383</v>
      </c>
      <c r="E67" s="363">
        <v>0.4</v>
      </c>
      <c r="F67" s="364"/>
    </row>
    <row r="68" spans="1:14">
      <c r="B68" s="360" t="s">
        <v>1199</v>
      </c>
      <c r="C68" s="365">
        <v>5654877</v>
      </c>
      <c r="D68" s="362">
        <f>C68/C69</f>
        <v>0.60980286709556164</v>
      </c>
      <c r="E68" s="363">
        <v>0.6</v>
      </c>
      <c r="F68" s="364"/>
      <c r="N68" s="158"/>
    </row>
    <row r="69" spans="1:14">
      <c r="B69" s="360" t="s">
        <v>1200</v>
      </c>
      <c r="C69" s="366">
        <f>SUM(C67:C68)</f>
        <v>9273287</v>
      </c>
      <c r="D69" s="364"/>
      <c r="E69" s="367"/>
      <c r="F69" s="364"/>
      <c r="N69" s="158"/>
    </row>
    <row r="70" spans="1:14" ht="15.75" thickBot="1">
      <c r="B70" s="368"/>
      <c r="C70" s="369"/>
      <c r="D70" s="369"/>
      <c r="E70" s="370"/>
      <c r="F70" s="364"/>
      <c r="N70" s="159"/>
    </row>
    <row r="71" spans="1:14" ht="15.75" thickBot="1"/>
    <row r="72" spans="1:14">
      <c r="B72" s="371"/>
      <c r="C72" s="372" t="s">
        <v>1201</v>
      </c>
      <c r="D72" s="373"/>
    </row>
    <row r="73" spans="1:14">
      <c r="B73" s="360" t="s">
        <v>1202</v>
      </c>
      <c r="C73" s="374">
        <f>-('WCI P&amp;L'!D28+'WCI P&amp;L'!D29)/1000</f>
        <v>92106.43392000001</v>
      </c>
      <c r="D73" s="375"/>
      <c r="E73" s="364"/>
      <c r="F73" s="364"/>
      <c r="G73" s="364"/>
    </row>
    <row r="74" spans="1:14">
      <c r="B74" s="360" t="s">
        <v>1198</v>
      </c>
      <c r="C74" s="376">
        <f>C67</f>
        <v>3618410</v>
      </c>
      <c r="D74" s="375"/>
      <c r="E74" s="364"/>
      <c r="F74" s="364"/>
      <c r="G74" s="364"/>
    </row>
    <row r="75" spans="1:14">
      <c r="B75" s="377"/>
      <c r="C75" s="364"/>
      <c r="D75" s="367"/>
      <c r="E75" s="364"/>
      <c r="F75" s="364"/>
      <c r="G75" s="364"/>
    </row>
    <row r="76" spans="1:14" ht="15.75" thickBot="1">
      <c r="B76" s="378" t="s">
        <v>1201</v>
      </c>
      <c r="C76" s="379">
        <f>C73/C74</f>
        <v>2.5454946763910118E-2</v>
      </c>
      <c r="D76" s="380"/>
      <c r="E76" s="364"/>
      <c r="F76" s="364"/>
      <c r="G76" s="364"/>
    </row>
    <row r="77" spans="1:14">
      <c r="B77" s="364"/>
      <c r="C77" s="364"/>
      <c r="D77" s="364"/>
      <c r="E77" s="364"/>
      <c r="F77" s="364"/>
      <c r="G77" s="364"/>
    </row>
  </sheetData>
  <pageMargins left="0.7" right="0.7" top="0.75" bottom="0.75" header="0.3" footer="0.3"/>
  <pageSetup orientation="landscape" r:id="rId1"/>
  <headerFooter>
    <oddFooter xml:space="preserve">&amp;L&amp;F - &amp;A
&amp;RPage &amp;P of &amp;N
</oddFooter>
  </headerFooter>
  <rowBreaks count="2" manualBreakCount="2">
    <brk id="30" max="16383" man="1"/>
    <brk id="51" max="16383" man="1"/>
  </rowBreaks>
  <colBreaks count="1" manualBreakCount="1">
    <brk id="5" max="79"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55"/>
  <sheetViews>
    <sheetView showGridLines="0" view="pageBreakPreview" zoomScale="85" zoomScaleNormal="85" zoomScaleSheetLayoutView="85" workbookViewId="0">
      <selection activeCell="AI26" sqref="AI26"/>
    </sheetView>
  </sheetViews>
  <sheetFormatPr defaultColWidth="13.85546875" defaultRowHeight="12.75" outlineLevelRow="1"/>
  <cols>
    <col min="1" max="3" width="13.85546875" style="1"/>
    <col min="4" max="4" width="7.85546875" style="1" customWidth="1"/>
    <col min="5" max="6" width="2.28515625" style="1" customWidth="1"/>
    <col min="7" max="7" width="31.42578125" style="1" customWidth="1"/>
    <col min="8" max="8" width="2.28515625" style="1" customWidth="1"/>
    <col min="9" max="9" width="2.140625" style="1" customWidth="1"/>
    <col min="10" max="10" width="9.85546875" style="62" bestFit="1" customWidth="1"/>
    <col min="11" max="11" width="1.5703125" style="1" customWidth="1"/>
    <col min="12" max="12" width="9.7109375" style="62" bestFit="1" customWidth="1"/>
    <col min="13" max="13" width="1.5703125" style="1" customWidth="1"/>
    <col min="14" max="14" width="9.42578125" style="62" bestFit="1" customWidth="1"/>
    <col min="15" max="15" width="1.5703125" style="1" customWidth="1"/>
    <col min="16" max="16" width="10.140625" style="62" bestFit="1" customWidth="1"/>
    <col min="17" max="17" width="0.85546875" style="1" customWidth="1"/>
    <col min="18" max="18" width="9.85546875" style="62" bestFit="1" customWidth="1"/>
    <col min="19" max="19" width="1.5703125" style="1" customWidth="1"/>
    <col min="20" max="20" width="9.7109375" style="62" bestFit="1" customWidth="1"/>
    <col min="21" max="21" width="1.5703125" style="1" customWidth="1"/>
    <col min="22" max="22" width="9.140625" style="62" bestFit="1" customWidth="1"/>
    <col min="23" max="23" width="0.85546875" style="1" customWidth="1"/>
    <col min="24" max="24" width="10.42578125" style="62" bestFit="1" customWidth="1"/>
    <col min="25" max="25" width="1.5703125" style="1" customWidth="1"/>
    <col min="26" max="26" width="9.7109375" style="62" bestFit="1" customWidth="1"/>
    <col min="27" max="27" width="1.5703125" style="1" customWidth="1"/>
    <col min="28" max="28" width="9.7109375" style="62" bestFit="1" customWidth="1"/>
    <col min="29" max="29" width="0.85546875" style="1" customWidth="1"/>
    <col min="30" max="30" width="10.140625" style="62" bestFit="1" customWidth="1"/>
    <col min="31" max="31" width="1.5703125" style="1" customWidth="1"/>
    <col min="32" max="32" width="9.85546875" style="62" bestFit="1" customWidth="1"/>
    <col min="33" max="33" width="1.5703125" style="1" customWidth="1"/>
    <col min="34" max="34" width="11.140625" style="62" bestFit="1" customWidth="1"/>
    <col min="35" max="35" width="1.42578125" style="1" customWidth="1"/>
    <col min="36" max="36" width="14.28515625" style="1" bestFit="1" customWidth="1"/>
    <col min="37" max="37" width="12.42578125" style="1" bestFit="1" customWidth="1"/>
    <col min="38" max="38" width="20.42578125" style="1" bestFit="1" customWidth="1"/>
    <col min="39" max="259" width="13.85546875" style="1"/>
    <col min="260" max="260" width="7.85546875" style="1" customWidth="1"/>
    <col min="261" max="262" width="2.28515625" style="1" customWidth="1"/>
    <col min="263" max="263" width="31.42578125" style="1" customWidth="1"/>
    <col min="264" max="264" width="2.28515625" style="1" customWidth="1"/>
    <col min="265" max="265" width="2.140625" style="1" customWidth="1"/>
    <col min="266" max="266" width="12.28515625" style="1" customWidth="1"/>
    <col min="267" max="267" width="1.5703125" style="1" customWidth="1"/>
    <col min="268" max="268" width="12.28515625" style="1" customWidth="1"/>
    <col min="269" max="269" width="1.5703125" style="1" customWidth="1"/>
    <col min="270" max="270" width="12.28515625" style="1" customWidth="1"/>
    <col min="271" max="271" width="1.5703125" style="1" customWidth="1"/>
    <col min="272" max="272" width="13.5703125" style="1" customWidth="1"/>
    <col min="273" max="273" width="0.85546875" style="1" customWidth="1"/>
    <col min="274" max="274" width="12.28515625" style="1" customWidth="1"/>
    <col min="275" max="275" width="1.5703125" style="1" customWidth="1"/>
    <col min="276" max="276" width="12.28515625" style="1" customWidth="1"/>
    <col min="277" max="277" width="1.5703125" style="1" customWidth="1"/>
    <col min="278" max="278" width="12.28515625" style="1" customWidth="1"/>
    <col min="279" max="279" width="0.85546875" style="1" customWidth="1"/>
    <col min="280" max="280" width="12.28515625" style="1" customWidth="1"/>
    <col min="281" max="281" width="1.5703125" style="1" customWidth="1"/>
    <col min="282" max="282" width="12.28515625" style="1" customWidth="1"/>
    <col min="283" max="283" width="1.5703125" style="1" customWidth="1"/>
    <col min="284" max="284" width="12.28515625" style="1" customWidth="1"/>
    <col min="285" max="285" width="0.85546875" style="1" customWidth="1"/>
    <col min="286" max="286" width="12.28515625" style="1" customWidth="1"/>
    <col min="287" max="287" width="1.5703125" style="1" customWidth="1"/>
    <col min="288" max="288" width="12.28515625" style="1" customWidth="1"/>
    <col min="289" max="289" width="1.5703125" style="1" customWidth="1"/>
    <col min="290" max="290" width="12.28515625" style="1" customWidth="1"/>
    <col min="291" max="291" width="1.42578125" style="1" customWidth="1"/>
    <col min="292" max="515" width="13.85546875" style="1"/>
    <col min="516" max="516" width="7.85546875" style="1" customWidth="1"/>
    <col min="517" max="518" width="2.28515625" style="1" customWidth="1"/>
    <col min="519" max="519" width="31.42578125" style="1" customWidth="1"/>
    <col min="520" max="520" width="2.28515625" style="1" customWidth="1"/>
    <col min="521" max="521" width="2.140625" style="1" customWidth="1"/>
    <col min="522" max="522" width="12.28515625" style="1" customWidth="1"/>
    <col min="523" max="523" width="1.5703125" style="1" customWidth="1"/>
    <col min="524" max="524" width="12.28515625" style="1" customWidth="1"/>
    <col min="525" max="525" width="1.5703125" style="1" customWidth="1"/>
    <col min="526" max="526" width="12.28515625" style="1" customWidth="1"/>
    <col min="527" max="527" width="1.5703125" style="1" customWidth="1"/>
    <col min="528" max="528" width="13.5703125" style="1" customWidth="1"/>
    <col min="529" max="529" width="0.85546875" style="1" customWidth="1"/>
    <col min="530" max="530" width="12.28515625" style="1" customWidth="1"/>
    <col min="531" max="531" width="1.5703125" style="1" customWidth="1"/>
    <col min="532" max="532" width="12.28515625" style="1" customWidth="1"/>
    <col min="533" max="533" width="1.5703125" style="1" customWidth="1"/>
    <col min="534" max="534" width="12.28515625" style="1" customWidth="1"/>
    <col min="535" max="535" width="0.85546875" style="1" customWidth="1"/>
    <col min="536" max="536" width="12.28515625" style="1" customWidth="1"/>
    <col min="537" max="537" width="1.5703125" style="1" customWidth="1"/>
    <col min="538" max="538" width="12.28515625" style="1" customWidth="1"/>
    <col min="539" max="539" width="1.5703125" style="1" customWidth="1"/>
    <col min="540" max="540" width="12.28515625" style="1" customWidth="1"/>
    <col min="541" max="541" width="0.85546875" style="1" customWidth="1"/>
    <col min="542" max="542" width="12.28515625" style="1" customWidth="1"/>
    <col min="543" max="543" width="1.5703125" style="1" customWidth="1"/>
    <col min="544" max="544" width="12.28515625" style="1" customWidth="1"/>
    <col min="545" max="545" width="1.5703125" style="1" customWidth="1"/>
    <col min="546" max="546" width="12.28515625" style="1" customWidth="1"/>
    <col min="547" max="547" width="1.42578125" style="1" customWidth="1"/>
    <col min="548" max="771" width="13.85546875" style="1"/>
    <col min="772" max="772" width="7.85546875" style="1" customWidth="1"/>
    <col min="773" max="774" width="2.28515625" style="1" customWidth="1"/>
    <col min="775" max="775" width="31.42578125" style="1" customWidth="1"/>
    <col min="776" max="776" width="2.28515625" style="1" customWidth="1"/>
    <col min="777" max="777" width="2.140625" style="1" customWidth="1"/>
    <col min="778" max="778" width="12.28515625" style="1" customWidth="1"/>
    <col min="779" max="779" width="1.5703125" style="1" customWidth="1"/>
    <col min="780" max="780" width="12.28515625" style="1" customWidth="1"/>
    <col min="781" max="781" width="1.5703125" style="1" customWidth="1"/>
    <col min="782" max="782" width="12.28515625" style="1" customWidth="1"/>
    <col min="783" max="783" width="1.5703125" style="1" customWidth="1"/>
    <col min="784" max="784" width="13.5703125" style="1" customWidth="1"/>
    <col min="785" max="785" width="0.85546875" style="1" customWidth="1"/>
    <col min="786" max="786" width="12.28515625" style="1" customWidth="1"/>
    <col min="787" max="787" width="1.5703125" style="1" customWidth="1"/>
    <col min="788" max="788" width="12.28515625" style="1" customWidth="1"/>
    <col min="789" max="789" width="1.5703125" style="1" customWidth="1"/>
    <col min="790" max="790" width="12.28515625" style="1" customWidth="1"/>
    <col min="791" max="791" width="0.85546875" style="1" customWidth="1"/>
    <col min="792" max="792" width="12.28515625" style="1" customWidth="1"/>
    <col min="793" max="793" width="1.5703125" style="1" customWidth="1"/>
    <col min="794" max="794" width="12.28515625" style="1" customWidth="1"/>
    <col min="795" max="795" width="1.5703125" style="1" customWidth="1"/>
    <col min="796" max="796" width="12.28515625" style="1" customWidth="1"/>
    <col min="797" max="797" width="0.85546875" style="1" customWidth="1"/>
    <col min="798" max="798" width="12.28515625" style="1" customWidth="1"/>
    <col min="799" max="799" width="1.5703125" style="1" customWidth="1"/>
    <col min="800" max="800" width="12.28515625" style="1" customWidth="1"/>
    <col min="801" max="801" width="1.5703125" style="1" customWidth="1"/>
    <col min="802" max="802" width="12.28515625" style="1" customWidth="1"/>
    <col min="803" max="803" width="1.42578125" style="1" customWidth="1"/>
    <col min="804" max="1027" width="13.85546875" style="1"/>
    <col min="1028" max="1028" width="7.85546875" style="1" customWidth="1"/>
    <col min="1029" max="1030" width="2.28515625" style="1" customWidth="1"/>
    <col min="1031" max="1031" width="31.42578125" style="1" customWidth="1"/>
    <col min="1032" max="1032" width="2.28515625" style="1" customWidth="1"/>
    <col min="1033" max="1033" width="2.140625" style="1" customWidth="1"/>
    <col min="1034" max="1034" width="12.28515625" style="1" customWidth="1"/>
    <col min="1035" max="1035" width="1.5703125" style="1" customWidth="1"/>
    <col min="1036" max="1036" width="12.28515625" style="1" customWidth="1"/>
    <col min="1037" max="1037" width="1.5703125" style="1" customWidth="1"/>
    <col min="1038" max="1038" width="12.28515625" style="1" customWidth="1"/>
    <col min="1039" max="1039" width="1.5703125" style="1" customWidth="1"/>
    <col min="1040" max="1040" width="13.5703125" style="1" customWidth="1"/>
    <col min="1041" max="1041" width="0.85546875" style="1" customWidth="1"/>
    <col min="1042" max="1042" width="12.28515625" style="1" customWidth="1"/>
    <col min="1043" max="1043" width="1.5703125" style="1" customWidth="1"/>
    <col min="1044" max="1044" width="12.28515625" style="1" customWidth="1"/>
    <col min="1045" max="1045" width="1.5703125" style="1" customWidth="1"/>
    <col min="1046" max="1046" width="12.28515625" style="1" customWidth="1"/>
    <col min="1047" max="1047" width="0.85546875" style="1" customWidth="1"/>
    <col min="1048" max="1048" width="12.28515625" style="1" customWidth="1"/>
    <col min="1049" max="1049" width="1.5703125" style="1" customWidth="1"/>
    <col min="1050" max="1050" width="12.28515625" style="1" customWidth="1"/>
    <col min="1051" max="1051" width="1.5703125" style="1" customWidth="1"/>
    <col min="1052" max="1052" width="12.28515625" style="1" customWidth="1"/>
    <col min="1053" max="1053" width="0.85546875" style="1" customWidth="1"/>
    <col min="1054" max="1054" width="12.28515625" style="1" customWidth="1"/>
    <col min="1055" max="1055" width="1.5703125" style="1" customWidth="1"/>
    <col min="1056" max="1056" width="12.28515625" style="1" customWidth="1"/>
    <col min="1057" max="1057" width="1.5703125" style="1" customWidth="1"/>
    <col min="1058" max="1058" width="12.28515625" style="1" customWidth="1"/>
    <col min="1059" max="1059" width="1.42578125" style="1" customWidth="1"/>
    <col min="1060" max="1283" width="13.85546875" style="1"/>
    <col min="1284" max="1284" width="7.85546875" style="1" customWidth="1"/>
    <col min="1285" max="1286" width="2.28515625" style="1" customWidth="1"/>
    <col min="1287" max="1287" width="31.42578125" style="1" customWidth="1"/>
    <col min="1288" max="1288" width="2.28515625" style="1" customWidth="1"/>
    <col min="1289" max="1289" width="2.140625" style="1" customWidth="1"/>
    <col min="1290" max="1290" width="12.28515625" style="1" customWidth="1"/>
    <col min="1291" max="1291" width="1.5703125" style="1" customWidth="1"/>
    <col min="1292" max="1292" width="12.28515625" style="1" customWidth="1"/>
    <col min="1293" max="1293" width="1.5703125" style="1" customWidth="1"/>
    <col min="1294" max="1294" width="12.28515625" style="1" customWidth="1"/>
    <col min="1295" max="1295" width="1.5703125" style="1" customWidth="1"/>
    <col min="1296" max="1296" width="13.5703125" style="1" customWidth="1"/>
    <col min="1297" max="1297" width="0.85546875" style="1" customWidth="1"/>
    <col min="1298" max="1298" width="12.28515625" style="1" customWidth="1"/>
    <col min="1299" max="1299" width="1.5703125" style="1" customWidth="1"/>
    <col min="1300" max="1300" width="12.28515625" style="1" customWidth="1"/>
    <col min="1301" max="1301" width="1.5703125" style="1" customWidth="1"/>
    <col min="1302" max="1302" width="12.28515625" style="1" customWidth="1"/>
    <col min="1303" max="1303" width="0.85546875" style="1" customWidth="1"/>
    <col min="1304" max="1304" width="12.28515625" style="1" customWidth="1"/>
    <col min="1305" max="1305" width="1.5703125" style="1" customWidth="1"/>
    <col min="1306" max="1306" width="12.28515625" style="1" customWidth="1"/>
    <col min="1307" max="1307" width="1.5703125" style="1" customWidth="1"/>
    <col min="1308" max="1308" width="12.28515625" style="1" customWidth="1"/>
    <col min="1309" max="1309" width="0.85546875" style="1" customWidth="1"/>
    <col min="1310" max="1310" width="12.28515625" style="1" customWidth="1"/>
    <col min="1311" max="1311" width="1.5703125" style="1" customWidth="1"/>
    <col min="1312" max="1312" width="12.28515625" style="1" customWidth="1"/>
    <col min="1313" max="1313" width="1.5703125" style="1" customWidth="1"/>
    <col min="1314" max="1314" width="12.28515625" style="1" customWidth="1"/>
    <col min="1315" max="1315" width="1.42578125" style="1" customWidth="1"/>
    <col min="1316" max="1539" width="13.85546875" style="1"/>
    <col min="1540" max="1540" width="7.85546875" style="1" customWidth="1"/>
    <col min="1541" max="1542" width="2.28515625" style="1" customWidth="1"/>
    <col min="1543" max="1543" width="31.42578125" style="1" customWidth="1"/>
    <col min="1544" max="1544" width="2.28515625" style="1" customWidth="1"/>
    <col min="1545" max="1545" width="2.140625" style="1" customWidth="1"/>
    <col min="1546" max="1546" width="12.28515625" style="1" customWidth="1"/>
    <col min="1547" max="1547" width="1.5703125" style="1" customWidth="1"/>
    <col min="1548" max="1548" width="12.28515625" style="1" customWidth="1"/>
    <col min="1549" max="1549" width="1.5703125" style="1" customWidth="1"/>
    <col min="1550" max="1550" width="12.28515625" style="1" customWidth="1"/>
    <col min="1551" max="1551" width="1.5703125" style="1" customWidth="1"/>
    <col min="1552" max="1552" width="13.5703125" style="1" customWidth="1"/>
    <col min="1553" max="1553" width="0.85546875" style="1" customWidth="1"/>
    <col min="1554" max="1554" width="12.28515625" style="1" customWidth="1"/>
    <col min="1555" max="1555" width="1.5703125" style="1" customWidth="1"/>
    <col min="1556" max="1556" width="12.28515625" style="1" customWidth="1"/>
    <col min="1557" max="1557" width="1.5703125" style="1" customWidth="1"/>
    <col min="1558" max="1558" width="12.28515625" style="1" customWidth="1"/>
    <col min="1559" max="1559" width="0.85546875" style="1" customWidth="1"/>
    <col min="1560" max="1560" width="12.28515625" style="1" customWidth="1"/>
    <col min="1561" max="1561" width="1.5703125" style="1" customWidth="1"/>
    <col min="1562" max="1562" width="12.28515625" style="1" customWidth="1"/>
    <col min="1563" max="1563" width="1.5703125" style="1" customWidth="1"/>
    <col min="1564" max="1564" width="12.28515625" style="1" customWidth="1"/>
    <col min="1565" max="1565" width="0.85546875" style="1" customWidth="1"/>
    <col min="1566" max="1566" width="12.28515625" style="1" customWidth="1"/>
    <col min="1567" max="1567" width="1.5703125" style="1" customWidth="1"/>
    <col min="1568" max="1568" width="12.28515625" style="1" customWidth="1"/>
    <col min="1569" max="1569" width="1.5703125" style="1" customWidth="1"/>
    <col min="1570" max="1570" width="12.28515625" style="1" customWidth="1"/>
    <col min="1571" max="1571" width="1.42578125" style="1" customWidth="1"/>
    <col min="1572" max="1795" width="13.85546875" style="1"/>
    <col min="1796" max="1796" width="7.85546875" style="1" customWidth="1"/>
    <col min="1797" max="1798" width="2.28515625" style="1" customWidth="1"/>
    <col min="1799" max="1799" width="31.42578125" style="1" customWidth="1"/>
    <col min="1800" max="1800" width="2.28515625" style="1" customWidth="1"/>
    <col min="1801" max="1801" width="2.140625" style="1" customWidth="1"/>
    <col min="1802" max="1802" width="12.28515625" style="1" customWidth="1"/>
    <col min="1803" max="1803" width="1.5703125" style="1" customWidth="1"/>
    <col min="1804" max="1804" width="12.28515625" style="1" customWidth="1"/>
    <col min="1805" max="1805" width="1.5703125" style="1" customWidth="1"/>
    <col min="1806" max="1806" width="12.28515625" style="1" customWidth="1"/>
    <col min="1807" max="1807" width="1.5703125" style="1" customWidth="1"/>
    <col min="1808" max="1808" width="13.5703125" style="1" customWidth="1"/>
    <col min="1809" max="1809" width="0.85546875" style="1" customWidth="1"/>
    <col min="1810" max="1810" width="12.28515625" style="1" customWidth="1"/>
    <col min="1811" max="1811" width="1.5703125" style="1" customWidth="1"/>
    <col min="1812" max="1812" width="12.28515625" style="1" customWidth="1"/>
    <col min="1813" max="1813" width="1.5703125" style="1" customWidth="1"/>
    <col min="1814" max="1814" width="12.28515625" style="1" customWidth="1"/>
    <col min="1815" max="1815" width="0.85546875" style="1" customWidth="1"/>
    <col min="1816" max="1816" width="12.28515625" style="1" customWidth="1"/>
    <col min="1817" max="1817" width="1.5703125" style="1" customWidth="1"/>
    <col min="1818" max="1818" width="12.28515625" style="1" customWidth="1"/>
    <col min="1819" max="1819" width="1.5703125" style="1" customWidth="1"/>
    <col min="1820" max="1820" width="12.28515625" style="1" customWidth="1"/>
    <col min="1821" max="1821" width="0.85546875" style="1" customWidth="1"/>
    <col min="1822" max="1822" width="12.28515625" style="1" customWidth="1"/>
    <col min="1823" max="1823" width="1.5703125" style="1" customWidth="1"/>
    <col min="1824" max="1824" width="12.28515625" style="1" customWidth="1"/>
    <col min="1825" max="1825" width="1.5703125" style="1" customWidth="1"/>
    <col min="1826" max="1826" width="12.28515625" style="1" customWidth="1"/>
    <col min="1827" max="1827" width="1.42578125" style="1" customWidth="1"/>
    <col min="1828" max="2051" width="13.85546875" style="1"/>
    <col min="2052" max="2052" width="7.85546875" style="1" customWidth="1"/>
    <col min="2053" max="2054" width="2.28515625" style="1" customWidth="1"/>
    <col min="2055" max="2055" width="31.42578125" style="1" customWidth="1"/>
    <col min="2056" max="2056" width="2.28515625" style="1" customWidth="1"/>
    <col min="2057" max="2057" width="2.140625" style="1" customWidth="1"/>
    <col min="2058" max="2058" width="12.28515625" style="1" customWidth="1"/>
    <col min="2059" max="2059" width="1.5703125" style="1" customWidth="1"/>
    <col min="2060" max="2060" width="12.28515625" style="1" customWidth="1"/>
    <col min="2061" max="2061" width="1.5703125" style="1" customWidth="1"/>
    <col min="2062" max="2062" width="12.28515625" style="1" customWidth="1"/>
    <col min="2063" max="2063" width="1.5703125" style="1" customWidth="1"/>
    <col min="2064" max="2064" width="13.5703125" style="1" customWidth="1"/>
    <col min="2065" max="2065" width="0.85546875" style="1" customWidth="1"/>
    <col min="2066" max="2066" width="12.28515625" style="1" customWidth="1"/>
    <col min="2067" max="2067" width="1.5703125" style="1" customWidth="1"/>
    <col min="2068" max="2068" width="12.28515625" style="1" customWidth="1"/>
    <col min="2069" max="2069" width="1.5703125" style="1" customWidth="1"/>
    <col min="2070" max="2070" width="12.28515625" style="1" customWidth="1"/>
    <col min="2071" max="2071" width="0.85546875" style="1" customWidth="1"/>
    <col min="2072" max="2072" width="12.28515625" style="1" customWidth="1"/>
    <col min="2073" max="2073" width="1.5703125" style="1" customWidth="1"/>
    <col min="2074" max="2074" width="12.28515625" style="1" customWidth="1"/>
    <col min="2075" max="2075" width="1.5703125" style="1" customWidth="1"/>
    <col min="2076" max="2076" width="12.28515625" style="1" customWidth="1"/>
    <col min="2077" max="2077" width="0.85546875" style="1" customWidth="1"/>
    <col min="2078" max="2078" width="12.28515625" style="1" customWidth="1"/>
    <col min="2079" max="2079" width="1.5703125" style="1" customWidth="1"/>
    <col min="2080" max="2080" width="12.28515625" style="1" customWidth="1"/>
    <col min="2081" max="2081" width="1.5703125" style="1" customWidth="1"/>
    <col min="2082" max="2082" width="12.28515625" style="1" customWidth="1"/>
    <col min="2083" max="2083" width="1.42578125" style="1" customWidth="1"/>
    <col min="2084" max="2307" width="13.85546875" style="1"/>
    <col min="2308" max="2308" width="7.85546875" style="1" customWidth="1"/>
    <col min="2309" max="2310" width="2.28515625" style="1" customWidth="1"/>
    <col min="2311" max="2311" width="31.42578125" style="1" customWidth="1"/>
    <col min="2312" max="2312" width="2.28515625" style="1" customWidth="1"/>
    <col min="2313" max="2313" width="2.140625" style="1" customWidth="1"/>
    <col min="2314" max="2314" width="12.28515625" style="1" customWidth="1"/>
    <col min="2315" max="2315" width="1.5703125" style="1" customWidth="1"/>
    <col min="2316" max="2316" width="12.28515625" style="1" customWidth="1"/>
    <col min="2317" max="2317" width="1.5703125" style="1" customWidth="1"/>
    <col min="2318" max="2318" width="12.28515625" style="1" customWidth="1"/>
    <col min="2319" max="2319" width="1.5703125" style="1" customWidth="1"/>
    <col min="2320" max="2320" width="13.5703125" style="1" customWidth="1"/>
    <col min="2321" max="2321" width="0.85546875" style="1" customWidth="1"/>
    <col min="2322" max="2322" width="12.28515625" style="1" customWidth="1"/>
    <col min="2323" max="2323" width="1.5703125" style="1" customWidth="1"/>
    <col min="2324" max="2324" width="12.28515625" style="1" customWidth="1"/>
    <col min="2325" max="2325" width="1.5703125" style="1" customWidth="1"/>
    <col min="2326" max="2326" width="12.28515625" style="1" customWidth="1"/>
    <col min="2327" max="2327" width="0.85546875" style="1" customWidth="1"/>
    <col min="2328" max="2328" width="12.28515625" style="1" customWidth="1"/>
    <col min="2329" max="2329" width="1.5703125" style="1" customWidth="1"/>
    <col min="2330" max="2330" width="12.28515625" style="1" customWidth="1"/>
    <col min="2331" max="2331" width="1.5703125" style="1" customWidth="1"/>
    <col min="2332" max="2332" width="12.28515625" style="1" customWidth="1"/>
    <col min="2333" max="2333" width="0.85546875" style="1" customWidth="1"/>
    <col min="2334" max="2334" width="12.28515625" style="1" customWidth="1"/>
    <col min="2335" max="2335" width="1.5703125" style="1" customWidth="1"/>
    <col min="2336" max="2336" width="12.28515625" style="1" customWidth="1"/>
    <col min="2337" max="2337" width="1.5703125" style="1" customWidth="1"/>
    <col min="2338" max="2338" width="12.28515625" style="1" customWidth="1"/>
    <col min="2339" max="2339" width="1.42578125" style="1" customWidth="1"/>
    <col min="2340" max="2563" width="13.85546875" style="1"/>
    <col min="2564" max="2564" width="7.85546875" style="1" customWidth="1"/>
    <col min="2565" max="2566" width="2.28515625" style="1" customWidth="1"/>
    <col min="2567" max="2567" width="31.42578125" style="1" customWidth="1"/>
    <col min="2568" max="2568" width="2.28515625" style="1" customWidth="1"/>
    <col min="2569" max="2569" width="2.140625" style="1" customWidth="1"/>
    <col min="2570" max="2570" width="12.28515625" style="1" customWidth="1"/>
    <col min="2571" max="2571" width="1.5703125" style="1" customWidth="1"/>
    <col min="2572" max="2572" width="12.28515625" style="1" customWidth="1"/>
    <col min="2573" max="2573" width="1.5703125" style="1" customWidth="1"/>
    <col min="2574" max="2574" width="12.28515625" style="1" customWidth="1"/>
    <col min="2575" max="2575" width="1.5703125" style="1" customWidth="1"/>
    <col min="2576" max="2576" width="13.5703125" style="1" customWidth="1"/>
    <col min="2577" max="2577" width="0.85546875" style="1" customWidth="1"/>
    <col min="2578" max="2578" width="12.28515625" style="1" customWidth="1"/>
    <col min="2579" max="2579" width="1.5703125" style="1" customWidth="1"/>
    <col min="2580" max="2580" width="12.28515625" style="1" customWidth="1"/>
    <col min="2581" max="2581" width="1.5703125" style="1" customWidth="1"/>
    <col min="2582" max="2582" width="12.28515625" style="1" customWidth="1"/>
    <col min="2583" max="2583" width="0.85546875" style="1" customWidth="1"/>
    <col min="2584" max="2584" width="12.28515625" style="1" customWidth="1"/>
    <col min="2585" max="2585" width="1.5703125" style="1" customWidth="1"/>
    <col min="2586" max="2586" width="12.28515625" style="1" customWidth="1"/>
    <col min="2587" max="2587" width="1.5703125" style="1" customWidth="1"/>
    <col min="2588" max="2588" width="12.28515625" style="1" customWidth="1"/>
    <col min="2589" max="2589" width="0.85546875" style="1" customWidth="1"/>
    <col min="2590" max="2590" width="12.28515625" style="1" customWidth="1"/>
    <col min="2591" max="2591" width="1.5703125" style="1" customWidth="1"/>
    <col min="2592" max="2592" width="12.28515625" style="1" customWidth="1"/>
    <col min="2593" max="2593" width="1.5703125" style="1" customWidth="1"/>
    <col min="2594" max="2594" width="12.28515625" style="1" customWidth="1"/>
    <col min="2595" max="2595" width="1.42578125" style="1" customWidth="1"/>
    <col min="2596" max="2819" width="13.85546875" style="1"/>
    <col min="2820" max="2820" width="7.85546875" style="1" customWidth="1"/>
    <col min="2821" max="2822" width="2.28515625" style="1" customWidth="1"/>
    <col min="2823" max="2823" width="31.42578125" style="1" customWidth="1"/>
    <col min="2824" max="2824" width="2.28515625" style="1" customWidth="1"/>
    <col min="2825" max="2825" width="2.140625" style="1" customWidth="1"/>
    <col min="2826" max="2826" width="12.28515625" style="1" customWidth="1"/>
    <col min="2827" max="2827" width="1.5703125" style="1" customWidth="1"/>
    <col min="2828" max="2828" width="12.28515625" style="1" customWidth="1"/>
    <col min="2829" max="2829" width="1.5703125" style="1" customWidth="1"/>
    <col min="2830" max="2830" width="12.28515625" style="1" customWidth="1"/>
    <col min="2831" max="2831" width="1.5703125" style="1" customWidth="1"/>
    <col min="2832" max="2832" width="13.5703125" style="1" customWidth="1"/>
    <col min="2833" max="2833" width="0.85546875" style="1" customWidth="1"/>
    <col min="2834" max="2834" width="12.28515625" style="1" customWidth="1"/>
    <col min="2835" max="2835" width="1.5703125" style="1" customWidth="1"/>
    <col min="2836" max="2836" width="12.28515625" style="1" customWidth="1"/>
    <col min="2837" max="2837" width="1.5703125" style="1" customWidth="1"/>
    <col min="2838" max="2838" width="12.28515625" style="1" customWidth="1"/>
    <col min="2839" max="2839" width="0.85546875" style="1" customWidth="1"/>
    <col min="2840" max="2840" width="12.28515625" style="1" customWidth="1"/>
    <col min="2841" max="2841" width="1.5703125" style="1" customWidth="1"/>
    <col min="2842" max="2842" width="12.28515625" style="1" customWidth="1"/>
    <col min="2843" max="2843" width="1.5703125" style="1" customWidth="1"/>
    <col min="2844" max="2844" width="12.28515625" style="1" customWidth="1"/>
    <col min="2845" max="2845" width="0.85546875" style="1" customWidth="1"/>
    <col min="2846" max="2846" width="12.28515625" style="1" customWidth="1"/>
    <col min="2847" max="2847" width="1.5703125" style="1" customWidth="1"/>
    <col min="2848" max="2848" width="12.28515625" style="1" customWidth="1"/>
    <col min="2849" max="2849" width="1.5703125" style="1" customWidth="1"/>
    <col min="2850" max="2850" width="12.28515625" style="1" customWidth="1"/>
    <col min="2851" max="2851" width="1.42578125" style="1" customWidth="1"/>
    <col min="2852" max="3075" width="13.85546875" style="1"/>
    <col min="3076" max="3076" width="7.85546875" style="1" customWidth="1"/>
    <col min="3077" max="3078" width="2.28515625" style="1" customWidth="1"/>
    <col min="3079" max="3079" width="31.42578125" style="1" customWidth="1"/>
    <col min="3080" max="3080" width="2.28515625" style="1" customWidth="1"/>
    <col min="3081" max="3081" width="2.140625" style="1" customWidth="1"/>
    <col min="3082" max="3082" width="12.28515625" style="1" customWidth="1"/>
    <col min="3083" max="3083" width="1.5703125" style="1" customWidth="1"/>
    <col min="3084" max="3084" width="12.28515625" style="1" customWidth="1"/>
    <col min="3085" max="3085" width="1.5703125" style="1" customWidth="1"/>
    <col min="3086" max="3086" width="12.28515625" style="1" customWidth="1"/>
    <col min="3087" max="3087" width="1.5703125" style="1" customWidth="1"/>
    <col min="3088" max="3088" width="13.5703125" style="1" customWidth="1"/>
    <col min="3089" max="3089" width="0.85546875" style="1" customWidth="1"/>
    <col min="3090" max="3090" width="12.28515625" style="1" customWidth="1"/>
    <col min="3091" max="3091" width="1.5703125" style="1" customWidth="1"/>
    <col min="3092" max="3092" width="12.28515625" style="1" customWidth="1"/>
    <col min="3093" max="3093" width="1.5703125" style="1" customWidth="1"/>
    <col min="3094" max="3094" width="12.28515625" style="1" customWidth="1"/>
    <col min="3095" max="3095" width="0.85546875" style="1" customWidth="1"/>
    <col min="3096" max="3096" width="12.28515625" style="1" customWidth="1"/>
    <col min="3097" max="3097" width="1.5703125" style="1" customWidth="1"/>
    <col min="3098" max="3098" width="12.28515625" style="1" customWidth="1"/>
    <col min="3099" max="3099" width="1.5703125" style="1" customWidth="1"/>
    <col min="3100" max="3100" width="12.28515625" style="1" customWidth="1"/>
    <col min="3101" max="3101" width="0.85546875" style="1" customWidth="1"/>
    <col min="3102" max="3102" width="12.28515625" style="1" customWidth="1"/>
    <col min="3103" max="3103" width="1.5703125" style="1" customWidth="1"/>
    <col min="3104" max="3104" width="12.28515625" style="1" customWidth="1"/>
    <col min="3105" max="3105" width="1.5703125" style="1" customWidth="1"/>
    <col min="3106" max="3106" width="12.28515625" style="1" customWidth="1"/>
    <col min="3107" max="3107" width="1.42578125" style="1" customWidth="1"/>
    <col min="3108" max="3331" width="13.85546875" style="1"/>
    <col min="3332" max="3332" width="7.85546875" style="1" customWidth="1"/>
    <col min="3333" max="3334" width="2.28515625" style="1" customWidth="1"/>
    <col min="3335" max="3335" width="31.42578125" style="1" customWidth="1"/>
    <col min="3336" max="3336" width="2.28515625" style="1" customWidth="1"/>
    <col min="3337" max="3337" width="2.140625" style="1" customWidth="1"/>
    <col min="3338" max="3338" width="12.28515625" style="1" customWidth="1"/>
    <col min="3339" max="3339" width="1.5703125" style="1" customWidth="1"/>
    <col min="3340" max="3340" width="12.28515625" style="1" customWidth="1"/>
    <col min="3341" max="3341" width="1.5703125" style="1" customWidth="1"/>
    <col min="3342" max="3342" width="12.28515625" style="1" customWidth="1"/>
    <col min="3343" max="3343" width="1.5703125" style="1" customWidth="1"/>
    <col min="3344" max="3344" width="13.5703125" style="1" customWidth="1"/>
    <col min="3345" max="3345" width="0.85546875" style="1" customWidth="1"/>
    <col min="3346" max="3346" width="12.28515625" style="1" customWidth="1"/>
    <col min="3347" max="3347" width="1.5703125" style="1" customWidth="1"/>
    <col min="3348" max="3348" width="12.28515625" style="1" customWidth="1"/>
    <col min="3349" max="3349" width="1.5703125" style="1" customWidth="1"/>
    <col min="3350" max="3350" width="12.28515625" style="1" customWidth="1"/>
    <col min="3351" max="3351" width="0.85546875" style="1" customWidth="1"/>
    <col min="3352" max="3352" width="12.28515625" style="1" customWidth="1"/>
    <col min="3353" max="3353" width="1.5703125" style="1" customWidth="1"/>
    <col min="3354" max="3354" width="12.28515625" style="1" customWidth="1"/>
    <col min="3355" max="3355" width="1.5703125" style="1" customWidth="1"/>
    <col min="3356" max="3356" width="12.28515625" style="1" customWidth="1"/>
    <col min="3357" max="3357" width="0.85546875" style="1" customWidth="1"/>
    <col min="3358" max="3358" width="12.28515625" style="1" customWidth="1"/>
    <col min="3359" max="3359" width="1.5703125" style="1" customWidth="1"/>
    <col min="3360" max="3360" width="12.28515625" style="1" customWidth="1"/>
    <col min="3361" max="3361" width="1.5703125" style="1" customWidth="1"/>
    <col min="3362" max="3362" width="12.28515625" style="1" customWidth="1"/>
    <col min="3363" max="3363" width="1.42578125" style="1" customWidth="1"/>
    <col min="3364" max="3587" width="13.85546875" style="1"/>
    <col min="3588" max="3588" width="7.85546875" style="1" customWidth="1"/>
    <col min="3589" max="3590" width="2.28515625" style="1" customWidth="1"/>
    <col min="3591" max="3591" width="31.42578125" style="1" customWidth="1"/>
    <col min="3592" max="3592" width="2.28515625" style="1" customWidth="1"/>
    <col min="3593" max="3593" width="2.140625" style="1" customWidth="1"/>
    <col min="3594" max="3594" width="12.28515625" style="1" customWidth="1"/>
    <col min="3595" max="3595" width="1.5703125" style="1" customWidth="1"/>
    <col min="3596" max="3596" width="12.28515625" style="1" customWidth="1"/>
    <col min="3597" max="3597" width="1.5703125" style="1" customWidth="1"/>
    <col min="3598" max="3598" width="12.28515625" style="1" customWidth="1"/>
    <col min="3599" max="3599" width="1.5703125" style="1" customWidth="1"/>
    <col min="3600" max="3600" width="13.5703125" style="1" customWidth="1"/>
    <col min="3601" max="3601" width="0.85546875" style="1" customWidth="1"/>
    <col min="3602" max="3602" width="12.28515625" style="1" customWidth="1"/>
    <col min="3603" max="3603" width="1.5703125" style="1" customWidth="1"/>
    <col min="3604" max="3604" width="12.28515625" style="1" customWidth="1"/>
    <col min="3605" max="3605" width="1.5703125" style="1" customWidth="1"/>
    <col min="3606" max="3606" width="12.28515625" style="1" customWidth="1"/>
    <col min="3607" max="3607" width="0.85546875" style="1" customWidth="1"/>
    <col min="3608" max="3608" width="12.28515625" style="1" customWidth="1"/>
    <col min="3609" max="3609" width="1.5703125" style="1" customWidth="1"/>
    <col min="3610" max="3610" width="12.28515625" style="1" customWidth="1"/>
    <col min="3611" max="3611" width="1.5703125" style="1" customWidth="1"/>
    <col min="3612" max="3612" width="12.28515625" style="1" customWidth="1"/>
    <col min="3613" max="3613" width="0.85546875" style="1" customWidth="1"/>
    <col min="3614" max="3614" width="12.28515625" style="1" customWidth="1"/>
    <col min="3615" max="3615" width="1.5703125" style="1" customWidth="1"/>
    <col min="3616" max="3616" width="12.28515625" style="1" customWidth="1"/>
    <col min="3617" max="3617" width="1.5703125" style="1" customWidth="1"/>
    <col min="3618" max="3618" width="12.28515625" style="1" customWidth="1"/>
    <col min="3619" max="3619" width="1.42578125" style="1" customWidth="1"/>
    <col min="3620" max="3843" width="13.85546875" style="1"/>
    <col min="3844" max="3844" width="7.85546875" style="1" customWidth="1"/>
    <col min="3845" max="3846" width="2.28515625" style="1" customWidth="1"/>
    <col min="3847" max="3847" width="31.42578125" style="1" customWidth="1"/>
    <col min="3848" max="3848" width="2.28515625" style="1" customWidth="1"/>
    <col min="3849" max="3849" width="2.140625" style="1" customWidth="1"/>
    <col min="3850" max="3850" width="12.28515625" style="1" customWidth="1"/>
    <col min="3851" max="3851" width="1.5703125" style="1" customWidth="1"/>
    <col min="3852" max="3852" width="12.28515625" style="1" customWidth="1"/>
    <col min="3853" max="3853" width="1.5703125" style="1" customWidth="1"/>
    <col min="3854" max="3854" width="12.28515625" style="1" customWidth="1"/>
    <col min="3855" max="3855" width="1.5703125" style="1" customWidth="1"/>
    <col min="3856" max="3856" width="13.5703125" style="1" customWidth="1"/>
    <col min="3857" max="3857" width="0.85546875" style="1" customWidth="1"/>
    <col min="3858" max="3858" width="12.28515625" style="1" customWidth="1"/>
    <col min="3859" max="3859" width="1.5703125" style="1" customWidth="1"/>
    <col min="3860" max="3860" width="12.28515625" style="1" customWidth="1"/>
    <col min="3861" max="3861" width="1.5703125" style="1" customWidth="1"/>
    <col min="3862" max="3862" width="12.28515625" style="1" customWidth="1"/>
    <col min="3863" max="3863" width="0.85546875" style="1" customWidth="1"/>
    <col min="3864" max="3864" width="12.28515625" style="1" customWidth="1"/>
    <col min="3865" max="3865" width="1.5703125" style="1" customWidth="1"/>
    <col min="3866" max="3866" width="12.28515625" style="1" customWidth="1"/>
    <col min="3867" max="3867" width="1.5703125" style="1" customWidth="1"/>
    <col min="3868" max="3868" width="12.28515625" style="1" customWidth="1"/>
    <col min="3869" max="3869" width="0.85546875" style="1" customWidth="1"/>
    <col min="3870" max="3870" width="12.28515625" style="1" customWidth="1"/>
    <col min="3871" max="3871" width="1.5703125" style="1" customWidth="1"/>
    <col min="3872" max="3872" width="12.28515625" style="1" customWidth="1"/>
    <col min="3873" max="3873" width="1.5703125" style="1" customWidth="1"/>
    <col min="3874" max="3874" width="12.28515625" style="1" customWidth="1"/>
    <col min="3875" max="3875" width="1.42578125" style="1" customWidth="1"/>
    <col min="3876" max="4099" width="13.85546875" style="1"/>
    <col min="4100" max="4100" width="7.85546875" style="1" customWidth="1"/>
    <col min="4101" max="4102" width="2.28515625" style="1" customWidth="1"/>
    <col min="4103" max="4103" width="31.42578125" style="1" customWidth="1"/>
    <col min="4104" max="4104" width="2.28515625" style="1" customWidth="1"/>
    <col min="4105" max="4105" width="2.140625" style="1" customWidth="1"/>
    <col min="4106" max="4106" width="12.28515625" style="1" customWidth="1"/>
    <col min="4107" max="4107" width="1.5703125" style="1" customWidth="1"/>
    <col min="4108" max="4108" width="12.28515625" style="1" customWidth="1"/>
    <col min="4109" max="4109" width="1.5703125" style="1" customWidth="1"/>
    <col min="4110" max="4110" width="12.28515625" style="1" customWidth="1"/>
    <col min="4111" max="4111" width="1.5703125" style="1" customWidth="1"/>
    <col min="4112" max="4112" width="13.5703125" style="1" customWidth="1"/>
    <col min="4113" max="4113" width="0.85546875" style="1" customWidth="1"/>
    <col min="4114" max="4114" width="12.28515625" style="1" customWidth="1"/>
    <col min="4115" max="4115" width="1.5703125" style="1" customWidth="1"/>
    <col min="4116" max="4116" width="12.28515625" style="1" customWidth="1"/>
    <col min="4117" max="4117" width="1.5703125" style="1" customWidth="1"/>
    <col min="4118" max="4118" width="12.28515625" style="1" customWidth="1"/>
    <col min="4119" max="4119" width="0.85546875" style="1" customWidth="1"/>
    <col min="4120" max="4120" width="12.28515625" style="1" customWidth="1"/>
    <col min="4121" max="4121" width="1.5703125" style="1" customWidth="1"/>
    <col min="4122" max="4122" width="12.28515625" style="1" customWidth="1"/>
    <col min="4123" max="4123" width="1.5703125" style="1" customWidth="1"/>
    <col min="4124" max="4124" width="12.28515625" style="1" customWidth="1"/>
    <col min="4125" max="4125" width="0.85546875" style="1" customWidth="1"/>
    <col min="4126" max="4126" width="12.28515625" style="1" customWidth="1"/>
    <col min="4127" max="4127" width="1.5703125" style="1" customWidth="1"/>
    <col min="4128" max="4128" width="12.28515625" style="1" customWidth="1"/>
    <col min="4129" max="4129" width="1.5703125" style="1" customWidth="1"/>
    <col min="4130" max="4130" width="12.28515625" style="1" customWidth="1"/>
    <col min="4131" max="4131" width="1.42578125" style="1" customWidth="1"/>
    <col min="4132" max="4355" width="13.85546875" style="1"/>
    <col min="4356" max="4356" width="7.85546875" style="1" customWidth="1"/>
    <col min="4357" max="4358" width="2.28515625" style="1" customWidth="1"/>
    <col min="4359" max="4359" width="31.42578125" style="1" customWidth="1"/>
    <col min="4360" max="4360" width="2.28515625" style="1" customWidth="1"/>
    <col min="4361" max="4361" width="2.140625" style="1" customWidth="1"/>
    <col min="4362" max="4362" width="12.28515625" style="1" customWidth="1"/>
    <col min="4363" max="4363" width="1.5703125" style="1" customWidth="1"/>
    <col min="4364" max="4364" width="12.28515625" style="1" customWidth="1"/>
    <col min="4365" max="4365" width="1.5703125" style="1" customWidth="1"/>
    <col min="4366" max="4366" width="12.28515625" style="1" customWidth="1"/>
    <col min="4367" max="4367" width="1.5703125" style="1" customWidth="1"/>
    <col min="4368" max="4368" width="13.5703125" style="1" customWidth="1"/>
    <col min="4369" max="4369" width="0.85546875" style="1" customWidth="1"/>
    <col min="4370" max="4370" width="12.28515625" style="1" customWidth="1"/>
    <col min="4371" max="4371" width="1.5703125" style="1" customWidth="1"/>
    <col min="4372" max="4372" width="12.28515625" style="1" customWidth="1"/>
    <col min="4373" max="4373" width="1.5703125" style="1" customWidth="1"/>
    <col min="4374" max="4374" width="12.28515625" style="1" customWidth="1"/>
    <col min="4375" max="4375" width="0.85546875" style="1" customWidth="1"/>
    <col min="4376" max="4376" width="12.28515625" style="1" customWidth="1"/>
    <col min="4377" max="4377" width="1.5703125" style="1" customWidth="1"/>
    <col min="4378" max="4378" width="12.28515625" style="1" customWidth="1"/>
    <col min="4379" max="4379" width="1.5703125" style="1" customWidth="1"/>
    <col min="4380" max="4380" width="12.28515625" style="1" customWidth="1"/>
    <col min="4381" max="4381" width="0.85546875" style="1" customWidth="1"/>
    <col min="4382" max="4382" width="12.28515625" style="1" customWidth="1"/>
    <col min="4383" max="4383" width="1.5703125" style="1" customWidth="1"/>
    <col min="4384" max="4384" width="12.28515625" style="1" customWidth="1"/>
    <col min="4385" max="4385" width="1.5703125" style="1" customWidth="1"/>
    <col min="4386" max="4386" width="12.28515625" style="1" customWidth="1"/>
    <col min="4387" max="4387" width="1.42578125" style="1" customWidth="1"/>
    <col min="4388" max="4611" width="13.85546875" style="1"/>
    <col min="4612" max="4612" width="7.85546875" style="1" customWidth="1"/>
    <col min="4613" max="4614" width="2.28515625" style="1" customWidth="1"/>
    <col min="4615" max="4615" width="31.42578125" style="1" customWidth="1"/>
    <col min="4616" max="4616" width="2.28515625" style="1" customWidth="1"/>
    <col min="4617" max="4617" width="2.140625" style="1" customWidth="1"/>
    <col min="4618" max="4618" width="12.28515625" style="1" customWidth="1"/>
    <col min="4619" max="4619" width="1.5703125" style="1" customWidth="1"/>
    <col min="4620" max="4620" width="12.28515625" style="1" customWidth="1"/>
    <col min="4621" max="4621" width="1.5703125" style="1" customWidth="1"/>
    <col min="4622" max="4622" width="12.28515625" style="1" customWidth="1"/>
    <col min="4623" max="4623" width="1.5703125" style="1" customWidth="1"/>
    <col min="4624" max="4624" width="13.5703125" style="1" customWidth="1"/>
    <col min="4625" max="4625" width="0.85546875" style="1" customWidth="1"/>
    <col min="4626" max="4626" width="12.28515625" style="1" customWidth="1"/>
    <col min="4627" max="4627" width="1.5703125" style="1" customWidth="1"/>
    <col min="4628" max="4628" width="12.28515625" style="1" customWidth="1"/>
    <col min="4629" max="4629" width="1.5703125" style="1" customWidth="1"/>
    <col min="4630" max="4630" width="12.28515625" style="1" customWidth="1"/>
    <col min="4631" max="4631" width="0.85546875" style="1" customWidth="1"/>
    <col min="4632" max="4632" width="12.28515625" style="1" customWidth="1"/>
    <col min="4633" max="4633" width="1.5703125" style="1" customWidth="1"/>
    <col min="4634" max="4634" width="12.28515625" style="1" customWidth="1"/>
    <col min="4635" max="4635" width="1.5703125" style="1" customWidth="1"/>
    <col min="4636" max="4636" width="12.28515625" style="1" customWidth="1"/>
    <col min="4637" max="4637" width="0.85546875" style="1" customWidth="1"/>
    <col min="4638" max="4638" width="12.28515625" style="1" customWidth="1"/>
    <col min="4639" max="4639" width="1.5703125" style="1" customWidth="1"/>
    <col min="4640" max="4640" width="12.28515625" style="1" customWidth="1"/>
    <col min="4641" max="4641" width="1.5703125" style="1" customWidth="1"/>
    <col min="4642" max="4642" width="12.28515625" style="1" customWidth="1"/>
    <col min="4643" max="4643" width="1.42578125" style="1" customWidth="1"/>
    <col min="4644" max="4867" width="13.85546875" style="1"/>
    <col min="4868" max="4868" width="7.85546875" style="1" customWidth="1"/>
    <col min="4869" max="4870" width="2.28515625" style="1" customWidth="1"/>
    <col min="4871" max="4871" width="31.42578125" style="1" customWidth="1"/>
    <col min="4872" max="4872" width="2.28515625" style="1" customWidth="1"/>
    <col min="4873" max="4873" width="2.140625" style="1" customWidth="1"/>
    <col min="4874" max="4874" width="12.28515625" style="1" customWidth="1"/>
    <col min="4875" max="4875" width="1.5703125" style="1" customWidth="1"/>
    <col min="4876" max="4876" width="12.28515625" style="1" customWidth="1"/>
    <col min="4877" max="4877" width="1.5703125" style="1" customWidth="1"/>
    <col min="4878" max="4878" width="12.28515625" style="1" customWidth="1"/>
    <col min="4879" max="4879" width="1.5703125" style="1" customWidth="1"/>
    <col min="4880" max="4880" width="13.5703125" style="1" customWidth="1"/>
    <col min="4881" max="4881" width="0.85546875" style="1" customWidth="1"/>
    <col min="4882" max="4882" width="12.28515625" style="1" customWidth="1"/>
    <col min="4883" max="4883" width="1.5703125" style="1" customWidth="1"/>
    <col min="4884" max="4884" width="12.28515625" style="1" customWidth="1"/>
    <col min="4885" max="4885" width="1.5703125" style="1" customWidth="1"/>
    <col min="4886" max="4886" width="12.28515625" style="1" customWidth="1"/>
    <col min="4887" max="4887" width="0.85546875" style="1" customWidth="1"/>
    <col min="4888" max="4888" width="12.28515625" style="1" customWidth="1"/>
    <col min="4889" max="4889" width="1.5703125" style="1" customWidth="1"/>
    <col min="4890" max="4890" width="12.28515625" style="1" customWidth="1"/>
    <col min="4891" max="4891" width="1.5703125" style="1" customWidth="1"/>
    <col min="4892" max="4892" width="12.28515625" style="1" customWidth="1"/>
    <col min="4893" max="4893" width="0.85546875" style="1" customWidth="1"/>
    <col min="4894" max="4894" width="12.28515625" style="1" customWidth="1"/>
    <col min="4895" max="4895" width="1.5703125" style="1" customWidth="1"/>
    <col min="4896" max="4896" width="12.28515625" style="1" customWidth="1"/>
    <col min="4897" max="4897" width="1.5703125" style="1" customWidth="1"/>
    <col min="4898" max="4898" width="12.28515625" style="1" customWidth="1"/>
    <col min="4899" max="4899" width="1.42578125" style="1" customWidth="1"/>
    <col min="4900" max="5123" width="13.85546875" style="1"/>
    <col min="5124" max="5124" width="7.85546875" style="1" customWidth="1"/>
    <col min="5125" max="5126" width="2.28515625" style="1" customWidth="1"/>
    <col min="5127" max="5127" width="31.42578125" style="1" customWidth="1"/>
    <col min="5128" max="5128" width="2.28515625" style="1" customWidth="1"/>
    <col min="5129" max="5129" width="2.140625" style="1" customWidth="1"/>
    <col min="5130" max="5130" width="12.28515625" style="1" customWidth="1"/>
    <col min="5131" max="5131" width="1.5703125" style="1" customWidth="1"/>
    <col min="5132" max="5132" width="12.28515625" style="1" customWidth="1"/>
    <col min="5133" max="5133" width="1.5703125" style="1" customWidth="1"/>
    <col min="5134" max="5134" width="12.28515625" style="1" customWidth="1"/>
    <col min="5135" max="5135" width="1.5703125" style="1" customWidth="1"/>
    <col min="5136" max="5136" width="13.5703125" style="1" customWidth="1"/>
    <col min="5137" max="5137" width="0.85546875" style="1" customWidth="1"/>
    <col min="5138" max="5138" width="12.28515625" style="1" customWidth="1"/>
    <col min="5139" max="5139" width="1.5703125" style="1" customWidth="1"/>
    <col min="5140" max="5140" width="12.28515625" style="1" customWidth="1"/>
    <col min="5141" max="5141" width="1.5703125" style="1" customWidth="1"/>
    <col min="5142" max="5142" width="12.28515625" style="1" customWidth="1"/>
    <col min="5143" max="5143" width="0.85546875" style="1" customWidth="1"/>
    <col min="5144" max="5144" width="12.28515625" style="1" customWidth="1"/>
    <col min="5145" max="5145" width="1.5703125" style="1" customWidth="1"/>
    <col min="5146" max="5146" width="12.28515625" style="1" customWidth="1"/>
    <col min="5147" max="5147" width="1.5703125" style="1" customWidth="1"/>
    <col min="5148" max="5148" width="12.28515625" style="1" customWidth="1"/>
    <col min="5149" max="5149" width="0.85546875" style="1" customWidth="1"/>
    <col min="5150" max="5150" width="12.28515625" style="1" customWidth="1"/>
    <col min="5151" max="5151" width="1.5703125" style="1" customWidth="1"/>
    <col min="5152" max="5152" width="12.28515625" style="1" customWidth="1"/>
    <col min="5153" max="5153" width="1.5703125" style="1" customWidth="1"/>
    <col min="5154" max="5154" width="12.28515625" style="1" customWidth="1"/>
    <col min="5155" max="5155" width="1.42578125" style="1" customWidth="1"/>
    <col min="5156" max="5379" width="13.85546875" style="1"/>
    <col min="5380" max="5380" width="7.85546875" style="1" customWidth="1"/>
    <col min="5381" max="5382" width="2.28515625" style="1" customWidth="1"/>
    <col min="5383" max="5383" width="31.42578125" style="1" customWidth="1"/>
    <col min="5384" max="5384" width="2.28515625" style="1" customWidth="1"/>
    <col min="5385" max="5385" width="2.140625" style="1" customWidth="1"/>
    <col min="5386" max="5386" width="12.28515625" style="1" customWidth="1"/>
    <col min="5387" max="5387" width="1.5703125" style="1" customWidth="1"/>
    <col min="5388" max="5388" width="12.28515625" style="1" customWidth="1"/>
    <col min="5389" max="5389" width="1.5703125" style="1" customWidth="1"/>
    <col min="5390" max="5390" width="12.28515625" style="1" customWidth="1"/>
    <col min="5391" max="5391" width="1.5703125" style="1" customWidth="1"/>
    <col min="5392" max="5392" width="13.5703125" style="1" customWidth="1"/>
    <col min="5393" max="5393" width="0.85546875" style="1" customWidth="1"/>
    <col min="5394" max="5394" width="12.28515625" style="1" customWidth="1"/>
    <col min="5395" max="5395" width="1.5703125" style="1" customWidth="1"/>
    <col min="5396" max="5396" width="12.28515625" style="1" customWidth="1"/>
    <col min="5397" max="5397" width="1.5703125" style="1" customWidth="1"/>
    <col min="5398" max="5398" width="12.28515625" style="1" customWidth="1"/>
    <col min="5399" max="5399" width="0.85546875" style="1" customWidth="1"/>
    <col min="5400" max="5400" width="12.28515625" style="1" customWidth="1"/>
    <col min="5401" max="5401" width="1.5703125" style="1" customWidth="1"/>
    <col min="5402" max="5402" width="12.28515625" style="1" customWidth="1"/>
    <col min="5403" max="5403" width="1.5703125" style="1" customWidth="1"/>
    <col min="5404" max="5404" width="12.28515625" style="1" customWidth="1"/>
    <col min="5405" max="5405" width="0.85546875" style="1" customWidth="1"/>
    <col min="5406" max="5406" width="12.28515625" style="1" customWidth="1"/>
    <col min="5407" max="5407" width="1.5703125" style="1" customWidth="1"/>
    <col min="5408" max="5408" width="12.28515625" style="1" customWidth="1"/>
    <col min="5409" max="5409" width="1.5703125" style="1" customWidth="1"/>
    <col min="5410" max="5410" width="12.28515625" style="1" customWidth="1"/>
    <col min="5411" max="5411" width="1.42578125" style="1" customWidth="1"/>
    <col min="5412" max="5635" width="13.85546875" style="1"/>
    <col min="5636" max="5636" width="7.85546875" style="1" customWidth="1"/>
    <col min="5637" max="5638" width="2.28515625" style="1" customWidth="1"/>
    <col min="5639" max="5639" width="31.42578125" style="1" customWidth="1"/>
    <col min="5640" max="5640" width="2.28515625" style="1" customWidth="1"/>
    <col min="5641" max="5641" width="2.140625" style="1" customWidth="1"/>
    <col min="5642" max="5642" width="12.28515625" style="1" customWidth="1"/>
    <col min="5643" max="5643" width="1.5703125" style="1" customWidth="1"/>
    <col min="5644" max="5644" width="12.28515625" style="1" customWidth="1"/>
    <col min="5645" max="5645" width="1.5703125" style="1" customWidth="1"/>
    <col min="5646" max="5646" width="12.28515625" style="1" customWidth="1"/>
    <col min="5647" max="5647" width="1.5703125" style="1" customWidth="1"/>
    <col min="5648" max="5648" width="13.5703125" style="1" customWidth="1"/>
    <col min="5649" max="5649" width="0.85546875" style="1" customWidth="1"/>
    <col min="5650" max="5650" width="12.28515625" style="1" customWidth="1"/>
    <col min="5651" max="5651" width="1.5703125" style="1" customWidth="1"/>
    <col min="5652" max="5652" width="12.28515625" style="1" customWidth="1"/>
    <col min="5653" max="5653" width="1.5703125" style="1" customWidth="1"/>
    <col min="5654" max="5654" width="12.28515625" style="1" customWidth="1"/>
    <col min="5655" max="5655" width="0.85546875" style="1" customWidth="1"/>
    <col min="5656" max="5656" width="12.28515625" style="1" customWidth="1"/>
    <col min="5657" max="5657" width="1.5703125" style="1" customWidth="1"/>
    <col min="5658" max="5658" width="12.28515625" style="1" customWidth="1"/>
    <col min="5659" max="5659" width="1.5703125" style="1" customWidth="1"/>
    <col min="5660" max="5660" width="12.28515625" style="1" customWidth="1"/>
    <col min="5661" max="5661" width="0.85546875" style="1" customWidth="1"/>
    <col min="5662" max="5662" width="12.28515625" style="1" customWidth="1"/>
    <col min="5663" max="5663" width="1.5703125" style="1" customWidth="1"/>
    <col min="5664" max="5664" width="12.28515625" style="1" customWidth="1"/>
    <col min="5665" max="5665" width="1.5703125" style="1" customWidth="1"/>
    <col min="5666" max="5666" width="12.28515625" style="1" customWidth="1"/>
    <col min="5667" max="5667" width="1.42578125" style="1" customWidth="1"/>
    <col min="5668" max="5891" width="13.85546875" style="1"/>
    <col min="5892" max="5892" width="7.85546875" style="1" customWidth="1"/>
    <col min="5893" max="5894" width="2.28515625" style="1" customWidth="1"/>
    <col min="5895" max="5895" width="31.42578125" style="1" customWidth="1"/>
    <col min="5896" max="5896" width="2.28515625" style="1" customWidth="1"/>
    <col min="5897" max="5897" width="2.140625" style="1" customWidth="1"/>
    <col min="5898" max="5898" width="12.28515625" style="1" customWidth="1"/>
    <col min="5899" max="5899" width="1.5703125" style="1" customWidth="1"/>
    <col min="5900" max="5900" width="12.28515625" style="1" customWidth="1"/>
    <col min="5901" max="5901" width="1.5703125" style="1" customWidth="1"/>
    <col min="5902" max="5902" width="12.28515625" style="1" customWidth="1"/>
    <col min="5903" max="5903" width="1.5703125" style="1" customWidth="1"/>
    <col min="5904" max="5904" width="13.5703125" style="1" customWidth="1"/>
    <col min="5905" max="5905" width="0.85546875" style="1" customWidth="1"/>
    <col min="5906" max="5906" width="12.28515625" style="1" customWidth="1"/>
    <col min="5907" max="5907" width="1.5703125" style="1" customWidth="1"/>
    <col min="5908" max="5908" width="12.28515625" style="1" customWidth="1"/>
    <col min="5909" max="5909" width="1.5703125" style="1" customWidth="1"/>
    <col min="5910" max="5910" width="12.28515625" style="1" customWidth="1"/>
    <col min="5911" max="5911" width="0.85546875" style="1" customWidth="1"/>
    <col min="5912" max="5912" width="12.28515625" style="1" customWidth="1"/>
    <col min="5913" max="5913" width="1.5703125" style="1" customWidth="1"/>
    <col min="5914" max="5914" width="12.28515625" style="1" customWidth="1"/>
    <col min="5915" max="5915" width="1.5703125" style="1" customWidth="1"/>
    <col min="5916" max="5916" width="12.28515625" style="1" customWidth="1"/>
    <col min="5917" max="5917" width="0.85546875" style="1" customWidth="1"/>
    <col min="5918" max="5918" width="12.28515625" style="1" customWidth="1"/>
    <col min="5919" max="5919" width="1.5703125" style="1" customWidth="1"/>
    <col min="5920" max="5920" width="12.28515625" style="1" customWidth="1"/>
    <col min="5921" max="5921" width="1.5703125" style="1" customWidth="1"/>
    <col min="5922" max="5922" width="12.28515625" style="1" customWidth="1"/>
    <col min="5923" max="5923" width="1.42578125" style="1" customWidth="1"/>
    <col min="5924" max="6147" width="13.85546875" style="1"/>
    <col min="6148" max="6148" width="7.85546875" style="1" customWidth="1"/>
    <col min="6149" max="6150" width="2.28515625" style="1" customWidth="1"/>
    <col min="6151" max="6151" width="31.42578125" style="1" customWidth="1"/>
    <col min="6152" max="6152" width="2.28515625" style="1" customWidth="1"/>
    <col min="6153" max="6153" width="2.140625" style="1" customWidth="1"/>
    <col min="6154" max="6154" width="12.28515625" style="1" customWidth="1"/>
    <col min="6155" max="6155" width="1.5703125" style="1" customWidth="1"/>
    <col min="6156" max="6156" width="12.28515625" style="1" customWidth="1"/>
    <col min="6157" max="6157" width="1.5703125" style="1" customWidth="1"/>
    <col min="6158" max="6158" width="12.28515625" style="1" customWidth="1"/>
    <col min="6159" max="6159" width="1.5703125" style="1" customWidth="1"/>
    <col min="6160" max="6160" width="13.5703125" style="1" customWidth="1"/>
    <col min="6161" max="6161" width="0.85546875" style="1" customWidth="1"/>
    <col min="6162" max="6162" width="12.28515625" style="1" customWidth="1"/>
    <col min="6163" max="6163" width="1.5703125" style="1" customWidth="1"/>
    <col min="6164" max="6164" width="12.28515625" style="1" customWidth="1"/>
    <col min="6165" max="6165" width="1.5703125" style="1" customWidth="1"/>
    <col min="6166" max="6166" width="12.28515625" style="1" customWidth="1"/>
    <col min="6167" max="6167" width="0.85546875" style="1" customWidth="1"/>
    <col min="6168" max="6168" width="12.28515625" style="1" customWidth="1"/>
    <col min="6169" max="6169" width="1.5703125" style="1" customWidth="1"/>
    <col min="6170" max="6170" width="12.28515625" style="1" customWidth="1"/>
    <col min="6171" max="6171" width="1.5703125" style="1" customWidth="1"/>
    <col min="6172" max="6172" width="12.28515625" style="1" customWidth="1"/>
    <col min="6173" max="6173" width="0.85546875" style="1" customWidth="1"/>
    <col min="6174" max="6174" width="12.28515625" style="1" customWidth="1"/>
    <col min="6175" max="6175" width="1.5703125" style="1" customWidth="1"/>
    <col min="6176" max="6176" width="12.28515625" style="1" customWidth="1"/>
    <col min="6177" max="6177" width="1.5703125" style="1" customWidth="1"/>
    <col min="6178" max="6178" width="12.28515625" style="1" customWidth="1"/>
    <col min="6179" max="6179" width="1.42578125" style="1" customWidth="1"/>
    <col min="6180" max="6403" width="13.85546875" style="1"/>
    <col min="6404" max="6404" width="7.85546875" style="1" customWidth="1"/>
    <col min="6405" max="6406" width="2.28515625" style="1" customWidth="1"/>
    <col min="6407" max="6407" width="31.42578125" style="1" customWidth="1"/>
    <col min="6408" max="6408" width="2.28515625" style="1" customWidth="1"/>
    <col min="6409" max="6409" width="2.140625" style="1" customWidth="1"/>
    <col min="6410" max="6410" width="12.28515625" style="1" customWidth="1"/>
    <col min="6411" max="6411" width="1.5703125" style="1" customWidth="1"/>
    <col min="6412" max="6412" width="12.28515625" style="1" customWidth="1"/>
    <col min="6413" max="6413" width="1.5703125" style="1" customWidth="1"/>
    <col min="6414" max="6414" width="12.28515625" style="1" customWidth="1"/>
    <col min="6415" max="6415" width="1.5703125" style="1" customWidth="1"/>
    <col min="6416" max="6416" width="13.5703125" style="1" customWidth="1"/>
    <col min="6417" max="6417" width="0.85546875" style="1" customWidth="1"/>
    <col min="6418" max="6418" width="12.28515625" style="1" customWidth="1"/>
    <col min="6419" max="6419" width="1.5703125" style="1" customWidth="1"/>
    <col min="6420" max="6420" width="12.28515625" style="1" customWidth="1"/>
    <col min="6421" max="6421" width="1.5703125" style="1" customWidth="1"/>
    <col min="6422" max="6422" width="12.28515625" style="1" customWidth="1"/>
    <col min="6423" max="6423" width="0.85546875" style="1" customWidth="1"/>
    <col min="6424" max="6424" width="12.28515625" style="1" customWidth="1"/>
    <col min="6425" max="6425" width="1.5703125" style="1" customWidth="1"/>
    <col min="6426" max="6426" width="12.28515625" style="1" customWidth="1"/>
    <col min="6427" max="6427" width="1.5703125" style="1" customWidth="1"/>
    <col min="6428" max="6428" width="12.28515625" style="1" customWidth="1"/>
    <col min="6429" max="6429" width="0.85546875" style="1" customWidth="1"/>
    <col min="6430" max="6430" width="12.28515625" style="1" customWidth="1"/>
    <col min="6431" max="6431" width="1.5703125" style="1" customWidth="1"/>
    <col min="6432" max="6432" width="12.28515625" style="1" customWidth="1"/>
    <col min="6433" max="6433" width="1.5703125" style="1" customWidth="1"/>
    <col min="6434" max="6434" width="12.28515625" style="1" customWidth="1"/>
    <col min="6435" max="6435" width="1.42578125" style="1" customWidth="1"/>
    <col min="6436" max="6659" width="13.85546875" style="1"/>
    <col min="6660" max="6660" width="7.85546875" style="1" customWidth="1"/>
    <col min="6661" max="6662" width="2.28515625" style="1" customWidth="1"/>
    <col min="6663" max="6663" width="31.42578125" style="1" customWidth="1"/>
    <col min="6664" max="6664" width="2.28515625" style="1" customWidth="1"/>
    <col min="6665" max="6665" width="2.140625" style="1" customWidth="1"/>
    <col min="6666" max="6666" width="12.28515625" style="1" customWidth="1"/>
    <col min="6667" max="6667" width="1.5703125" style="1" customWidth="1"/>
    <col min="6668" max="6668" width="12.28515625" style="1" customWidth="1"/>
    <col min="6669" max="6669" width="1.5703125" style="1" customWidth="1"/>
    <col min="6670" max="6670" width="12.28515625" style="1" customWidth="1"/>
    <col min="6671" max="6671" width="1.5703125" style="1" customWidth="1"/>
    <col min="6672" max="6672" width="13.5703125" style="1" customWidth="1"/>
    <col min="6673" max="6673" width="0.85546875" style="1" customWidth="1"/>
    <col min="6674" max="6674" width="12.28515625" style="1" customWidth="1"/>
    <col min="6675" max="6675" width="1.5703125" style="1" customWidth="1"/>
    <col min="6676" max="6676" width="12.28515625" style="1" customWidth="1"/>
    <col min="6677" max="6677" width="1.5703125" style="1" customWidth="1"/>
    <col min="6678" max="6678" width="12.28515625" style="1" customWidth="1"/>
    <col min="6679" max="6679" width="0.85546875" style="1" customWidth="1"/>
    <col min="6680" max="6680" width="12.28515625" style="1" customWidth="1"/>
    <col min="6681" max="6681" width="1.5703125" style="1" customWidth="1"/>
    <col min="6682" max="6682" width="12.28515625" style="1" customWidth="1"/>
    <col min="6683" max="6683" width="1.5703125" style="1" customWidth="1"/>
    <col min="6684" max="6684" width="12.28515625" style="1" customWidth="1"/>
    <col min="6685" max="6685" width="0.85546875" style="1" customWidth="1"/>
    <col min="6686" max="6686" width="12.28515625" style="1" customWidth="1"/>
    <col min="6687" max="6687" width="1.5703125" style="1" customWidth="1"/>
    <col min="6688" max="6688" width="12.28515625" style="1" customWidth="1"/>
    <col min="6689" max="6689" width="1.5703125" style="1" customWidth="1"/>
    <col min="6690" max="6690" width="12.28515625" style="1" customWidth="1"/>
    <col min="6691" max="6691" width="1.42578125" style="1" customWidth="1"/>
    <col min="6692" max="6915" width="13.85546875" style="1"/>
    <col min="6916" max="6916" width="7.85546875" style="1" customWidth="1"/>
    <col min="6917" max="6918" width="2.28515625" style="1" customWidth="1"/>
    <col min="6919" max="6919" width="31.42578125" style="1" customWidth="1"/>
    <col min="6920" max="6920" width="2.28515625" style="1" customWidth="1"/>
    <col min="6921" max="6921" width="2.140625" style="1" customWidth="1"/>
    <col min="6922" max="6922" width="12.28515625" style="1" customWidth="1"/>
    <col min="6923" max="6923" width="1.5703125" style="1" customWidth="1"/>
    <col min="6924" max="6924" width="12.28515625" style="1" customWidth="1"/>
    <col min="6925" max="6925" width="1.5703125" style="1" customWidth="1"/>
    <col min="6926" max="6926" width="12.28515625" style="1" customWidth="1"/>
    <col min="6927" max="6927" width="1.5703125" style="1" customWidth="1"/>
    <col min="6928" max="6928" width="13.5703125" style="1" customWidth="1"/>
    <col min="6929" max="6929" width="0.85546875" style="1" customWidth="1"/>
    <col min="6930" max="6930" width="12.28515625" style="1" customWidth="1"/>
    <col min="6931" max="6931" width="1.5703125" style="1" customWidth="1"/>
    <col min="6932" max="6932" width="12.28515625" style="1" customWidth="1"/>
    <col min="6933" max="6933" width="1.5703125" style="1" customWidth="1"/>
    <col min="6934" max="6934" width="12.28515625" style="1" customWidth="1"/>
    <col min="6935" max="6935" width="0.85546875" style="1" customWidth="1"/>
    <col min="6936" max="6936" width="12.28515625" style="1" customWidth="1"/>
    <col min="6937" max="6937" width="1.5703125" style="1" customWidth="1"/>
    <col min="6938" max="6938" width="12.28515625" style="1" customWidth="1"/>
    <col min="6939" max="6939" width="1.5703125" style="1" customWidth="1"/>
    <col min="6940" max="6940" width="12.28515625" style="1" customWidth="1"/>
    <col min="6941" max="6941" width="0.85546875" style="1" customWidth="1"/>
    <col min="6942" max="6942" width="12.28515625" style="1" customWidth="1"/>
    <col min="6943" max="6943" width="1.5703125" style="1" customWidth="1"/>
    <col min="6944" max="6944" width="12.28515625" style="1" customWidth="1"/>
    <col min="6945" max="6945" width="1.5703125" style="1" customWidth="1"/>
    <col min="6946" max="6946" width="12.28515625" style="1" customWidth="1"/>
    <col min="6947" max="6947" width="1.42578125" style="1" customWidth="1"/>
    <col min="6948" max="7171" width="13.85546875" style="1"/>
    <col min="7172" max="7172" width="7.85546875" style="1" customWidth="1"/>
    <col min="7173" max="7174" width="2.28515625" style="1" customWidth="1"/>
    <col min="7175" max="7175" width="31.42578125" style="1" customWidth="1"/>
    <col min="7176" max="7176" width="2.28515625" style="1" customWidth="1"/>
    <col min="7177" max="7177" width="2.140625" style="1" customWidth="1"/>
    <col min="7178" max="7178" width="12.28515625" style="1" customWidth="1"/>
    <col min="7179" max="7179" width="1.5703125" style="1" customWidth="1"/>
    <col min="7180" max="7180" width="12.28515625" style="1" customWidth="1"/>
    <col min="7181" max="7181" width="1.5703125" style="1" customWidth="1"/>
    <col min="7182" max="7182" width="12.28515625" style="1" customWidth="1"/>
    <col min="7183" max="7183" width="1.5703125" style="1" customWidth="1"/>
    <col min="7184" max="7184" width="13.5703125" style="1" customWidth="1"/>
    <col min="7185" max="7185" width="0.85546875" style="1" customWidth="1"/>
    <col min="7186" max="7186" width="12.28515625" style="1" customWidth="1"/>
    <col min="7187" max="7187" width="1.5703125" style="1" customWidth="1"/>
    <col min="7188" max="7188" width="12.28515625" style="1" customWidth="1"/>
    <col min="7189" max="7189" width="1.5703125" style="1" customWidth="1"/>
    <col min="7190" max="7190" width="12.28515625" style="1" customWidth="1"/>
    <col min="7191" max="7191" width="0.85546875" style="1" customWidth="1"/>
    <col min="7192" max="7192" width="12.28515625" style="1" customWidth="1"/>
    <col min="7193" max="7193" width="1.5703125" style="1" customWidth="1"/>
    <col min="7194" max="7194" width="12.28515625" style="1" customWidth="1"/>
    <col min="7195" max="7195" width="1.5703125" style="1" customWidth="1"/>
    <col min="7196" max="7196" width="12.28515625" style="1" customWidth="1"/>
    <col min="7197" max="7197" width="0.85546875" style="1" customWidth="1"/>
    <col min="7198" max="7198" width="12.28515625" style="1" customWidth="1"/>
    <col min="7199" max="7199" width="1.5703125" style="1" customWidth="1"/>
    <col min="7200" max="7200" width="12.28515625" style="1" customWidth="1"/>
    <col min="7201" max="7201" width="1.5703125" style="1" customWidth="1"/>
    <col min="7202" max="7202" width="12.28515625" style="1" customWidth="1"/>
    <col min="7203" max="7203" width="1.42578125" style="1" customWidth="1"/>
    <col min="7204" max="7427" width="13.85546875" style="1"/>
    <col min="7428" max="7428" width="7.85546875" style="1" customWidth="1"/>
    <col min="7429" max="7430" width="2.28515625" style="1" customWidth="1"/>
    <col min="7431" max="7431" width="31.42578125" style="1" customWidth="1"/>
    <col min="7432" max="7432" width="2.28515625" style="1" customWidth="1"/>
    <col min="7433" max="7433" width="2.140625" style="1" customWidth="1"/>
    <col min="7434" max="7434" width="12.28515625" style="1" customWidth="1"/>
    <col min="7435" max="7435" width="1.5703125" style="1" customWidth="1"/>
    <col min="7436" max="7436" width="12.28515625" style="1" customWidth="1"/>
    <col min="7437" max="7437" width="1.5703125" style="1" customWidth="1"/>
    <col min="7438" max="7438" width="12.28515625" style="1" customWidth="1"/>
    <col min="7439" max="7439" width="1.5703125" style="1" customWidth="1"/>
    <col min="7440" max="7440" width="13.5703125" style="1" customWidth="1"/>
    <col min="7441" max="7441" width="0.85546875" style="1" customWidth="1"/>
    <col min="7442" max="7442" width="12.28515625" style="1" customWidth="1"/>
    <col min="7443" max="7443" width="1.5703125" style="1" customWidth="1"/>
    <col min="7444" max="7444" width="12.28515625" style="1" customWidth="1"/>
    <col min="7445" max="7445" width="1.5703125" style="1" customWidth="1"/>
    <col min="7446" max="7446" width="12.28515625" style="1" customWidth="1"/>
    <col min="7447" max="7447" width="0.85546875" style="1" customWidth="1"/>
    <col min="7448" max="7448" width="12.28515625" style="1" customWidth="1"/>
    <col min="7449" max="7449" width="1.5703125" style="1" customWidth="1"/>
    <col min="7450" max="7450" width="12.28515625" style="1" customWidth="1"/>
    <col min="7451" max="7451" width="1.5703125" style="1" customWidth="1"/>
    <col min="7452" max="7452" width="12.28515625" style="1" customWidth="1"/>
    <col min="7453" max="7453" width="0.85546875" style="1" customWidth="1"/>
    <col min="7454" max="7454" width="12.28515625" style="1" customWidth="1"/>
    <col min="7455" max="7455" width="1.5703125" style="1" customWidth="1"/>
    <col min="7456" max="7456" width="12.28515625" style="1" customWidth="1"/>
    <col min="7457" max="7457" width="1.5703125" style="1" customWidth="1"/>
    <col min="7458" max="7458" width="12.28515625" style="1" customWidth="1"/>
    <col min="7459" max="7459" width="1.42578125" style="1" customWidth="1"/>
    <col min="7460" max="7683" width="13.85546875" style="1"/>
    <col min="7684" max="7684" width="7.85546875" style="1" customWidth="1"/>
    <col min="7685" max="7686" width="2.28515625" style="1" customWidth="1"/>
    <col min="7687" max="7687" width="31.42578125" style="1" customWidth="1"/>
    <col min="7688" max="7688" width="2.28515625" style="1" customWidth="1"/>
    <col min="7689" max="7689" width="2.140625" style="1" customWidth="1"/>
    <col min="7690" max="7690" width="12.28515625" style="1" customWidth="1"/>
    <col min="7691" max="7691" width="1.5703125" style="1" customWidth="1"/>
    <col min="7692" max="7692" width="12.28515625" style="1" customWidth="1"/>
    <col min="7693" max="7693" width="1.5703125" style="1" customWidth="1"/>
    <col min="7694" max="7694" width="12.28515625" style="1" customWidth="1"/>
    <col min="7695" max="7695" width="1.5703125" style="1" customWidth="1"/>
    <col min="7696" max="7696" width="13.5703125" style="1" customWidth="1"/>
    <col min="7697" max="7697" width="0.85546875" style="1" customWidth="1"/>
    <col min="7698" max="7698" width="12.28515625" style="1" customWidth="1"/>
    <col min="7699" max="7699" width="1.5703125" style="1" customWidth="1"/>
    <col min="7700" max="7700" width="12.28515625" style="1" customWidth="1"/>
    <col min="7701" max="7701" width="1.5703125" style="1" customWidth="1"/>
    <col min="7702" max="7702" width="12.28515625" style="1" customWidth="1"/>
    <col min="7703" max="7703" width="0.85546875" style="1" customWidth="1"/>
    <col min="7704" max="7704" width="12.28515625" style="1" customWidth="1"/>
    <col min="7705" max="7705" width="1.5703125" style="1" customWidth="1"/>
    <col min="7706" max="7706" width="12.28515625" style="1" customWidth="1"/>
    <col min="7707" max="7707" width="1.5703125" style="1" customWidth="1"/>
    <col min="7708" max="7708" width="12.28515625" style="1" customWidth="1"/>
    <col min="7709" max="7709" width="0.85546875" style="1" customWidth="1"/>
    <col min="7710" max="7710" width="12.28515625" style="1" customWidth="1"/>
    <col min="7711" max="7711" width="1.5703125" style="1" customWidth="1"/>
    <col min="7712" max="7712" width="12.28515625" style="1" customWidth="1"/>
    <col min="7713" max="7713" width="1.5703125" style="1" customWidth="1"/>
    <col min="7714" max="7714" width="12.28515625" style="1" customWidth="1"/>
    <col min="7715" max="7715" width="1.42578125" style="1" customWidth="1"/>
    <col min="7716" max="7939" width="13.85546875" style="1"/>
    <col min="7940" max="7940" width="7.85546875" style="1" customWidth="1"/>
    <col min="7941" max="7942" width="2.28515625" style="1" customWidth="1"/>
    <col min="7943" max="7943" width="31.42578125" style="1" customWidth="1"/>
    <col min="7944" max="7944" width="2.28515625" style="1" customWidth="1"/>
    <col min="7945" max="7945" width="2.140625" style="1" customWidth="1"/>
    <col min="7946" max="7946" width="12.28515625" style="1" customWidth="1"/>
    <col min="7947" max="7947" width="1.5703125" style="1" customWidth="1"/>
    <col min="7948" max="7948" width="12.28515625" style="1" customWidth="1"/>
    <col min="7949" max="7949" width="1.5703125" style="1" customWidth="1"/>
    <col min="7950" max="7950" width="12.28515625" style="1" customWidth="1"/>
    <col min="7951" max="7951" width="1.5703125" style="1" customWidth="1"/>
    <col min="7952" max="7952" width="13.5703125" style="1" customWidth="1"/>
    <col min="7953" max="7953" width="0.85546875" style="1" customWidth="1"/>
    <col min="7954" max="7954" width="12.28515625" style="1" customWidth="1"/>
    <col min="7955" max="7955" width="1.5703125" style="1" customWidth="1"/>
    <col min="7956" max="7956" width="12.28515625" style="1" customWidth="1"/>
    <col min="7957" max="7957" width="1.5703125" style="1" customWidth="1"/>
    <col min="7958" max="7958" width="12.28515625" style="1" customWidth="1"/>
    <col min="7959" max="7959" width="0.85546875" style="1" customWidth="1"/>
    <col min="7960" max="7960" width="12.28515625" style="1" customWidth="1"/>
    <col min="7961" max="7961" width="1.5703125" style="1" customWidth="1"/>
    <col min="7962" max="7962" width="12.28515625" style="1" customWidth="1"/>
    <col min="7963" max="7963" width="1.5703125" style="1" customWidth="1"/>
    <col min="7964" max="7964" width="12.28515625" style="1" customWidth="1"/>
    <col min="7965" max="7965" width="0.85546875" style="1" customWidth="1"/>
    <col min="7966" max="7966" width="12.28515625" style="1" customWidth="1"/>
    <col min="7967" max="7967" width="1.5703125" style="1" customWidth="1"/>
    <col min="7968" max="7968" width="12.28515625" style="1" customWidth="1"/>
    <col min="7969" max="7969" width="1.5703125" style="1" customWidth="1"/>
    <col min="7970" max="7970" width="12.28515625" style="1" customWidth="1"/>
    <col min="7971" max="7971" width="1.42578125" style="1" customWidth="1"/>
    <col min="7972" max="8195" width="13.85546875" style="1"/>
    <col min="8196" max="8196" width="7.85546875" style="1" customWidth="1"/>
    <col min="8197" max="8198" width="2.28515625" style="1" customWidth="1"/>
    <col min="8199" max="8199" width="31.42578125" style="1" customWidth="1"/>
    <col min="8200" max="8200" width="2.28515625" style="1" customWidth="1"/>
    <col min="8201" max="8201" width="2.140625" style="1" customWidth="1"/>
    <col min="8202" max="8202" width="12.28515625" style="1" customWidth="1"/>
    <col min="8203" max="8203" width="1.5703125" style="1" customWidth="1"/>
    <col min="8204" max="8204" width="12.28515625" style="1" customWidth="1"/>
    <col min="8205" max="8205" width="1.5703125" style="1" customWidth="1"/>
    <col min="8206" max="8206" width="12.28515625" style="1" customWidth="1"/>
    <col min="8207" max="8207" width="1.5703125" style="1" customWidth="1"/>
    <col min="8208" max="8208" width="13.5703125" style="1" customWidth="1"/>
    <col min="8209" max="8209" width="0.85546875" style="1" customWidth="1"/>
    <col min="8210" max="8210" width="12.28515625" style="1" customWidth="1"/>
    <col min="8211" max="8211" width="1.5703125" style="1" customWidth="1"/>
    <col min="8212" max="8212" width="12.28515625" style="1" customWidth="1"/>
    <col min="8213" max="8213" width="1.5703125" style="1" customWidth="1"/>
    <col min="8214" max="8214" width="12.28515625" style="1" customWidth="1"/>
    <col min="8215" max="8215" width="0.85546875" style="1" customWidth="1"/>
    <col min="8216" max="8216" width="12.28515625" style="1" customWidth="1"/>
    <col min="8217" max="8217" width="1.5703125" style="1" customWidth="1"/>
    <col min="8218" max="8218" width="12.28515625" style="1" customWidth="1"/>
    <col min="8219" max="8219" width="1.5703125" style="1" customWidth="1"/>
    <col min="8220" max="8220" width="12.28515625" style="1" customWidth="1"/>
    <col min="8221" max="8221" width="0.85546875" style="1" customWidth="1"/>
    <col min="8222" max="8222" width="12.28515625" style="1" customWidth="1"/>
    <col min="8223" max="8223" width="1.5703125" style="1" customWidth="1"/>
    <col min="8224" max="8224" width="12.28515625" style="1" customWidth="1"/>
    <col min="8225" max="8225" width="1.5703125" style="1" customWidth="1"/>
    <col min="8226" max="8226" width="12.28515625" style="1" customWidth="1"/>
    <col min="8227" max="8227" width="1.42578125" style="1" customWidth="1"/>
    <col min="8228" max="8451" width="13.85546875" style="1"/>
    <col min="8452" max="8452" width="7.85546875" style="1" customWidth="1"/>
    <col min="8453" max="8454" width="2.28515625" style="1" customWidth="1"/>
    <col min="8455" max="8455" width="31.42578125" style="1" customWidth="1"/>
    <col min="8456" max="8456" width="2.28515625" style="1" customWidth="1"/>
    <col min="8457" max="8457" width="2.140625" style="1" customWidth="1"/>
    <col min="8458" max="8458" width="12.28515625" style="1" customWidth="1"/>
    <col min="8459" max="8459" width="1.5703125" style="1" customWidth="1"/>
    <col min="8460" max="8460" width="12.28515625" style="1" customWidth="1"/>
    <col min="8461" max="8461" width="1.5703125" style="1" customWidth="1"/>
    <col min="8462" max="8462" width="12.28515625" style="1" customWidth="1"/>
    <col min="8463" max="8463" width="1.5703125" style="1" customWidth="1"/>
    <col min="8464" max="8464" width="13.5703125" style="1" customWidth="1"/>
    <col min="8465" max="8465" width="0.85546875" style="1" customWidth="1"/>
    <col min="8466" max="8466" width="12.28515625" style="1" customWidth="1"/>
    <col min="8467" max="8467" width="1.5703125" style="1" customWidth="1"/>
    <col min="8468" max="8468" width="12.28515625" style="1" customWidth="1"/>
    <col min="8469" max="8469" width="1.5703125" style="1" customWidth="1"/>
    <col min="8470" max="8470" width="12.28515625" style="1" customWidth="1"/>
    <col min="8471" max="8471" width="0.85546875" style="1" customWidth="1"/>
    <col min="8472" max="8472" width="12.28515625" style="1" customWidth="1"/>
    <col min="8473" max="8473" width="1.5703125" style="1" customWidth="1"/>
    <col min="8474" max="8474" width="12.28515625" style="1" customWidth="1"/>
    <col min="8475" max="8475" width="1.5703125" style="1" customWidth="1"/>
    <col min="8476" max="8476" width="12.28515625" style="1" customWidth="1"/>
    <col min="8477" max="8477" width="0.85546875" style="1" customWidth="1"/>
    <col min="8478" max="8478" width="12.28515625" style="1" customWidth="1"/>
    <col min="8479" max="8479" width="1.5703125" style="1" customWidth="1"/>
    <col min="8480" max="8480" width="12.28515625" style="1" customWidth="1"/>
    <col min="8481" max="8481" width="1.5703125" style="1" customWidth="1"/>
    <col min="8482" max="8482" width="12.28515625" style="1" customWidth="1"/>
    <col min="8483" max="8483" width="1.42578125" style="1" customWidth="1"/>
    <col min="8484" max="8707" width="13.85546875" style="1"/>
    <col min="8708" max="8708" width="7.85546875" style="1" customWidth="1"/>
    <col min="8709" max="8710" width="2.28515625" style="1" customWidth="1"/>
    <col min="8711" max="8711" width="31.42578125" style="1" customWidth="1"/>
    <col min="8712" max="8712" width="2.28515625" style="1" customWidth="1"/>
    <col min="8713" max="8713" width="2.140625" style="1" customWidth="1"/>
    <col min="8714" max="8714" width="12.28515625" style="1" customWidth="1"/>
    <col min="8715" max="8715" width="1.5703125" style="1" customWidth="1"/>
    <col min="8716" max="8716" width="12.28515625" style="1" customWidth="1"/>
    <col min="8717" max="8717" width="1.5703125" style="1" customWidth="1"/>
    <col min="8718" max="8718" width="12.28515625" style="1" customWidth="1"/>
    <col min="8719" max="8719" width="1.5703125" style="1" customWidth="1"/>
    <col min="8720" max="8720" width="13.5703125" style="1" customWidth="1"/>
    <col min="8721" max="8721" width="0.85546875" style="1" customWidth="1"/>
    <col min="8722" max="8722" width="12.28515625" style="1" customWidth="1"/>
    <col min="8723" max="8723" width="1.5703125" style="1" customWidth="1"/>
    <col min="8724" max="8724" width="12.28515625" style="1" customWidth="1"/>
    <col min="8725" max="8725" width="1.5703125" style="1" customWidth="1"/>
    <col min="8726" max="8726" width="12.28515625" style="1" customWidth="1"/>
    <col min="8727" max="8727" width="0.85546875" style="1" customWidth="1"/>
    <col min="8728" max="8728" width="12.28515625" style="1" customWidth="1"/>
    <col min="8729" max="8729" width="1.5703125" style="1" customWidth="1"/>
    <col min="8730" max="8730" width="12.28515625" style="1" customWidth="1"/>
    <col min="8731" max="8731" width="1.5703125" style="1" customWidth="1"/>
    <col min="8732" max="8732" width="12.28515625" style="1" customWidth="1"/>
    <col min="8733" max="8733" width="0.85546875" style="1" customWidth="1"/>
    <col min="8734" max="8734" width="12.28515625" style="1" customWidth="1"/>
    <col min="8735" max="8735" width="1.5703125" style="1" customWidth="1"/>
    <col min="8736" max="8736" width="12.28515625" style="1" customWidth="1"/>
    <col min="8737" max="8737" width="1.5703125" style="1" customWidth="1"/>
    <col min="8738" max="8738" width="12.28515625" style="1" customWidth="1"/>
    <col min="8739" max="8739" width="1.42578125" style="1" customWidth="1"/>
    <col min="8740" max="8963" width="13.85546875" style="1"/>
    <col min="8964" max="8964" width="7.85546875" style="1" customWidth="1"/>
    <col min="8965" max="8966" width="2.28515625" style="1" customWidth="1"/>
    <col min="8967" max="8967" width="31.42578125" style="1" customWidth="1"/>
    <col min="8968" max="8968" width="2.28515625" style="1" customWidth="1"/>
    <col min="8969" max="8969" width="2.140625" style="1" customWidth="1"/>
    <col min="8970" max="8970" width="12.28515625" style="1" customWidth="1"/>
    <col min="8971" max="8971" width="1.5703125" style="1" customWidth="1"/>
    <col min="8972" max="8972" width="12.28515625" style="1" customWidth="1"/>
    <col min="8973" max="8973" width="1.5703125" style="1" customWidth="1"/>
    <col min="8974" max="8974" width="12.28515625" style="1" customWidth="1"/>
    <col min="8975" max="8975" width="1.5703125" style="1" customWidth="1"/>
    <col min="8976" max="8976" width="13.5703125" style="1" customWidth="1"/>
    <col min="8977" max="8977" width="0.85546875" style="1" customWidth="1"/>
    <col min="8978" max="8978" width="12.28515625" style="1" customWidth="1"/>
    <col min="8979" max="8979" width="1.5703125" style="1" customWidth="1"/>
    <col min="8980" max="8980" width="12.28515625" style="1" customWidth="1"/>
    <col min="8981" max="8981" width="1.5703125" style="1" customWidth="1"/>
    <col min="8982" max="8982" width="12.28515625" style="1" customWidth="1"/>
    <col min="8983" max="8983" width="0.85546875" style="1" customWidth="1"/>
    <col min="8984" max="8984" width="12.28515625" style="1" customWidth="1"/>
    <col min="8985" max="8985" width="1.5703125" style="1" customWidth="1"/>
    <col min="8986" max="8986" width="12.28515625" style="1" customWidth="1"/>
    <col min="8987" max="8987" width="1.5703125" style="1" customWidth="1"/>
    <col min="8988" max="8988" width="12.28515625" style="1" customWidth="1"/>
    <col min="8989" max="8989" width="0.85546875" style="1" customWidth="1"/>
    <col min="8990" max="8990" width="12.28515625" style="1" customWidth="1"/>
    <col min="8991" max="8991" width="1.5703125" style="1" customWidth="1"/>
    <col min="8992" max="8992" width="12.28515625" style="1" customWidth="1"/>
    <col min="8993" max="8993" width="1.5703125" style="1" customWidth="1"/>
    <col min="8994" max="8994" width="12.28515625" style="1" customWidth="1"/>
    <col min="8995" max="8995" width="1.42578125" style="1" customWidth="1"/>
    <col min="8996" max="9219" width="13.85546875" style="1"/>
    <col min="9220" max="9220" width="7.85546875" style="1" customWidth="1"/>
    <col min="9221" max="9222" width="2.28515625" style="1" customWidth="1"/>
    <col min="9223" max="9223" width="31.42578125" style="1" customWidth="1"/>
    <col min="9224" max="9224" width="2.28515625" style="1" customWidth="1"/>
    <col min="9225" max="9225" width="2.140625" style="1" customWidth="1"/>
    <col min="9226" max="9226" width="12.28515625" style="1" customWidth="1"/>
    <col min="9227" max="9227" width="1.5703125" style="1" customWidth="1"/>
    <col min="9228" max="9228" width="12.28515625" style="1" customWidth="1"/>
    <col min="9229" max="9229" width="1.5703125" style="1" customWidth="1"/>
    <col min="9230" max="9230" width="12.28515625" style="1" customWidth="1"/>
    <col min="9231" max="9231" width="1.5703125" style="1" customWidth="1"/>
    <col min="9232" max="9232" width="13.5703125" style="1" customWidth="1"/>
    <col min="9233" max="9233" width="0.85546875" style="1" customWidth="1"/>
    <col min="9234" max="9234" width="12.28515625" style="1" customWidth="1"/>
    <col min="9235" max="9235" width="1.5703125" style="1" customWidth="1"/>
    <col min="9236" max="9236" width="12.28515625" style="1" customWidth="1"/>
    <col min="9237" max="9237" width="1.5703125" style="1" customWidth="1"/>
    <col min="9238" max="9238" width="12.28515625" style="1" customWidth="1"/>
    <col min="9239" max="9239" width="0.85546875" style="1" customWidth="1"/>
    <col min="9240" max="9240" width="12.28515625" style="1" customWidth="1"/>
    <col min="9241" max="9241" width="1.5703125" style="1" customWidth="1"/>
    <col min="9242" max="9242" width="12.28515625" style="1" customWidth="1"/>
    <col min="9243" max="9243" width="1.5703125" style="1" customWidth="1"/>
    <col min="9244" max="9244" width="12.28515625" style="1" customWidth="1"/>
    <col min="9245" max="9245" width="0.85546875" style="1" customWidth="1"/>
    <col min="9246" max="9246" width="12.28515625" style="1" customWidth="1"/>
    <col min="9247" max="9247" width="1.5703125" style="1" customWidth="1"/>
    <col min="9248" max="9248" width="12.28515625" style="1" customWidth="1"/>
    <col min="9249" max="9249" width="1.5703125" style="1" customWidth="1"/>
    <col min="9250" max="9250" width="12.28515625" style="1" customWidth="1"/>
    <col min="9251" max="9251" width="1.42578125" style="1" customWidth="1"/>
    <col min="9252" max="9475" width="13.85546875" style="1"/>
    <col min="9476" max="9476" width="7.85546875" style="1" customWidth="1"/>
    <col min="9477" max="9478" width="2.28515625" style="1" customWidth="1"/>
    <col min="9479" max="9479" width="31.42578125" style="1" customWidth="1"/>
    <col min="9480" max="9480" width="2.28515625" style="1" customWidth="1"/>
    <col min="9481" max="9481" width="2.140625" style="1" customWidth="1"/>
    <col min="9482" max="9482" width="12.28515625" style="1" customWidth="1"/>
    <col min="9483" max="9483" width="1.5703125" style="1" customWidth="1"/>
    <col min="9484" max="9484" width="12.28515625" style="1" customWidth="1"/>
    <col min="9485" max="9485" width="1.5703125" style="1" customWidth="1"/>
    <col min="9486" max="9486" width="12.28515625" style="1" customWidth="1"/>
    <col min="9487" max="9487" width="1.5703125" style="1" customWidth="1"/>
    <col min="9488" max="9488" width="13.5703125" style="1" customWidth="1"/>
    <col min="9489" max="9489" width="0.85546875" style="1" customWidth="1"/>
    <col min="9490" max="9490" width="12.28515625" style="1" customWidth="1"/>
    <col min="9491" max="9491" width="1.5703125" style="1" customWidth="1"/>
    <col min="9492" max="9492" width="12.28515625" style="1" customWidth="1"/>
    <col min="9493" max="9493" width="1.5703125" style="1" customWidth="1"/>
    <col min="9494" max="9494" width="12.28515625" style="1" customWidth="1"/>
    <col min="9495" max="9495" width="0.85546875" style="1" customWidth="1"/>
    <col min="9496" max="9496" width="12.28515625" style="1" customWidth="1"/>
    <col min="9497" max="9497" width="1.5703125" style="1" customWidth="1"/>
    <col min="9498" max="9498" width="12.28515625" style="1" customWidth="1"/>
    <col min="9499" max="9499" width="1.5703125" style="1" customWidth="1"/>
    <col min="9500" max="9500" width="12.28515625" style="1" customWidth="1"/>
    <col min="9501" max="9501" width="0.85546875" style="1" customWidth="1"/>
    <col min="9502" max="9502" width="12.28515625" style="1" customWidth="1"/>
    <col min="9503" max="9503" width="1.5703125" style="1" customWidth="1"/>
    <col min="9504" max="9504" width="12.28515625" style="1" customWidth="1"/>
    <col min="9505" max="9505" width="1.5703125" style="1" customWidth="1"/>
    <col min="9506" max="9506" width="12.28515625" style="1" customWidth="1"/>
    <col min="9507" max="9507" width="1.42578125" style="1" customWidth="1"/>
    <col min="9508" max="9731" width="13.85546875" style="1"/>
    <col min="9732" max="9732" width="7.85546875" style="1" customWidth="1"/>
    <col min="9733" max="9734" width="2.28515625" style="1" customWidth="1"/>
    <col min="9735" max="9735" width="31.42578125" style="1" customWidth="1"/>
    <col min="9736" max="9736" width="2.28515625" style="1" customWidth="1"/>
    <col min="9737" max="9737" width="2.140625" style="1" customWidth="1"/>
    <col min="9738" max="9738" width="12.28515625" style="1" customWidth="1"/>
    <col min="9739" max="9739" width="1.5703125" style="1" customWidth="1"/>
    <col min="9740" max="9740" width="12.28515625" style="1" customWidth="1"/>
    <col min="9741" max="9741" width="1.5703125" style="1" customWidth="1"/>
    <col min="9742" max="9742" width="12.28515625" style="1" customWidth="1"/>
    <col min="9743" max="9743" width="1.5703125" style="1" customWidth="1"/>
    <col min="9744" max="9744" width="13.5703125" style="1" customWidth="1"/>
    <col min="9745" max="9745" width="0.85546875" style="1" customWidth="1"/>
    <col min="9746" max="9746" width="12.28515625" style="1" customWidth="1"/>
    <col min="9747" max="9747" width="1.5703125" style="1" customWidth="1"/>
    <col min="9748" max="9748" width="12.28515625" style="1" customWidth="1"/>
    <col min="9749" max="9749" width="1.5703125" style="1" customWidth="1"/>
    <col min="9750" max="9750" width="12.28515625" style="1" customWidth="1"/>
    <col min="9751" max="9751" width="0.85546875" style="1" customWidth="1"/>
    <col min="9752" max="9752" width="12.28515625" style="1" customWidth="1"/>
    <col min="9753" max="9753" width="1.5703125" style="1" customWidth="1"/>
    <col min="9754" max="9754" width="12.28515625" style="1" customWidth="1"/>
    <col min="9755" max="9755" width="1.5703125" style="1" customWidth="1"/>
    <col min="9756" max="9756" width="12.28515625" style="1" customWidth="1"/>
    <col min="9757" max="9757" width="0.85546875" style="1" customWidth="1"/>
    <col min="9758" max="9758" width="12.28515625" style="1" customWidth="1"/>
    <col min="9759" max="9759" width="1.5703125" style="1" customWidth="1"/>
    <col min="9760" max="9760" width="12.28515625" style="1" customWidth="1"/>
    <col min="9761" max="9761" width="1.5703125" style="1" customWidth="1"/>
    <col min="9762" max="9762" width="12.28515625" style="1" customWidth="1"/>
    <col min="9763" max="9763" width="1.42578125" style="1" customWidth="1"/>
    <col min="9764" max="9987" width="13.85546875" style="1"/>
    <col min="9988" max="9988" width="7.85546875" style="1" customWidth="1"/>
    <col min="9989" max="9990" width="2.28515625" style="1" customWidth="1"/>
    <col min="9991" max="9991" width="31.42578125" style="1" customWidth="1"/>
    <col min="9992" max="9992" width="2.28515625" style="1" customWidth="1"/>
    <col min="9993" max="9993" width="2.140625" style="1" customWidth="1"/>
    <col min="9994" max="9994" width="12.28515625" style="1" customWidth="1"/>
    <col min="9995" max="9995" width="1.5703125" style="1" customWidth="1"/>
    <col min="9996" max="9996" width="12.28515625" style="1" customWidth="1"/>
    <col min="9997" max="9997" width="1.5703125" style="1" customWidth="1"/>
    <col min="9998" max="9998" width="12.28515625" style="1" customWidth="1"/>
    <col min="9999" max="9999" width="1.5703125" style="1" customWidth="1"/>
    <col min="10000" max="10000" width="13.5703125" style="1" customWidth="1"/>
    <col min="10001" max="10001" width="0.85546875" style="1" customWidth="1"/>
    <col min="10002" max="10002" width="12.28515625" style="1" customWidth="1"/>
    <col min="10003" max="10003" width="1.5703125" style="1" customWidth="1"/>
    <col min="10004" max="10004" width="12.28515625" style="1" customWidth="1"/>
    <col min="10005" max="10005" width="1.5703125" style="1" customWidth="1"/>
    <col min="10006" max="10006" width="12.28515625" style="1" customWidth="1"/>
    <col min="10007" max="10007" width="0.85546875" style="1" customWidth="1"/>
    <col min="10008" max="10008" width="12.28515625" style="1" customWidth="1"/>
    <col min="10009" max="10009" width="1.5703125" style="1" customWidth="1"/>
    <col min="10010" max="10010" width="12.28515625" style="1" customWidth="1"/>
    <col min="10011" max="10011" width="1.5703125" style="1" customWidth="1"/>
    <col min="10012" max="10012" width="12.28515625" style="1" customWidth="1"/>
    <col min="10013" max="10013" width="0.85546875" style="1" customWidth="1"/>
    <col min="10014" max="10014" width="12.28515625" style="1" customWidth="1"/>
    <col min="10015" max="10015" width="1.5703125" style="1" customWidth="1"/>
    <col min="10016" max="10016" width="12.28515625" style="1" customWidth="1"/>
    <col min="10017" max="10017" width="1.5703125" style="1" customWidth="1"/>
    <col min="10018" max="10018" width="12.28515625" style="1" customWidth="1"/>
    <col min="10019" max="10019" width="1.42578125" style="1" customWidth="1"/>
    <col min="10020" max="10243" width="13.85546875" style="1"/>
    <col min="10244" max="10244" width="7.85546875" style="1" customWidth="1"/>
    <col min="10245" max="10246" width="2.28515625" style="1" customWidth="1"/>
    <col min="10247" max="10247" width="31.42578125" style="1" customWidth="1"/>
    <col min="10248" max="10248" width="2.28515625" style="1" customWidth="1"/>
    <col min="10249" max="10249" width="2.140625" style="1" customWidth="1"/>
    <col min="10250" max="10250" width="12.28515625" style="1" customWidth="1"/>
    <col min="10251" max="10251" width="1.5703125" style="1" customWidth="1"/>
    <col min="10252" max="10252" width="12.28515625" style="1" customWidth="1"/>
    <col min="10253" max="10253" width="1.5703125" style="1" customWidth="1"/>
    <col min="10254" max="10254" width="12.28515625" style="1" customWidth="1"/>
    <col min="10255" max="10255" width="1.5703125" style="1" customWidth="1"/>
    <col min="10256" max="10256" width="13.5703125" style="1" customWidth="1"/>
    <col min="10257" max="10257" width="0.85546875" style="1" customWidth="1"/>
    <col min="10258" max="10258" width="12.28515625" style="1" customWidth="1"/>
    <col min="10259" max="10259" width="1.5703125" style="1" customWidth="1"/>
    <col min="10260" max="10260" width="12.28515625" style="1" customWidth="1"/>
    <col min="10261" max="10261" width="1.5703125" style="1" customWidth="1"/>
    <col min="10262" max="10262" width="12.28515625" style="1" customWidth="1"/>
    <col min="10263" max="10263" width="0.85546875" style="1" customWidth="1"/>
    <col min="10264" max="10264" width="12.28515625" style="1" customWidth="1"/>
    <col min="10265" max="10265" width="1.5703125" style="1" customWidth="1"/>
    <col min="10266" max="10266" width="12.28515625" style="1" customWidth="1"/>
    <col min="10267" max="10267" width="1.5703125" style="1" customWidth="1"/>
    <col min="10268" max="10268" width="12.28515625" style="1" customWidth="1"/>
    <col min="10269" max="10269" width="0.85546875" style="1" customWidth="1"/>
    <col min="10270" max="10270" width="12.28515625" style="1" customWidth="1"/>
    <col min="10271" max="10271" width="1.5703125" style="1" customWidth="1"/>
    <col min="10272" max="10272" width="12.28515625" style="1" customWidth="1"/>
    <col min="10273" max="10273" width="1.5703125" style="1" customWidth="1"/>
    <col min="10274" max="10274" width="12.28515625" style="1" customWidth="1"/>
    <col min="10275" max="10275" width="1.42578125" style="1" customWidth="1"/>
    <col min="10276" max="10499" width="13.85546875" style="1"/>
    <col min="10500" max="10500" width="7.85546875" style="1" customWidth="1"/>
    <col min="10501" max="10502" width="2.28515625" style="1" customWidth="1"/>
    <col min="10503" max="10503" width="31.42578125" style="1" customWidth="1"/>
    <col min="10504" max="10504" width="2.28515625" style="1" customWidth="1"/>
    <col min="10505" max="10505" width="2.140625" style="1" customWidth="1"/>
    <col min="10506" max="10506" width="12.28515625" style="1" customWidth="1"/>
    <col min="10507" max="10507" width="1.5703125" style="1" customWidth="1"/>
    <col min="10508" max="10508" width="12.28515625" style="1" customWidth="1"/>
    <col min="10509" max="10509" width="1.5703125" style="1" customWidth="1"/>
    <col min="10510" max="10510" width="12.28515625" style="1" customWidth="1"/>
    <col min="10511" max="10511" width="1.5703125" style="1" customWidth="1"/>
    <col min="10512" max="10512" width="13.5703125" style="1" customWidth="1"/>
    <col min="10513" max="10513" width="0.85546875" style="1" customWidth="1"/>
    <col min="10514" max="10514" width="12.28515625" style="1" customWidth="1"/>
    <col min="10515" max="10515" width="1.5703125" style="1" customWidth="1"/>
    <col min="10516" max="10516" width="12.28515625" style="1" customWidth="1"/>
    <col min="10517" max="10517" width="1.5703125" style="1" customWidth="1"/>
    <col min="10518" max="10518" width="12.28515625" style="1" customWidth="1"/>
    <col min="10519" max="10519" width="0.85546875" style="1" customWidth="1"/>
    <col min="10520" max="10520" width="12.28515625" style="1" customWidth="1"/>
    <col min="10521" max="10521" width="1.5703125" style="1" customWidth="1"/>
    <col min="10522" max="10522" width="12.28515625" style="1" customWidth="1"/>
    <col min="10523" max="10523" width="1.5703125" style="1" customWidth="1"/>
    <col min="10524" max="10524" width="12.28515625" style="1" customWidth="1"/>
    <col min="10525" max="10525" width="0.85546875" style="1" customWidth="1"/>
    <col min="10526" max="10526" width="12.28515625" style="1" customWidth="1"/>
    <col min="10527" max="10527" width="1.5703125" style="1" customWidth="1"/>
    <col min="10528" max="10528" width="12.28515625" style="1" customWidth="1"/>
    <col min="10529" max="10529" width="1.5703125" style="1" customWidth="1"/>
    <col min="10530" max="10530" width="12.28515625" style="1" customWidth="1"/>
    <col min="10531" max="10531" width="1.42578125" style="1" customWidth="1"/>
    <col min="10532" max="10755" width="13.85546875" style="1"/>
    <col min="10756" max="10756" width="7.85546875" style="1" customWidth="1"/>
    <col min="10757" max="10758" width="2.28515625" style="1" customWidth="1"/>
    <col min="10759" max="10759" width="31.42578125" style="1" customWidth="1"/>
    <col min="10760" max="10760" width="2.28515625" style="1" customWidth="1"/>
    <col min="10761" max="10761" width="2.140625" style="1" customWidth="1"/>
    <col min="10762" max="10762" width="12.28515625" style="1" customWidth="1"/>
    <col min="10763" max="10763" width="1.5703125" style="1" customWidth="1"/>
    <col min="10764" max="10764" width="12.28515625" style="1" customWidth="1"/>
    <col min="10765" max="10765" width="1.5703125" style="1" customWidth="1"/>
    <col min="10766" max="10766" width="12.28515625" style="1" customWidth="1"/>
    <col min="10767" max="10767" width="1.5703125" style="1" customWidth="1"/>
    <col min="10768" max="10768" width="13.5703125" style="1" customWidth="1"/>
    <col min="10769" max="10769" width="0.85546875" style="1" customWidth="1"/>
    <col min="10770" max="10770" width="12.28515625" style="1" customWidth="1"/>
    <col min="10771" max="10771" width="1.5703125" style="1" customWidth="1"/>
    <col min="10772" max="10772" width="12.28515625" style="1" customWidth="1"/>
    <col min="10773" max="10773" width="1.5703125" style="1" customWidth="1"/>
    <col min="10774" max="10774" width="12.28515625" style="1" customWidth="1"/>
    <col min="10775" max="10775" width="0.85546875" style="1" customWidth="1"/>
    <col min="10776" max="10776" width="12.28515625" style="1" customWidth="1"/>
    <col min="10777" max="10777" width="1.5703125" style="1" customWidth="1"/>
    <col min="10778" max="10778" width="12.28515625" style="1" customWidth="1"/>
    <col min="10779" max="10779" width="1.5703125" style="1" customWidth="1"/>
    <col min="10780" max="10780" width="12.28515625" style="1" customWidth="1"/>
    <col min="10781" max="10781" width="0.85546875" style="1" customWidth="1"/>
    <col min="10782" max="10782" width="12.28515625" style="1" customWidth="1"/>
    <col min="10783" max="10783" width="1.5703125" style="1" customWidth="1"/>
    <col min="10784" max="10784" width="12.28515625" style="1" customWidth="1"/>
    <col min="10785" max="10785" width="1.5703125" style="1" customWidth="1"/>
    <col min="10786" max="10786" width="12.28515625" style="1" customWidth="1"/>
    <col min="10787" max="10787" width="1.42578125" style="1" customWidth="1"/>
    <col min="10788" max="11011" width="13.85546875" style="1"/>
    <col min="11012" max="11012" width="7.85546875" style="1" customWidth="1"/>
    <col min="11013" max="11014" width="2.28515625" style="1" customWidth="1"/>
    <col min="11015" max="11015" width="31.42578125" style="1" customWidth="1"/>
    <col min="11016" max="11016" width="2.28515625" style="1" customWidth="1"/>
    <col min="11017" max="11017" width="2.140625" style="1" customWidth="1"/>
    <col min="11018" max="11018" width="12.28515625" style="1" customWidth="1"/>
    <col min="11019" max="11019" width="1.5703125" style="1" customWidth="1"/>
    <col min="11020" max="11020" width="12.28515625" style="1" customWidth="1"/>
    <col min="11021" max="11021" width="1.5703125" style="1" customWidth="1"/>
    <col min="11022" max="11022" width="12.28515625" style="1" customWidth="1"/>
    <col min="11023" max="11023" width="1.5703125" style="1" customWidth="1"/>
    <col min="11024" max="11024" width="13.5703125" style="1" customWidth="1"/>
    <col min="11025" max="11025" width="0.85546875" style="1" customWidth="1"/>
    <col min="11026" max="11026" width="12.28515625" style="1" customWidth="1"/>
    <col min="11027" max="11027" width="1.5703125" style="1" customWidth="1"/>
    <col min="11028" max="11028" width="12.28515625" style="1" customWidth="1"/>
    <col min="11029" max="11029" width="1.5703125" style="1" customWidth="1"/>
    <col min="11030" max="11030" width="12.28515625" style="1" customWidth="1"/>
    <col min="11031" max="11031" width="0.85546875" style="1" customWidth="1"/>
    <col min="11032" max="11032" width="12.28515625" style="1" customWidth="1"/>
    <col min="11033" max="11033" width="1.5703125" style="1" customWidth="1"/>
    <col min="11034" max="11034" width="12.28515625" style="1" customWidth="1"/>
    <col min="11035" max="11035" width="1.5703125" style="1" customWidth="1"/>
    <col min="11036" max="11036" width="12.28515625" style="1" customWidth="1"/>
    <col min="11037" max="11037" width="0.85546875" style="1" customWidth="1"/>
    <col min="11038" max="11038" width="12.28515625" style="1" customWidth="1"/>
    <col min="11039" max="11039" width="1.5703125" style="1" customWidth="1"/>
    <col min="11040" max="11040" width="12.28515625" style="1" customWidth="1"/>
    <col min="11041" max="11041" width="1.5703125" style="1" customWidth="1"/>
    <col min="11042" max="11042" width="12.28515625" style="1" customWidth="1"/>
    <col min="11043" max="11043" width="1.42578125" style="1" customWidth="1"/>
    <col min="11044" max="11267" width="13.85546875" style="1"/>
    <col min="11268" max="11268" width="7.85546875" style="1" customWidth="1"/>
    <col min="11269" max="11270" width="2.28515625" style="1" customWidth="1"/>
    <col min="11271" max="11271" width="31.42578125" style="1" customWidth="1"/>
    <col min="11272" max="11272" width="2.28515625" style="1" customWidth="1"/>
    <col min="11273" max="11273" width="2.140625" style="1" customWidth="1"/>
    <col min="11274" max="11274" width="12.28515625" style="1" customWidth="1"/>
    <col min="11275" max="11275" width="1.5703125" style="1" customWidth="1"/>
    <col min="11276" max="11276" width="12.28515625" style="1" customWidth="1"/>
    <col min="11277" max="11277" width="1.5703125" style="1" customWidth="1"/>
    <col min="11278" max="11278" width="12.28515625" style="1" customWidth="1"/>
    <col min="11279" max="11279" width="1.5703125" style="1" customWidth="1"/>
    <col min="11280" max="11280" width="13.5703125" style="1" customWidth="1"/>
    <col min="11281" max="11281" width="0.85546875" style="1" customWidth="1"/>
    <col min="11282" max="11282" width="12.28515625" style="1" customWidth="1"/>
    <col min="11283" max="11283" width="1.5703125" style="1" customWidth="1"/>
    <col min="11284" max="11284" width="12.28515625" style="1" customWidth="1"/>
    <col min="11285" max="11285" width="1.5703125" style="1" customWidth="1"/>
    <col min="11286" max="11286" width="12.28515625" style="1" customWidth="1"/>
    <col min="11287" max="11287" width="0.85546875" style="1" customWidth="1"/>
    <col min="11288" max="11288" width="12.28515625" style="1" customWidth="1"/>
    <col min="11289" max="11289" width="1.5703125" style="1" customWidth="1"/>
    <col min="11290" max="11290" width="12.28515625" style="1" customWidth="1"/>
    <col min="11291" max="11291" width="1.5703125" style="1" customWidth="1"/>
    <col min="11292" max="11292" width="12.28515625" style="1" customWidth="1"/>
    <col min="11293" max="11293" width="0.85546875" style="1" customWidth="1"/>
    <col min="11294" max="11294" width="12.28515625" style="1" customWidth="1"/>
    <col min="11295" max="11295" width="1.5703125" style="1" customWidth="1"/>
    <col min="11296" max="11296" width="12.28515625" style="1" customWidth="1"/>
    <col min="11297" max="11297" width="1.5703125" style="1" customWidth="1"/>
    <col min="11298" max="11298" width="12.28515625" style="1" customWidth="1"/>
    <col min="11299" max="11299" width="1.42578125" style="1" customWidth="1"/>
    <col min="11300" max="11523" width="13.85546875" style="1"/>
    <col min="11524" max="11524" width="7.85546875" style="1" customWidth="1"/>
    <col min="11525" max="11526" width="2.28515625" style="1" customWidth="1"/>
    <col min="11527" max="11527" width="31.42578125" style="1" customWidth="1"/>
    <col min="11528" max="11528" width="2.28515625" style="1" customWidth="1"/>
    <col min="11529" max="11529" width="2.140625" style="1" customWidth="1"/>
    <col min="11530" max="11530" width="12.28515625" style="1" customWidth="1"/>
    <col min="11531" max="11531" width="1.5703125" style="1" customWidth="1"/>
    <col min="11532" max="11532" width="12.28515625" style="1" customWidth="1"/>
    <col min="11533" max="11533" width="1.5703125" style="1" customWidth="1"/>
    <col min="11534" max="11534" width="12.28515625" style="1" customWidth="1"/>
    <col min="11535" max="11535" width="1.5703125" style="1" customWidth="1"/>
    <col min="11536" max="11536" width="13.5703125" style="1" customWidth="1"/>
    <col min="11537" max="11537" width="0.85546875" style="1" customWidth="1"/>
    <col min="11538" max="11538" width="12.28515625" style="1" customWidth="1"/>
    <col min="11539" max="11539" width="1.5703125" style="1" customWidth="1"/>
    <col min="11540" max="11540" width="12.28515625" style="1" customWidth="1"/>
    <col min="11541" max="11541" width="1.5703125" style="1" customWidth="1"/>
    <col min="11542" max="11542" width="12.28515625" style="1" customWidth="1"/>
    <col min="11543" max="11543" width="0.85546875" style="1" customWidth="1"/>
    <col min="11544" max="11544" width="12.28515625" style="1" customWidth="1"/>
    <col min="11545" max="11545" width="1.5703125" style="1" customWidth="1"/>
    <col min="11546" max="11546" width="12.28515625" style="1" customWidth="1"/>
    <col min="11547" max="11547" width="1.5703125" style="1" customWidth="1"/>
    <col min="11548" max="11548" width="12.28515625" style="1" customWidth="1"/>
    <col min="11549" max="11549" width="0.85546875" style="1" customWidth="1"/>
    <col min="11550" max="11550" width="12.28515625" style="1" customWidth="1"/>
    <col min="11551" max="11551" width="1.5703125" style="1" customWidth="1"/>
    <col min="11552" max="11552" width="12.28515625" style="1" customWidth="1"/>
    <col min="11553" max="11553" width="1.5703125" style="1" customWidth="1"/>
    <col min="11554" max="11554" width="12.28515625" style="1" customWidth="1"/>
    <col min="11555" max="11555" width="1.42578125" style="1" customWidth="1"/>
    <col min="11556" max="11779" width="13.85546875" style="1"/>
    <col min="11780" max="11780" width="7.85546875" style="1" customWidth="1"/>
    <col min="11781" max="11782" width="2.28515625" style="1" customWidth="1"/>
    <col min="11783" max="11783" width="31.42578125" style="1" customWidth="1"/>
    <col min="11784" max="11784" width="2.28515625" style="1" customWidth="1"/>
    <col min="11785" max="11785" width="2.140625" style="1" customWidth="1"/>
    <col min="11786" max="11786" width="12.28515625" style="1" customWidth="1"/>
    <col min="11787" max="11787" width="1.5703125" style="1" customWidth="1"/>
    <col min="11788" max="11788" width="12.28515625" style="1" customWidth="1"/>
    <col min="11789" max="11789" width="1.5703125" style="1" customWidth="1"/>
    <col min="11790" max="11790" width="12.28515625" style="1" customWidth="1"/>
    <col min="11791" max="11791" width="1.5703125" style="1" customWidth="1"/>
    <col min="11792" max="11792" width="13.5703125" style="1" customWidth="1"/>
    <col min="11793" max="11793" width="0.85546875" style="1" customWidth="1"/>
    <col min="11794" max="11794" width="12.28515625" style="1" customWidth="1"/>
    <col min="11795" max="11795" width="1.5703125" style="1" customWidth="1"/>
    <col min="11796" max="11796" width="12.28515625" style="1" customWidth="1"/>
    <col min="11797" max="11797" width="1.5703125" style="1" customWidth="1"/>
    <col min="11798" max="11798" width="12.28515625" style="1" customWidth="1"/>
    <col min="11799" max="11799" width="0.85546875" style="1" customWidth="1"/>
    <col min="11800" max="11800" width="12.28515625" style="1" customWidth="1"/>
    <col min="11801" max="11801" width="1.5703125" style="1" customWidth="1"/>
    <col min="11802" max="11802" width="12.28515625" style="1" customWidth="1"/>
    <col min="11803" max="11803" width="1.5703125" style="1" customWidth="1"/>
    <col min="11804" max="11804" width="12.28515625" style="1" customWidth="1"/>
    <col min="11805" max="11805" width="0.85546875" style="1" customWidth="1"/>
    <col min="11806" max="11806" width="12.28515625" style="1" customWidth="1"/>
    <col min="11807" max="11807" width="1.5703125" style="1" customWidth="1"/>
    <col min="11808" max="11808" width="12.28515625" style="1" customWidth="1"/>
    <col min="11809" max="11809" width="1.5703125" style="1" customWidth="1"/>
    <col min="11810" max="11810" width="12.28515625" style="1" customWidth="1"/>
    <col min="11811" max="11811" width="1.42578125" style="1" customWidth="1"/>
    <col min="11812" max="12035" width="13.85546875" style="1"/>
    <col min="12036" max="12036" width="7.85546875" style="1" customWidth="1"/>
    <col min="12037" max="12038" width="2.28515625" style="1" customWidth="1"/>
    <col min="12039" max="12039" width="31.42578125" style="1" customWidth="1"/>
    <col min="12040" max="12040" width="2.28515625" style="1" customWidth="1"/>
    <col min="12041" max="12041" width="2.140625" style="1" customWidth="1"/>
    <col min="12042" max="12042" width="12.28515625" style="1" customWidth="1"/>
    <col min="12043" max="12043" width="1.5703125" style="1" customWidth="1"/>
    <col min="12044" max="12044" width="12.28515625" style="1" customWidth="1"/>
    <col min="12045" max="12045" width="1.5703125" style="1" customWidth="1"/>
    <col min="12046" max="12046" width="12.28515625" style="1" customWidth="1"/>
    <col min="12047" max="12047" width="1.5703125" style="1" customWidth="1"/>
    <col min="12048" max="12048" width="13.5703125" style="1" customWidth="1"/>
    <col min="12049" max="12049" width="0.85546875" style="1" customWidth="1"/>
    <col min="12050" max="12050" width="12.28515625" style="1" customWidth="1"/>
    <col min="12051" max="12051" width="1.5703125" style="1" customWidth="1"/>
    <col min="12052" max="12052" width="12.28515625" style="1" customWidth="1"/>
    <col min="12053" max="12053" width="1.5703125" style="1" customWidth="1"/>
    <col min="12054" max="12054" width="12.28515625" style="1" customWidth="1"/>
    <col min="12055" max="12055" width="0.85546875" style="1" customWidth="1"/>
    <col min="12056" max="12056" width="12.28515625" style="1" customWidth="1"/>
    <col min="12057" max="12057" width="1.5703125" style="1" customWidth="1"/>
    <col min="12058" max="12058" width="12.28515625" style="1" customWidth="1"/>
    <col min="12059" max="12059" width="1.5703125" style="1" customWidth="1"/>
    <col min="12060" max="12060" width="12.28515625" style="1" customWidth="1"/>
    <col min="12061" max="12061" width="0.85546875" style="1" customWidth="1"/>
    <col min="12062" max="12062" width="12.28515625" style="1" customWidth="1"/>
    <col min="12063" max="12063" width="1.5703125" style="1" customWidth="1"/>
    <col min="12064" max="12064" width="12.28515625" style="1" customWidth="1"/>
    <col min="12065" max="12065" width="1.5703125" style="1" customWidth="1"/>
    <col min="12066" max="12066" width="12.28515625" style="1" customWidth="1"/>
    <col min="12067" max="12067" width="1.42578125" style="1" customWidth="1"/>
    <col min="12068" max="12291" width="13.85546875" style="1"/>
    <col min="12292" max="12292" width="7.85546875" style="1" customWidth="1"/>
    <col min="12293" max="12294" width="2.28515625" style="1" customWidth="1"/>
    <col min="12295" max="12295" width="31.42578125" style="1" customWidth="1"/>
    <col min="12296" max="12296" width="2.28515625" style="1" customWidth="1"/>
    <col min="12297" max="12297" width="2.140625" style="1" customWidth="1"/>
    <col min="12298" max="12298" width="12.28515625" style="1" customWidth="1"/>
    <col min="12299" max="12299" width="1.5703125" style="1" customWidth="1"/>
    <col min="12300" max="12300" width="12.28515625" style="1" customWidth="1"/>
    <col min="12301" max="12301" width="1.5703125" style="1" customWidth="1"/>
    <col min="12302" max="12302" width="12.28515625" style="1" customWidth="1"/>
    <col min="12303" max="12303" width="1.5703125" style="1" customWidth="1"/>
    <col min="12304" max="12304" width="13.5703125" style="1" customWidth="1"/>
    <col min="12305" max="12305" width="0.85546875" style="1" customWidth="1"/>
    <col min="12306" max="12306" width="12.28515625" style="1" customWidth="1"/>
    <col min="12307" max="12307" width="1.5703125" style="1" customWidth="1"/>
    <col min="12308" max="12308" width="12.28515625" style="1" customWidth="1"/>
    <col min="12309" max="12309" width="1.5703125" style="1" customWidth="1"/>
    <col min="12310" max="12310" width="12.28515625" style="1" customWidth="1"/>
    <col min="12311" max="12311" width="0.85546875" style="1" customWidth="1"/>
    <col min="12312" max="12312" width="12.28515625" style="1" customWidth="1"/>
    <col min="12313" max="12313" width="1.5703125" style="1" customWidth="1"/>
    <col min="12314" max="12314" width="12.28515625" style="1" customWidth="1"/>
    <col min="12315" max="12315" width="1.5703125" style="1" customWidth="1"/>
    <col min="12316" max="12316" width="12.28515625" style="1" customWidth="1"/>
    <col min="12317" max="12317" width="0.85546875" style="1" customWidth="1"/>
    <col min="12318" max="12318" width="12.28515625" style="1" customWidth="1"/>
    <col min="12319" max="12319" width="1.5703125" style="1" customWidth="1"/>
    <col min="12320" max="12320" width="12.28515625" style="1" customWidth="1"/>
    <col min="12321" max="12321" width="1.5703125" style="1" customWidth="1"/>
    <col min="12322" max="12322" width="12.28515625" style="1" customWidth="1"/>
    <col min="12323" max="12323" width="1.42578125" style="1" customWidth="1"/>
    <col min="12324" max="12547" width="13.85546875" style="1"/>
    <col min="12548" max="12548" width="7.85546875" style="1" customWidth="1"/>
    <col min="12549" max="12550" width="2.28515625" style="1" customWidth="1"/>
    <col min="12551" max="12551" width="31.42578125" style="1" customWidth="1"/>
    <col min="12552" max="12552" width="2.28515625" style="1" customWidth="1"/>
    <col min="12553" max="12553" width="2.140625" style="1" customWidth="1"/>
    <col min="12554" max="12554" width="12.28515625" style="1" customWidth="1"/>
    <col min="12555" max="12555" width="1.5703125" style="1" customWidth="1"/>
    <col min="12556" max="12556" width="12.28515625" style="1" customWidth="1"/>
    <col min="12557" max="12557" width="1.5703125" style="1" customWidth="1"/>
    <col min="12558" max="12558" width="12.28515625" style="1" customWidth="1"/>
    <col min="12559" max="12559" width="1.5703125" style="1" customWidth="1"/>
    <col min="12560" max="12560" width="13.5703125" style="1" customWidth="1"/>
    <col min="12561" max="12561" width="0.85546875" style="1" customWidth="1"/>
    <col min="12562" max="12562" width="12.28515625" style="1" customWidth="1"/>
    <col min="12563" max="12563" width="1.5703125" style="1" customWidth="1"/>
    <col min="12564" max="12564" width="12.28515625" style="1" customWidth="1"/>
    <col min="12565" max="12565" width="1.5703125" style="1" customWidth="1"/>
    <col min="12566" max="12566" width="12.28515625" style="1" customWidth="1"/>
    <col min="12567" max="12567" width="0.85546875" style="1" customWidth="1"/>
    <col min="12568" max="12568" width="12.28515625" style="1" customWidth="1"/>
    <col min="12569" max="12569" width="1.5703125" style="1" customWidth="1"/>
    <col min="12570" max="12570" width="12.28515625" style="1" customWidth="1"/>
    <col min="12571" max="12571" width="1.5703125" style="1" customWidth="1"/>
    <col min="12572" max="12572" width="12.28515625" style="1" customWidth="1"/>
    <col min="12573" max="12573" width="0.85546875" style="1" customWidth="1"/>
    <col min="12574" max="12574" width="12.28515625" style="1" customWidth="1"/>
    <col min="12575" max="12575" width="1.5703125" style="1" customWidth="1"/>
    <col min="12576" max="12576" width="12.28515625" style="1" customWidth="1"/>
    <col min="12577" max="12577" width="1.5703125" style="1" customWidth="1"/>
    <col min="12578" max="12578" width="12.28515625" style="1" customWidth="1"/>
    <col min="12579" max="12579" width="1.42578125" style="1" customWidth="1"/>
    <col min="12580" max="12803" width="13.85546875" style="1"/>
    <col min="12804" max="12804" width="7.85546875" style="1" customWidth="1"/>
    <col min="12805" max="12806" width="2.28515625" style="1" customWidth="1"/>
    <col min="12807" max="12807" width="31.42578125" style="1" customWidth="1"/>
    <col min="12808" max="12808" width="2.28515625" style="1" customWidth="1"/>
    <col min="12809" max="12809" width="2.140625" style="1" customWidth="1"/>
    <col min="12810" max="12810" width="12.28515625" style="1" customWidth="1"/>
    <col min="12811" max="12811" width="1.5703125" style="1" customWidth="1"/>
    <col min="12812" max="12812" width="12.28515625" style="1" customWidth="1"/>
    <col min="12813" max="12813" width="1.5703125" style="1" customWidth="1"/>
    <col min="12814" max="12814" width="12.28515625" style="1" customWidth="1"/>
    <col min="12815" max="12815" width="1.5703125" style="1" customWidth="1"/>
    <col min="12816" max="12816" width="13.5703125" style="1" customWidth="1"/>
    <col min="12817" max="12817" width="0.85546875" style="1" customWidth="1"/>
    <col min="12818" max="12818" width="12.28515625" style="1" customWidth="1"/>
    <col min="12819" max="12819" width="1.5703125" style="1" customWidth="1"/>
    <col min="12820" max="12820" width="12.28515625" style="1" customWidth="1"/>
    <col min="12821" max="12821" width="1.5703125" style="1" customWidth="1"/>
    <col min="12822" max="12822" width="12.28515625" style="1" customWidth="1"/>
    <col min="12823" max="12823" width="0.85546875" style="1" customWidth="1"/>
    <col min="12824" max="12824" width="12.28515625" style="1" customWidth="1"/>
    <col min="12825" max="12825" width="1.5703125" style="1" customWidth="1"/>
    <col min="12826" max="12826" width="12.28515625" style="1" customWidth="1"/>
    <col min="12827" max="12827" width="1.5703125" style="1" customWidth="1"/>
    <col min="12828" max="12828" width="12.28515625" style="1" customWidth="1"/>
    <col min="12829" max="12829" width="0.85546875" style="1" customWidth="1"/>
    <col min="12830" max="12830" width="12.28515625" style="1" customWidth="1"/>
    <col min="12831" max="12831" width="1.5703125" style="1" customWidth="1"/>
    <col min="12832" max="12832" width="12.28515625" style="1" customWidth="1"/>
    <col min="12833" max="12833" width="1.5703125" style="1" customWidth="1"/>
    <col min="12834" max="12834" width="12.28515625" style="1" customWidth="1"/>
    <col min="12835" max="12835" width="1.42578125" style="1" customWidth="1"/>
    <col min="12836" max="13059" width="13.85546875" style="1"/>
    <col min="13060" max="13060" width="7.85546875" style="1" customWidth="1"/>
    <col min="13061" max="13062" width="2.28515625" style="1" customWidth="1"/>
    <col min="13063" max="13063" width="31.42578125" style="1" customWidth="1"/>
    <col min="13064" max="13064" width="2.28515625" style="1" customWidth="1"/>
    <col min="13065" max="13065" width="2.140625" style="1" customWidth="1"/>
    <col min="13066" max="13066" width="12.28515625" style="1" customWidth="1"/>
    <col min="13067" max="13067" width="1.5703125" style="1" customWidth="1"/>
    <col min="13068" max="13068" width="12.28515625" style="1" customWidth="1"/>
    <col min="13069" max="13069" width="1.5703125" style="1" customWidth="1"/>
    <col min="13070" max="13070" width="12.28515625" style="1" customWidth="1"/>
    <col min="13071" max="13071" width="1.5703125" style="1" customWidth="1"/>
    <col min="13072" max="13072" width="13.5703125" style="1" customWidth="1"/>
    <col min="13073" max="13073" width="0.85546875" style="1" customWidth="1"/>
    <col min="13074" max="13074" width="12.28515625" style="1" customWidth="1"/>
    <col min="13075" max="13075" width="1.5703125" style="1" customWidth="1"/>
    <col min="13076" max="13076" width="12.28515625" style="1" customWidth="1"/>
    <col min="13077" max="13077" width="1.5703125" style="1" customWidth="1"/>
    <col min="13078" max="13078" width="12.28515625" style="1" customWidth="1"/>
    <col min="13079" max="13079" width="0.85546875" style="1" customWidth="1"/>
    <col min="13080" max="13080" width="12.28515625" style="1" customWidth="1"/>
    <col min="13081" max="13081" width="1.5703125" style="1" customWidth="1"/>
    <col min="13082" max="13082" width="12.28515625" style="1" customWidth="1"/>
    <col min="13083" max="13083" width="1.5703125" style="1" customWidth="1"/>
    <col min="13084" max="13084" width="12.28515625" style="1" customWidth="1"/>
    <col min="13085" max="13085" width="0.85546875" style="1" customWidth="1"/>
    <col min="13086" max="13086" width="12.28515625" style="1" customWidth="1"/>
    <col min="13087" max="13087" width="1.5703125" style="1" customWidth="1"/>
    <col min="13088" max="13088" width="12.28515625" style="1" customWidth="1"/>
    <col min="13089" max="13089" width="1.5703125" style="1" customWidth="1"/>
    <col min="13090" max="13090" width="12.28515625" style="1" customWidth="1"/>
    <col min="13091" max="13091" width="1.42578125" style="1" customWidth="1"/>
    <col min="13092" max="13315" width="13.85546875" style="1"/>
    <col min="13316" max="13316" width="7.85546875" style="1" customWidth="1"/>
    <col min="13317" max="13318" width="2.28515625" style="1" customWidth="1"/>
    <col min="13319" max="13319" width="31.42578125" style="1" customWidth="1"/>
    <col min="13320" max="13320" width="2.28515625" style="1" customWidth="1"/>
    <col min="13321" max="13321" width="2.140625" style="1" customWidth="1"/>
    <col min="13322" max="13322" width="12.28515625" style="1" customWidth="1"/>
    <col min="13323" max="13323" width="1.5703125" style="1" customWidth="1"/>
    <col min="13324" max="13324" width="12.28515625" style="1" customWidth="1"/>
    <col min="13325" max="13325" width="1.5703125" style="1" customWidth="1"/>
    <col min="13326" max="13326" width="12.28515625" style="1" customWidth="1"/>
    <col min="13327" max="13327" width="1.5703125" style="1" customWidth="1"/>
    <col min="13328" max="13328" width="13.5703125" style="1" customWidth="1"/>
    <col min="13329" max="13329" width="0.85546875" style="1" customWidth="1"/>
    <col min="13330" max="13330" width="12.28515625" style="1" customWidth="1"/>
    <col min="13331" max="13331" width="1.5703125" style="1" customWidth="1"/>
    <col min="13332" max="13332" width="12.28515625" style="1" customWidth="1"/>
    <col min="13333" max="13333" width="1.5703125" style="1" customWidth="1"/>
    <col min="13334" max="13334" width="12.28515625" style="1" customWidth="1"/>
    <col min="13335" max="13335" width="0.85546875" style="1" customWidth="1"/>
    <col min="13336" max="13336" width="12.28515625" style="1" customWidth="1"/>
    <col min="13337" max="13337" width="1.5703125" style="1" customWidth="1"/>
    <col min="13338" max="13338" width="12.28515625" style="1" customWidth="1"/>
    <col min="13339" max="13339" width="1.5703125" style="1" customWidth="1"/>
    <col min="13340" max="13340" width="12.28515625" style="1" customWidth="1"/>
    <col min="13341" max="13341" width="0.85546875" style="1" customWidth="1"/>
    <col min="13342" max="13342" width="12.28515625" style="1" customWidth="1"/>
    <col min="13343" max="13343" width="1.5703125" style="1" customWidth="1"/>
    <col min="13344" max="13344" width="12.28515625" style="1" customWidth="1"/>
    <col min="13345" max="13345" width="1.5703125" style="1" customWidth="1"/>
    <col min="13346" max="13346" width="12.28515625" style="1" customWidth="1"/>
    <col min="13347" max="13347" width="1.42578125" style="1" customWidth="1"/>
    <col min="13348" max="13571" width="13.85546875" style="1"/>
    <col min="13572" max="13572" width="7.85546875" style="1" customWidth="1"/>
    <col min="13573" max="13574" width="2.28515625" style="1" customWidth="1"/>
    <col min="13575" max="13575" width="31.42578125" style="1" customWidth="1"/>
    <col min="13576" max="13576" width="2.28515625" style="1" customWidth="1"/>
    <col min="13577" max="13577" width="2.140625" style="1" customWidth="1"/>
    <col min="13578" max="13578" width="12.28515625" style="1" customWidth="1"/>
    <col min="13579" max="13579" width="1.5703125" style="1" customWidth="1"/>
    <col min="13580" max="13580" width="12.28515625" style="1" customWidth="1"/>
    <col min="13581" max="13581" width="1.5703125" style="1" customWidth="1"/>
    <col min="13582" max="13582" width="12.28515625" style="1" customWidth="1"/>
    <col min="13583" max="13583" width="1.5703125" style="1" customWidth="1"/>
    <col min="13584" max="13584" width="13.5703125" style="1" customWidth="1"/>
    <col min="13585" max="13585" width="0.85546875" style="1" customWidth="1"/>
    <col min="13586" max="13586" width="12.28515625" style="1" customWidth="1"/>
    <col min="13587" max="13587" width="1.5703125" style="1" customWidth="1"/>
    <col min="13588" max="13588" width="12.28515625" style="1" customWidth="1"/>
    <col min="13589" max="13589" width="1.5703125" style="1" customWidth="1"/>
    <col min="13590" max="13590" width="12.28515625" style="1" customWidth="1"/>
    <col min="13591" max="13591" width="0.85546875" style="1" customWidth="1"/>
    <col min="13592" max="13592" width="12.28515625" style="1" customWidth="1"/>
    <col min="13593" max="13593" width="1.5703125" style="1" customWidth="1"/>
    <col min="13594" max="13594" width="12.28515625" style="1" customWidth="1"/>
    <col min="13595" max="13595" width="1.5703125" style="1" customWidth="1"/>
    <col min="13596" max="13596" width="12.28515625" style="1" customWidth="1"/>
    <col min="13597" max="13597" width="0.85546875" style="1" customWidth="1"/>
    <col min="13598" max="13598" width="12.28515625" style="1" customWidth="1"/>
    <col min="13599" max="13599" width="1.5703125" style="1" customWidth="1"/>
    <col min="13600" max="13600" width="12.28515625" style="1" customWidth="1"/>
    <col min="13601" max="13601" width="1.5703125" style="1" customWidth="1"/>
    <col min="13602" max="13602" width="12.28515625" style="1" customWidth="1"/>
    <col min="13603" max="13603" width="1.42578125" style="1" customWidth="1"/>
    <col min="13604" max="13827" width="13.85546875" style="1"/>
    <col min="13828" max="13828" width="7.85546875" style="1" customWidth="1"/>
    <col min="13829" max="13830" width="2.28515625" style="1" customWidth="1"/>
    <col min="13831" max="13831" width="31.42578125" style="1" customWidth="1"/>
    <col min="13832" max="13832" width="2.28515625" style="1" customWidth="1"/>
    <col min="13833" max="13833" width="2.140625" style="1" customWidth="1"/>
    <col min="13834" max="13834" width="12.28515625" style="1" customWidth="1"/>
    <col min="13835" max="13835" width="1.5703125" style="1" customWidth="1"/>
    <col min="13836" max="13836" width="12.28515625" style="1" customWidth="1"/>
    <col min="13837" max="13837" width="1.5703125" style="1" customWidth="1"/>
    <col min="13838" max="13838" width="12.28515625" style="1" customWidth="1"/>
    <col min="13839" max="13839" width="1.5703125" style="1" customWidth="1"/>
    <col min="13840" max="13840" width="13.5703125" style="1" customWidth="1"/>
    <col min="13841" max="13841" width="0.85546875" style="1" customWidth="1"/>
    <col min="13842" max="13842" width="12.28515625" style="1" customWidth="1"/>
    <col min="13843" max="13843" width="1.5703125" style="1" customWidth="1"/>
    <col min="13844" max="13844" width="12.28515625" style="1" customWidth="1"/>
    <col min="13845" max="13845" width="1.5703125" style="1" customWidth="1"/>
    <col min="13846" max="13846" width="12.28515625" style="1" customWidth="1"/>
    <col min="13847" max="13847" width="0.85546875" style="1" customWidth="1"/>
    <col min="13848" max="13848" width="12.28515625" style="1" customWidth="1"/>
    <col min="13849" max="13849" width="1.5703125" style="1" customWidth="1"/>
    <col min="13850" max="13850" width="12.28515625" style="1" customWidth="1"/>
    <col min="13851" max="13851" width="1.5703125" style="1" customWidth="1"/>
    <col min="13852" max="13852" width="12.28515625" style="1" customWidth="1"/>
    <col min="13853" max="13853" width="0.85546875" style="1" customWidth="1"/>
    <col min="13854" max="13854" width="12.28515625" style="1" customWidth="1"/>
    <col min="13855" max="13855" width="1.5703125" style="1" customWidth="1"/>
    <col min="13856" max="13856" width="12.28515625" style="1" customWidth="1"/>
    <col min="13857" max="13857" width="1.5703125" style="1" customWidth="1"/>
    <col min="13858" max="13858" width="12.28515625" style="1" customWidth="1"/>
    <col min="13859" max="13859" width="1.42578125" style="1" customWidth="1"/>
    <col min="13860" max="14083" width="13.85546875" style="1"/>
    <col min="14084" max="14084" width="7.85546875" style="1" customWidth="1"/>
    <col min="14085" max="14086" width="2.28515625" style="1" customWidth="1"/>
    <col min="14087" max="14087" width="31.42578125" style="1" customWidth="1"/>
    <col min="14088" max="14088" width="2.28515625" style="1" customWidth="1"/>
    <col min="14089" max="14089" width="2.140625" style="1" customWidth="1"/>
    <col min="14090" max="14090" width="12.28515625" style="1" customWidth="1"/>
    <col min="14091" max="14091" width="1.5703125" style="1" customWidth="1"/>
    <col min="14092" max="14092" width="12.28515625" style="1" customWidth="1"/>
    <col min="14093" max="14093" width="1.5703125" style="1" customWidth="1"/>
    <col min="14094" max="14094" width="12.28515625" style="1" customWidth="1"/>
    <col min="14095" max="14095" width="1.5703125" style="1" customWidth="1"/>
    <col min="14096" max="14096" width="13.5703125" style="1" customWidth="1"/>
    <col min="14097" max="14097" width="0.85546875" style="1" customWidth="1"/>
    <col min="14098" max="14098" width="12.28515625" style="1" customWidth="1"/>
    <col min="14099" max="14099" width="1.5703125" style="1" customWidth="1"/>
    <col min="14100" max="14100" width="12.28515625" style="1" customWidth="1"/>
    <col min="14101" max="14101" width="1.5703125" style="1" customWidth="1"/>
    <col min="14102" max="14102" width="12.28515625" style="1" customWidth="1"/>
    <col min="14103" max="14103" width="0.85546875" style="1" customWidth="1"/>
    <col min="14104" max="14104" width="12.28515625" style="1" customWidth="1"/>
    <col min="14105" max="14105" width="1.5703125" style="1" customWidth="1"/>
    <col min="14106" max="14106" width="12.28515625" style="1" customWidth="1"/>
    <col min="14107" max="14107" width="1.5703125" style="1" customWidth="1"/>
    <col min="14108" max="14108" width="12.28515625" style="1" customWidth="1"/>
    <col min="14109" max="14109" width="0.85546875" style="1" customWidth="1"/>
    <col min="14110" max="14110" width="12.28515625" style="1" customWidth="1"/>
    <col min="14111" max="14111" width="1.5703125" style="1" customWidth="1"/>
    <col min="14112" max="14112" width="12.28515625" style="1" customWidth="1"/>
    <col min="14113" max="14113" width="1.5703125" style="1" customWidth="1"/>
    <col min="14114" max="14114" width="12.28515625" style="1" customWidth="1"/>
    <col min="14115" max="14115" width="1.42578125" style="1" customWidth="1"/>
    <col min="14116" max="14339" width="13.85546875" style="1"/>
    <col min="14340" max="14340" width="7.85546875" style="1" customWidth="1"/>
    <col min="14341" max="14342" width="2.28515625" style="1" customWidth="1"/>
    <col min="14343" max="14343" width="31.42578125" style="1" customWidth="1"/>
    <col min="14344" max="14344" width="2.28515625" style="1" customWidth="1"/>
    <col min="14345" max="14345" width="2.140625" style="1" customWidth="1"/>
    <col min="14346" max="14346" width="12.28515625" style="1" customWidth="1"/>
    <col min="14347" max="14347" width="1.5703125" style="1" customWidth="1"/>
    <col min="14348" max="14348" width="12.28515625" style="1" customWidth="1"/>
    <col min="14349" max="14349" width="1.5703125" style="1" customWidth="1"/>
    <col min="14350" max="14350" width="12.28515625" style="1" customWidth="1"/>
    <col min="14351" max="14351" width="1.5703125" style="1" customWidth="1"/>
    <col min="14352" max="14352" width="13.5703125" style="1" customWidth="1"/>
    <col min="14353" max="14353" width="0.85546875" style="1" customWidth="1"/>
    <col min="14354" max="14354" width="12.28515625" style="1" customWidth="1"/>
    <col min="14355" max="14355" width="1.5703125" style="1" customWidth="1"/>
    <col min="14356" max="14356" width="12.28515625" style="1" customWidth="1"/>
    <col min="14357" max="14357" width="1.5703125" style="1" customWidth="1"/>
    <col min="14358" max="14358" width="12.28515625" style="1" customWidth="1"/>
    <col min="14359" max="14359" width="0.85546875" style="1" customWidth="1"/>
    <col min="14360" max="14360" width="12.28515625" style="1" customWidth="1"/>
    <col min="14361" max="14361" width="1.5703125" style="1" customWidth="1"/>
    <col min="14362" max="14362" width="12.28515625" style="1" customWidth="1"/>
    <col min="14363" max="14363" width="1.5703125" style="1" customWidth="1"/>
    <col min="14364" max="14364" width="12.28515625" style="1" customWidth="1"/>
    <col min="14365" max="14365" width="0.85546875" style="1" customWidth="1"/>
    <col min="14366" max="14366" width="12.28515625" style="1" customWidth="1"/>
    <col min="14367" max="14367" width="1.5703125" style="1" customWidth="1"/>
    <col min="14368" max="14368" width="12.28515625" style="1" customWidth="1"/>
    <col min="14369" max="14369" width="1.5703125" style="1" customWidth="1"/>
    <col min="14370" max="14370" width="12.28515625" style="1" customWidth="1"/>
    <col min="14371" max="14371" width="1.42578125" style="1" customWidth="1"/>
    <col min="14372" max="14595" width="13.85546875" style="1"/>
    <col min="14596" max="14596" width="7.85546875" style="1" customWidth="1"/>
    <col min="14597" max="14598" width="2.28515625" style="1" customWidth="1"/>
    <col min="14599" max="14599" width="31.42578125" style="1" customWidth="1"/>
    <col min="14600" max="14600" width="2.28515625" style="1" customWidth="1"/>
    <col min="14601" max="14601" width="2.140625" style="1" customWidth="1"/>
    <col min="14602" max="14602" width="12.28515625" style="1" customWidth="1"/>
    <col min="14603" max="14603" width="1.5703125" style="1" customWidth="1"/>
    <col min="14604" max="14604" width="12.28515625" style="1" customWidth="1"/>
    <col min="14605" max="14605" width="1.5703125" style="1" customWidth="1"/>
    <col min="14606" max="14606" width="12.28515625" style="1" customWidth="1"/>
    <col min="14607" max="14607" width="1.5703125" style="1" customWidth="1"/>
    <col min="14608" max="14608" width="13.5703125" style="1" customWidth="1"/>
    <col min="14609" max="14609" width="0.85546875" style="1" customWidth="1"/>
    <col min="14610" max="14610" width="12.28515625" style="1" customWidth="1"/>
    <col min="14611" max="14611" width="1.5703125" style="1" customWidth="1"/>
    <col min="14612" max="14612" width="12.28515625" style="1" customWidth="1"/>
    <col min="14613" max="14613" width="1.5703125" style="1" customWidth="1"/>
    <col min="14614" max="14614" width="12.28515625" style="1" customWidth="1"/>
    <col min="14615" max="14615" width="0.85546875" style="1" customWidth="1"/>
    <col min="14616" max="14616" width="12.28515625" style="1" customWidth="1"/>
    <col min="14617" max="14617" width="1.5703125" style="1" customWidth="1"/>
    <col min="14618" max="14618" width="12.28515625" style="1" customWidth="1"/>
    <col min="14619" max="14619" width="1.5703125" style="1" customWidth="1"/>
    <col min="14620" max="14620" width="12.28515625" style="1" customWidth="1"/>
    <col min="14621" max="14621" width="0.85546875" style="1" customWidth="1"/>
    <col min="14622" max="14622" width="12.28515625" style="1" customWidth="1"/>
    <col min="14623" max="14623" width="1.5703125" style="1" customWidth="1"/>
    <col min="14624" max="14624" width="12.28515625" style="1" customWidth="1"/>
    <col min="14625" max="14625" width="1.5703125" style="1" customWidth="1"/>
    <col min="14626" max="14626" width="12.28515625" style="1" customWidth="1"/>
    <col min="14627" max="14627" width="1.42578125" style="1" customWidth="1"/>
    <col min="14628" max="14851" width="13.85546875" style="1"/>
    <col min="14852" max="14852" width="7.85546875" style="1" customWidth="1"/>
    <col min="14853" max="14854" width="2.28515625" style="1" customWidth="1"/>
    <col min="14855" max="14855" width="31.42578125" style="1" customWidth="1"/>
    <col min="14856" max="14856" width="2.28515625" style="1" customWidth="1"/>
    <col min="14857" max="14857" width="2.140625" style="1" customWidth="1"/>
    <col min="14858" max="14858" width="12.28515625" style="1" customWidth="1"/>
    <col min="14859" max="14859" width="1.5703125" style="1" customWidth="1"/>
    <col min="14860" max="14860" width="12.28515625" style="1" customWidth="1"/>
    <col min="14861" max="14861" width="1.5703125" style="1" customWidth="1"/>
    <col min="14862" max="14862" width="12.28515625" style="1" customWidth="1"/>
    <col min="14863" max="14863" width="1.5703125" style="1" customWidth="1"/>
    <col min="14864" max="14864" width="13.5703125" style="1" customWidth="1"/>
    <col min="14865" max="14865" width="0.85546875" style="1" customWidth="1"/>
    <col min="14866" max="14866" width="12.28515625" style="1" customWidth="1"/>
    <col min="14867" max="14867" width="1.5703125" style="1" customWidth="1"/>
    <col min="14868" max="14868" width="12.28515625" style="1" customWidth="1"/>
    <col min="14869" max="14869" width="1.5703125" style="1" customWidth="1"/>
    <col min="14870" max="14870" width="12.28515625" style="1" customWidth="1"/>
    <col min="14871" max="14871" width="0.85546875" style="1" customWidth="1"/>
    <col min="14872" max="14872" width="12.28515625" style="1" customWidth="1"/>
    <col min="14873" max="14873" width="1.5703125" style="1" customWidth="1"/>
    <col min="14874" max="14874" width="12.28515625" style="1" customWidth="1"/>
    <col min="14875" max="14875" width="1.5703125" style="1" customWidth="1"/>
    <col min="14876" max="14876" width="12.28515625" style="1" customWidth="1"/>
    <col min="14877" max="14877" width="0.85546875" style="1" customWidth="1"/>
    <col min="14878" max="14878" width="12.28515625" style="1" customWidth="1"/>
    <col min="14879" max="14879" width="1.5703125" style="1" customWidth="1"/>
    <col min="14880" max="14880" width="12.28515625" style="1" customWidth="1"/>
    <col min="14881" max="14881" width="1.5703125" style="1" customWidth="1"/>
    <col min="14882" max="14882" width="12.28515625" style="1" customWidth="1"/>
    <col min="14883" max="14883" width="1.42578125" style="1" customWidth="1"/>
    <col min="14884" max="15107" width="13.85546875" style="1"/>
    <col min="15108" max="15108" width="7.85546875" style="1" customWidth="1"/>
    <col min="15109" max="15110" width="2.28515625" style="1" customWidth="1"/>
    <col min="15111" max="15111" width="31.42578125" style="1" customWidth="1"/>
    <col min="15112" max="15112" width="2.28515625" style="1" customWidth="1"/>
    <col min="15113" max="15113" width="2.140625" style="1" customWidth="1"/>
    <col min="15114" max="15114" width="12.28515625" style="1" customWidth="1"/>
    <col min="15115" max="15115" width="1.5703125" style="1" customWidth="1"/>
    <col min="15116" max="15116" width="12.28515625" style="1" customWidth="1"/>
    <col min="15117" max="15117" width="1.5703125" style="1" customWidth="1"/>
    <col min="15118" max="15118" width="12.28515625" style="1" customWidth="1"/>
    <col min="15119" max="15119" width="1.5703125" style="1" customWidth="1"/>
    <col min="15120" max="15120" width="13.5703125" style="1" customWidth="1"/>
    <col min="15121" max="15121" width="0.85546875" style="1" customWidth="1"/>
    <col min="15122" max="15122" width="12.28515625" style="1" customWidth="1"/>
    <col min="15123" max="15123" width="1.5703125" style="1" customWidth="1"/>
    <col min="15124" max="15124" width="12.28515625" style="1" customWidth="1"/>
    <col min="15125" max="15125" width="1.5703125" style="1" customWidth="1"/>
    <col min="15126" max="15126" width="12.28515625" style="1" customWidth="1"/>
    <col min="15127" max="15127" width="0.85546875" style="1" customWidth="1"/>
    <col min="15128" max="15128" width="12.28515625" style="1" customWidth="1"/>
    <col min="15129" max="15129" width="1.5703125" style="1" customWidth="1"/>
    <col min="15130" max="15130" width="12.28515625" style="1" customWidth="1"/>
    <col min="15131" max="15131" width="1.5703125" style="1" customWidth="1"/>
    <col min="15132" max="15132" width="12.28515625" style="1" customWidth="1"/>
    <col min="15133" max="15133" width="0.85546875" style="1" customWidth="1"/>
    <col min="15134" max="15134" width="12.28515625" style="1" customWidth="1"/>
    <col min="15135" max="15135" width="1.5703125" style="1" customWidth="1"/>
    <col min="15136" max="15136" width="12.28515625" style="1" customWidth="1"/>
    <col min="15137" max="15137" width="1.5703125" style="1" customWidth="1"/>
    <col min="15138" max="15138" width="12.28515625" style="1" customWidth="1"/>
    <col min="15139" max="15139" width="1.42578125" style="1" customWidth="1"/>
    <col min="15140" max="15363" width="13.85546875" style="1"/>
    <col min="15364" max="15364" width="7.85546875" style="1" customWidth="1"/>
    <col min="15365" max="15366" width="2.28515625" style="1" customWidth="1"/>
    <col min="15367" max="15367" width="31.42578125" style="1" customWidth="1"/>
    <col min="15368" max="15368" width="2.28515625" style="1" customWidth="1"/>
    <col min="15369" max="15369" width="2.140625" style="1" customWidth="1"/>
    <col min="15370" max="15370" width="12.28515625" style="1" customWidth="1"/>
    <col min="15371" max="15371" width="1.5703125" style="1" customWidth="1"/>
    <col min="15372" max="15372" width="12.28515625" style="1" customWidth="1"/>
    <col min="15373" max="15373" width="1.5703125" style="1" customWidth="1"/>
    <col min="15374" max="15374" width="12.28515625" style="1" customWidth="1"/>
    <col min="15375" max="15375" width="1.5703125" style="1" customWidth="1"/>
    <col min="15376" max="15376" width="13.5703125" style="1" customWidth="1"/>
    <col min="15377" max="15377" width="0.85546875" style="1" customWidth="1"/>
    <col min="15378" max="15378" width="12.28515625" style="1" customWidth="1"/>
    <col min="15379" max="15379" width="1.5703125" style="1" customWidth="1"/>
    <col min="15380" max="15380" width="12.28515625" style="1" customWidth="1"/>
    <col min="15381" max="15381" width="1.5703125" style="1" customWidth="1"/>
    <col min="15382" max="15382" width="12.28515625" style="1" customWidth="1"/>
    <col min="15383" max="15383" width="0.85546875" style="1" customWidth="1"/>
    <col min="15384" max="15384" width="12.28515625" style="1" customWidth="1"/>
    <col min="15385" max="15385" width="1.5703125" style="1" customWidth="1"/>
    <col min="15386" max="15386" width="12.28515625" style="1" customWidth="1"/>
    <col min="15387" max="15387" width="1.5703125" style="1" customWidth="1"/>
    <col min="15388" max="15388" width="12.28515625" style="1" customWidth="1"/>
    <col min="15389" max="15389" width="0.85546875" style="1" customWidth="1"/>
    <col min="15390" max="15390" width="12.28515625" style="1" customWidth="1"/>
    <col min="15391" max="15391" width="1.5703125" style="1" customWidth="1"/>
    <col min="15392" max="15392" width="12.28515625" style="1" customWidth="1"/>
    <col min="15393" max="15393" width="1.5703125" style="1" customWidth="1"/>
    <col min="15394" max="15394" width="12.28515625" style="1" customWidth="1"/>
    <col min="15395" max="15395" width="1.42578125" style="1" customWidth="1"/>
    <col min="15396" max="15619" width="13.85546875" style="1"/>
    <col min="15620" max="15620" width="7.85546875" style="1" customWidth="1"/>
    <col min="15621" max="15622" width="2.28515625" style="1" customWidth="1"/>
    <col min="15623" max="15623" width="31.42578125" style="1" customWidth="1"/>
    <col min="15624" max="15624" width="2.28515625" style="1" customWidth="1"/>
    <col min="15625" max="15625" width="2.140625" style="1" customWidth="1"/>
    <col min="15626" max="15626" width="12.28515625" style="1" customWidth="1"/>
    <col min="15627" max="15627" width="1.5703125" style="1" customWidth="1"/>
    <col min="15628" max="15628" width="12.28515625" style="1" customWidth="1"/>
    <col min="15629" max="15629" width="1.5703125" style="1" customWidth="1"/>
    <col min="15630" max="15630" width="12.28515625" style="1" customWidth="1"/>
    <col min="15631" max="15631" width="1.5703125" style="1" customWidth="1"/>
    <col min="15632" max="15632" width="13.5703125" style="1" customWidth="1"/>
    <col min="15633" max="15633" width="0.85546875" style="1" customWidth="1"/>
    <col min="15634" max="15634" width="12.28515625" style="1" customWidth="1"/>
    <col min="15635" max="15635" width="1.5703125" style="1" customWidth="1"/>
    <col min="15636" max="15636" width="12.28515625" style="1" customWidth="1"/>
    <col min="15637" max="15637" width="1.5703125" style="1" customWidth="1"/>
    <col min="15638" max="15638" width="12.28515625" style="1" customWidth="1"/>
    <col min="15639" max="15639" width="0.85546875" style="1" customWidth="1"/>
    <col min="15640" max="15640" width="12.28515625" style="1" customWidth="1"/>
    <col min="15641" max="15641" width="1.5703125" style="1" customWidth="1"/>
    <col min="15642" max="15642" width="12.28515625" style="1" customWidth="1"/>
    <col min="15643" max="15643" width="1.5703125" style="1" customWidth="1"/>
    <col min="15644" max="15644" width="12.28515625" style="1" customWidth="1"/>
    <col min="15645" max="15645" width="0.85546875" style="1" customWidth="1"/>
    <col min="15646" max="15646" width="12.28515625" style="1" customWidth="1"/>
    <col min="15647" max="15647" width="1.5703125" style="1" customWidth="1"/>
    <col min="15648" max="15648" width="12.28515625" style="1" customWidth="1"/>
    <col min="15649" max="15649" width="1.5703125" style="1" customWidth="1"/>
    <col min="15650" max="15650" width="12.28515625" style="1" customWidth="1"/>
    <col min="15651" max="15651" width="1.42578125" style="1" customWidth="1"/>
    <col min="15652" max="15875" width="13.85546875" style="1"/>
    <col min="15876" max="15876" width="7.85546875" style="1" customWidth="1"/>
    <col min="15877" max="15878" width="2.28515625" style="1" customWidth="1"/>
    <col min="15879" max="15879" width="31.42578125" style="1" customWidth="1"/>
    <col min="15880" max="15880" width="2.28515625" style="1" customWidth="1"/>
    <col min="15881" max="15881" width="2.140625" style="1" customWidth="1"/>
    <col min="15882" max="15882" width="12.28515625" style="1" customWidth="1"/>
    <col min="15883" max="15883" width="1.5703125" style="1" customWidth="1"/>
    <col min="15884" max="15884" width="12.28515625" style="1" customWidth="1"/>
    <col min="15885" max="15885" width="1.5703125" style="1" customWidth="1"/>
    <col min="15886" max="15886" width="12.28515625" style="1" customWidth="1"/>
    <col min="15887" max="15887" width="1.5703125" style="1" customWidth="1"/>
    <col min="15888" max="15888" width="13.5703125" style="1" customWidth="1"/>
    <col min="15889" max="15889" width="0.85546875" style="1" customWidth="1"/>
    <col min="15890" max="15890" width="12.28515625" style="1" customWidth="1"/>
    <col min="15891" max="15891" width="1.5703125" style="1" customWidth="1"/>
    <col min="15892" max="15892" width="12.28515625" style="1" customWidth="1"/>
    <col min="15893" max="15893" width="1.5703125" style="1" customWidth="1"/>
    <col min="15894" max="15894" width="12.28515625" style="1" customWidth="1"/>
    <col min="15895" max="15895" width="0.85546875" style="1" customWidth="1"/>
    <col min="15896" max="15896" width="12.28515625" style="1" customWidth="1"/>
    <col min="15897" max="15897" width="1.5703125" style="1" customWidth="1"/>
    <col min="15898" max="15898" width="12.28515625" style="1" customWidth="1"/>
    <col min="15899" max="15899" width="1.5703125" style="1" customWidth="1"/>
    <col min="15900" max="15900" width="12.28515625" style="1" customWidth="1"/>
    <col min="15901" max="15901" width="0.85546875" style="1" customWidth="1"/>
    <col min="15902" max="15902" width="12.28515625" style="1" customWidth="1"/>
    <col min="15903" max="15903" width="1.5703125" style="1" customWidth="1"/>
    <col min="15904" max="15904" width="12.28515625" style="1" customWidth="1"/>
    <col min="15905" max="15905" width="1.5703125" style="1" customWidth="1"/>
    <col min="15906" max="15906" width="12.28515625" style="1" customWidth="1"/>
    <col min="15907" max="15907" width="1.42578125" style="1" customWidth="1"/>
    <col min="15908" max="16131" width="13.85546875" style="1"/>
    <col min="16132" max="16132" width="7.85546875" style="1" customWidth="1"/>
    <col min="16133" max="16134" width="2.28515625" style="1" customWidth="1"/>
    <col min="16135" max="16135" width="31.42578125" style="1" customWidth="1"/>
    <col min="16136" max="16136" width="2.28515625" style="1" customWidth="1"/>
    <col min="16137" max="16137" width="2.140625" style="1" customWidth="1"/>
    <col min="16138" max="16138" width="12.28515625" style="1" customWidth="1"/>
    <col min="16139" max="16139" width="1.5703125" style="1" customWidth="1"/>
    <col min="16140" max="16140" width="12.28515625" style="1" customWidth="1"/>
    <col min="16141" max="16141" width="1.5703125" style="1" customWidth="1"/>
    <col min="16142" max="16142" width="12.28515625" style="1" customWidth="1"/>
    <col min="16143" max="16143" width="1.5703125" style="1" customWidth="1"/>
    <col min="16144" max="16144" width="13.5703125" style="1" customWidth="1"/>
    <col min="16145" max="16145" width="0.85546875" style="1" customWidth="1"/>
    <col min="16146" max="16146" width="12.28515625" style="1" customWidth="1"/>
    <col min="16147" max="16147" width="1.5703125" style="1" customWidth="1"/>
    <col min="16148" max="16148" width="12.28515625" style="1" customWidth="1"/>
    <col min="16149" max="16149" width="1.5703125" style="1" customWidth="1"/>
    <col min="16150" max="16150" width="12.28515625" style="1" customWidth="1"/>
    <col min="16151" max="16151" width="0.85546875" style="1" customWidth="1"/>
    <col min="16152" max="16152" width="12.28515625" style="1" customWidth="1"/>
    <col min="16153" max="16153" width="1.5703125" style="1" customWidth="1"/>
    <col min="16154" max="16154" width="12.28515625" style="1" customWidth="1"/>
    <col min="16155" max="16155" width="1.5703125" style="1" customWidth="1"/>
    <col min="16156" max="16156" width="12.28515625" style="1" customWidth="1"/>
    <col min="16157" max="16157" width="0.85546875" style="1" customWidth="1"/>
    <col min="16158" max="16158" width="12.28515625" style="1" customWidth="1"/>
    <col min="16159" max="16159" width="1.5703125" style="1" customWidth="1"/>
    <col min="16160" max="16160" width="12.28515625" style="1" customWidth="1"/>
    <col min="16161" max="16161" width="1.5703125" style="1" customWidth="1"/>
    <col min="16162" max="16162" width="12.28515625" style="1" customWidth="1"/>
    <col min="16163" max="16163" width="1.42578125" style="1" customWidth="1"/>
    <col min="16164" max="16384" width="13.85546875" style="1"/>
  </cols>
  <sheetData>
    <row r="1" spans="1:47">
      <c r="D1" s="1" t="s">
        <v>198</v>
      </c>
      <c r="E1" s="1" t="s">
        <v>199</v>
      </c>
      <c r="F1" s="2"/>
      <c r="G1" s="3"/>
      <c r="J1" s="1" t="s">
        <v>200</v>
      </c>
      <c r="L1" s="1" t="s">
        <v>201</v>
      </c>
      <c r="N1" s="1" t="s">
        <v>202</v>
      </c>
      <c r="P1" s="1" t="s">
        <v>203</v>
      </c>
      <c r="R1" s="1" t="s">
        <v>204</v>
      </c>
      <c r="T1" s="1" t="s">
        <v>205</v>
      </c>
      <c r="V1" s="1" t="s">
        <v>206</v>
      </c>
      <c r="X1" s="1" t="s">
        <v>207</v>
      </c>
      <c r="Z1" s="1" t="s">
        <v>208</v>
      </c>
      <c r="AB1" s="1" t="s">
        <v>209</v>
      </c>
      <c r="AD1" s="1" t="s">
        <v>210</v>
      </c>
      <c r="AF1" s="1" t="s">
        <v>211</v>
      </c>
      <c r="AH1" s="4"/>
    </row>
    <row r="2" spans="1:47" outlineLevel="1">
      <c r="B2" s="5"/>
      <c r="D2" s="6"/>
      <c r="E2" s="6"/>
      <c r="F2" s="7"/>
      <c r="G2" s="3"/>
      <c r="H2" s="8"/>
      <c r="I2" s="9"/>
      <c r="J2" s="10">
        <v>0</v>
      </c>
      <c r="K2" s="9"/>
      <c r="L2" s="10">
        <v>0</v>
      </c>
      <c r="M2" s="9"/>
      <c r="N2" s="10">
        <v>0</v>
      </c>
      <c r="O2" s="9"/>
      <c r="P2" s="10">
        <v>0</v>
      </c>
      <c r="Q2" s="9"/>
      <c r="R2" s="10">
        <v>0</v>
      </c>
      <c r="S2" s="9"/>
      <c r="T2" s="10">
        <v>0</v>
      </c>
      <c r="U2" s="9"/>
      <c r="V2" s="10">
        <v>0</v>
      </c>
      <c r="W2" s="9"/>
      <c r="X2" s="10">
        <v>0</v>
      </c>
      <c r="Y2" s="9"/>
      <c r="Z2" s="10">
        <v>0</v>
      </c>
      <c r="AA2" s="9"/>
      <c r="AB2" s="10">
        <v>0</v>
      </c>
      <c r="AC2" s="9"/>
      <c r="AD2" s="10">
        <v>0</v>
      </c>
      <c r="AE2" s="9"/>
      <c r="AF2" s="10">
        <v>0</v>
      </c>
      <c r="AG2" s="9"/>
      <c r="AH2" s="10">
        <f>AF2+AD2+AB2+Z2+X2+V2+T2+R2+P2+N2+L2+J2</f>
        <v>0</v>
      </c>
      <c r="AI2" s="11"/>
    </row>
    <row r="3" spans="1:47">
      <c r="D3" s="12"/>
      <c r="E3" s="12"/>
      <c r="F3" s="12"/>
      <c r="G3" s="12"/>
      <c r="H3" s="12"/>
      <c r="I3" s="12"/>
      <c r="J3" s="1" t="str">
        <f>TEXT(EDATE(DATEVALUE(RIGHT($D$8,2)&amp;"/1/"&amp;LEFT($D$8,4)),-11),"yyyy-mm")</f>
        <v>2016-10</v>
      </c>
      <c r="L3" s="1" t="str">
        <f>TEXT(EDATE(DATEVALUE(RIGHT($D$8,2)&amp;"/1/"&amp;LEFT($D$8,4)),-10),"yyyy-mm")</f>
        <v>2016-11</v>
      </c>
      <c r="N3" s="1" t="str">
        <f>TEXT(EDATE(DATEVALUE(RIGHT($D$8,2)&amp;"/1/"&amp;LEFT($D$8,4)),-9),"yyyy-mm")</f>
        <v>2016-12</v>
      </c>
      <c r="P3" s="1" t="str">
        <f>TEXT(EDATE(DATEVALUE(RIGHT($D$8,2)&amp;"/1/"&amp;LEFT($D$8,4)),-8),"yyyy-mm")</f>
        <v>2017-01</v>
      </c>
      <c r="R3" s="1" t="str">
        <f>TEXT(EDATE(DATEVALUE(RIGHT($D$8,2)&amp;"/1/"&amp;LEFT($D$8,4)),-7),"yyyy-mm")</f>
        <v>2017-02</v>
      </c>
      <c r="T3" s="1" t="str">
        <f>TEXT(EDATE(DATEVALUE(RIGHT($D$8,2)&amp;"/1/"&amp;LEFT($D$8,4)),-6),"yyyy-mm")</f>
        <v>2017-03</v>
      </c>
      <c r="V3" s="1" t="str">
        <f>TEXT(EDATE(DATEVALUE(RIGHT($D$8,2)&amp;"/1/"&amp;LEFT($D$8,4)),-5),"yyyy-mm")</f>
        <v>2017-04</v>
      </c>
      <c r="X3" s="1" t="str">
        <f>TEXT(EDATE(DATEVALUE(RIGHT($D$8,2)&amp;"/1/"&amp;LEFT($D$8,4)),-4),"yyyy-mm")</f>
        <v>2017-05</v>
      </c>
      <c r="Z3" s="1" t="str">
        <f>TEXT(EDATE(DATEVALUE(RIGHT($D$8,2)&amp;"/1/"&amp;LEFT($D$8,4)),-3),"yyyy-mm")</f>
        <v>2017-06</v>
      </c>
      <c r="AB3" s="1" t="str">
        <f>TEXT(EDATE(DATEVALUE(RIGHT($D$8,2)&amp;"/1/"&amp;LEFT($D$8,4)),-2),"yyyy-mm")</f>
        <v>2017-07</v>
      </c>
      <c r="AD3" s="1" t="str">
        <f>TEXT(EDATE(DATEVALUE(RIGHT($D$8,2)&amp;"/1/"&amp;LEFT($D$8,4)),-1),"yyyy-mm")</f>
        <v>2017-08</v>
      </c>
      <c r="AF3" s="1" t="str">
        <f>YearMonth</f>
        <v>2017-09</v>
      </c>
      <c r="AH3" s="1"/>
    </row>
    <row r="4" spans="1:47" ht="15">
      <c r="B4" s="13" t="str">
        <f ca="1">_xll.ReportVariable("WCN1",B13:B127,1:1,2:2,_xll.Param(D8,N6,"PL,98501",R7,"PL",R6,"AcctGrp1","ConsolSum","",""))</f>
        <v>OK!: ReportVariable Formula OK [jAction{}]</v>
      </c>
      <c r="G4" s="14"/>
      <c r="J4" s="1"/>
      <c r="L4" s="1"/>
      <c r="N4" s="1"/>
      <c r="P4" s="1"/>
      <c r="R4" s="1"/>
      <c r="T4" s="1"/>
      <c r="V4" s="1"/>
      <c r="X4" s="1"/>
      <c r="Z4" s="1"/>
      <c r="AB4" s="1"/>
      <c r="AD4" s="1"/>
      <c r="AF4" s="1"/>
      <c r="AH4" s="1"/>
    </row>
    <row r="5" spans="1:47">
      <c r="B5" s="13" t="e">
        <f ca="1">_xll.ReportDrill(,"JEQuery",D12:D48,J3:AI3,"K7","G6",,,_xll.Param("","",N6))</f>
        <v>#VALUE!</v>
      </c>
      <c r="J5" s="1"/>
      <c r="L5" s="1"/>
      <c r="N5" s="1"/>
      <c r="P5" s="1"/>
      <c r="R5" s="1"/>
      <c r="T5" s="1"/>
      <c r="V5" s="1"/>
      <c r="X5" s="1"/>
      <c r="Z5" s="1"/>
      <c r="AB5" s="1"/>
      <c r="AD5" s="1"/>
      <c r="AF5" s="1"/>
      <c r="AH5" s="1"/>
    </row>
    <row r="6" spans="1:47" s="16" customFormat="1" ht="15.75">
      <c r="A6" s="1"/>
      <c r="B6" s="1"/>
      <c r="C6" s="1"/>
      <c r="D6" s="15" t="s">
        <v>212</v>
      </c>
      <c r="M6" s="17" t="s">
        <v>213</v>
      </c>
      <c r="N6" s="18" t="s">
        <v>479</v>
      </c>
      <c r="Q6" s="17" t="s">
        <v>215</v>
      </c>
      <c r="R6" s="19"/>
      <c r="S6" s="17"/>
      <c r="T6" s="18"/>
      <c r="Y6" s="17"/>
      <c r="Z6" s="18"/>
      <c r="AE6" s="17"/>
      <c r="AF6" s="18"/>
      <c r="AH6" s="20"/>
    </row>
    <row r="7" spans="1:47" s="16" customFormat="1" ht="15.75">
      <c r="A7" s="1"/>
      <c r="D7" s="15" t="s">
        <v>216</v>
      </c>
      <c r="N7" s="21" t="s">
        <v>217</v>
      </c>
      <c r="Q7" s="17" t="s">
        <v>218</v>
      </c>
      <c r="R7" s="21" t="s">
        <v>217</v>
      </c>
      <c r="T7" s="21" t="s">
        <v>217</v>
      </c>
      <c r="Z7" s="21" t="s">
        <v>217</v>
      </c>
      <c r="AF7" s="21" t="s">
        <v>217</v>
      </c>
    </row>
    <row r="8" spans="1:47" s="16" customFormat="1" ht="15.75">
      <c r="A8" s="1"/>
      <c r="D8" s="22" t="s">
        <v>219</v>
      </c>
    </row>
    <row r="9" spans="1:47" s="16" customFormat="1" ht="15.75">
      <c r="A9" s="1"/>
      <c r="D9" s="236"/>
      <c r="AJ9" s="94" t="s">
        <v>480</v>
      </c>
      <c r="AK9" s="89">
        <f>+AQ12</f>
        <v>0.12595852516922945</v>
      </c>
    </row>
    <row r="10" spans="1:47" s="16" customFormat="1" ht="15.75">
      <c r="A10" s="1"/>
      <c r="D10" s="23"/>
      <c r="AJ10" s="90" t="s">
        <v>478</v>
      </c>
      <c r="AK10" s="89">
        <f>+AU12</f>
        <v>0.1244934831401061</v>
      </c>
      <c r="AO10" s="76"/>
      <c r="AP10" s="75"/>
      <c r="AQ10" s="92" t="s">
        <v>356</v>
      </c>
      <c r="AR10" s="93"/>
      <c r="AS10" s="76"/>
      <c r="AT10" s="75"/>
      <c r="AU10" s="92" t="s">
        <v>355</v>
      </c>
    </row>
    <row r="11" spans="1:47" s="16" customFormat="1" ht="45">
      <c r="A11" s="1"/>
      <c r="D11" s="24"/>
      <c r="E11" s="24"/>
      <c r="F11" s="24"/>
      <c r="G11" s="24"/>
      <c r="H11" s="24"/>
      <c r="I11" s="24"/>
      <c r="J11" s="25"/>
      <c r="K11" s="26"/>
      <c r="L11" s="25"/>
      <c r="M11" s="26"/>
      <c r="N11" s="27"/>
      <c r="O11" s="26"/>
      <c r="P11" s="25"/>
      <c r="Q11" s="26"/>
      <c r="R11" s="25"/>
      <c r="S11" s="26"/>
      <c r="T11" s="27"/>
      <c r="U11" s="26"/>
      <c r="V11" s="25"/>
      <c r="W11" s="26"/>
      <c r="X11" s="25"/>
      <c r="Y11" s="26"/>
      <c r="Z11" s="27"/>
      <c r="AA11" s="26"/>
      <c r="AB11" s="25"/>
      <c r="AC11" s="26"/>
      <c r="AD11" s="25"/>
      <c r="AE11" s="26"/>
      <c r="AF11" s="27"/>
      <c r="AG11" s="26"/>
      <c r="AH11" s="25"/>
      <c r="AJ11" s="1153" t="s">
        <v>2605</v>
      </c>
      <c r="AK11" s="84" t="s">
        <v>350</v>
      </c>
      <c r="AL11" s="84" t="s">
        <v>349</v>
      </c>
      <c r="AO11" s="87" t="s">
        <v>353</v>
      </c>
      <c r="AP11" s="86" t="s">
        <v>354</v>
      </c>
      <c r="AQ11" s="85" t="s">
        <v>351</v>
      </c>
      <c r="AR11" s="88"/>
      <c r="AS11" s="87" t="s">
        <v>353</v>
      </c>
      <c r="AT11" s="86" t="s">
        <v>352</v>
      </c>
      <c r="AU11" s="85" t="s">
        <v>351</v>
      </c>
    </row>
    <row r="12" spans="1:47" s="16" customFormat="1" ht="16.5" thickBot="1">
      <c r="A12" s="1"/>
      <c r="B12" s="28" t="s">
        <v>220</v>
      </c>
      <c r="D12" s="24"/>
      <c r="E12" s="24"/>
      <c r="F12" s="24"/>
      <c r="G12" s="24"/>
      <c r="H12" s="24"/>
      <c r="I12" s="24"/>
      <c r="J12" s="29">
        <f>DATE(MID(J3,1,4), MID(J3,6,2), MID(J3,6,2))</f>
        <v>42653</v>
      </c>
      <c r="K12" s="30"/>
      <c r="L12" s="29">
        <f>DATE(MID(L3,1,4), MID(L3,6,2), MID(L3,6,2))</f>
        <v>42685</v>
      </c>
      <c r="M12" s="30"/>
      <c r="N12" s="29">
        <f>DATE(MID(N3,1,4), MID(N3,6,2), MID(N3,6,2))</f>
        <v>42716</v>
      </c>
      <c r="O12" s="31"/>
      <c r="P12" s="29">
        <f>DATE(MID(P3,1,4), MID(P3,6,2), MID(P3,6,2))</f>
        <v>42736</v>
      </c>
      <c r="Q12" s="30"/>
      <c r="R12" s="29">
        <f>DATE(MID(R3,1,4), MID(R3,6,2), MID(R3,6,2))</f>
        <v>42768</v>
      </c>
      <c r="S12" s="30"/>
      <c r="T12" s="29">
        <f>DATE(MID(T3,1,4), MID(T3,6,2), MID(T3,6,2))</f>
        <v>42797</v>
      </c>
      <c r="U12" s="31"/>
      <c r="V12" s="29">
        <f>DATE(MID(V3,1,4), MID(V3,6,2), MID(V3,6,2))</f>
        <v>42829</v>
      </c>
      <c r="W12" s="30"/>
      <c r="X12" s="29">
        <f>DATE(MID(X3,1,4), MID(X3,6,2), MID(X3,6,2))</f>
        <v>42860</v>
      </c>
      <c r="Y12" s="30"/>
      <c r="Z12" s="29">
        <f>DATE(MID(Z3,1,4), MID(Z3,6,2), MID(Z3,6,2))</f>
        <v>42892</v>
      </c>
      <c r="AA12" s="31"/>
      <c r="AB12" s="29">
        <f>DATE(MID(AB3,1,4), MID(AB3,6,2), MID(AB3,6,2))</f>
        <v>42923</v>
      </c>
      <c r="AC12" s="30"/>
      <c r="AD12" s="29">
        <f>DATE(MID(AD3,1,4), MID(AD3,6,2), MID(AD3,6,2))</f>
        <v>42955</v>
      </c>
      <c r="AE12" s="30"/>
      <c r="AF12" s="29">
        <f>DATE(MID(AF3,1,4), MID(AF3,6,2), MID(AF3,6,2))</f>
        <v>42987</v>
      </c>
      <c r="AG12" s="31"/>
      <c r="AH12" s="32" t="s">
        <v>27</v>
      </c>
      <c r="AJ12" s="29" t="s">
        <v>348</v>
      </c>
      <c r="AK12" s="29" t="s">
        <v>347</v>
      </c>
      <c r="AL12" s="29" t="s">
        <v>346</v>
      </c>
      <c r="AO12" s="237">
        <v>2010</v>
      </c>
      <c r="AP12" s="238">
        <v>128337</v>
      </c>
      <c r="AQ12" s="239">
        <v>0.12595852516922945</v>
      </c>
      <c r="AR12" s="79"/>
      <c r="AS12" s="237">
        <v>2010</v>
      </c>
      <c r="AT12" s="238">
        <v>131402</v>
      </c>
      <c r="AU12" s="239">
        <v>0.1244934831401061</v>
      </c>
    </row>
    <row r="13" spans="1:47" ht="15" outlineLevel="1">
      <c r="B13" s="5" t="s">
        <v>223</v>
      </c>
      <c r="D13" s="6">
        <v>70035</v>
      </c>
      <c r="E13" s="6" t="s">
        <v>44</v>
      </c>
      <c r="F13" s="7"/>
      <c r="G13" s="3"/>
      <c r="H13" s="8"/>
      <c r="I13" s="9"/>
      <c r="J13" s="10">
        <v>301.99</v>
      </c>
      <c r="K13" s="9"/>
      <c r="L13" s="10">
        <v>250</v>
      </c>
      <c r="M13" s="9"/>
      <c r="N13" s="10">
        <v>250</v>
      </c>
      <c r="O13" s="9"/>
      <c r="P13" s="10">
        <v>250</v>
      </c>
      <c r="Q13" s="9"/>
      <c r="R13" s="10">
        <v>250</v>
      </c>
      <c r="S13" s="9"/>
      <c r="T13" s="10">
        <v>-62.5</v>
      </c>
      <c r="U13" s="9"/>
      <c r="V13" s="10">
        <v>204.45</v>
      </c>
      <c r="W13" s="9"/>
      <c r="X13" s="10">
        <v>-216.09</v>
      </c>
      <c r="Y13" s="9"/>
      <c r="Z13" s="10">
        <v>-841.1</v>
      </c>
      <c r="AA13" s="9"/>
      <c r="AB13" s="10">
        <v>33.9</v>
      </c>
      <c r="AC13" s="9"/>
      <c r="AD13" s="10">
        <v>33.909999999999997</v>
      </c>
      <c r="AE13" s="9"/>
      <c r="AF13" s="10">
        <v>33.9</v>
      </c>
      <c r="AG13" s="9"/>
      <c r="AH13" s="10">
        <f t="shared" ref="AH13:AH45" si="0">AF13+AD13+AB13+Z13+X13+V13+T13+R13+P13+N13+L13+J13</f>
        <v>488.46000000000004</v>
      </c>
      <c r="AI13" s="11"/>
      <c r="AJ13" s="83">
        <f>+(SUM(J13:N13)*$AK$9)+(SUM(P13:AF13)*$AK$10)</f>
        <v>61.985035831552857</v>
      </c>
      <c r="AK13" s="82"/>
      <c r="AL13" s="82">
        <f t="shared" ref="AL13:AL46" si="1">AJ13+AK13</f>
        <v>61.985035831552857</v>
      </c>
      <c r="AO13" s="73">
        <v>2011</v>
      </c>
      <c r="AP13" s="72">
        <v>30394</v>
      </c>
      <c r="AQ13" s="71">
        <v>2.9830706764172137E-2</v>
      </c>
      <c r="AR13" s="79"/>
      <c r="AS13" s="73">
        <v>2011</v>
      </c>
      <c r="AT13" s="72">
        <v>30599</v>
      </c>
      <c r="AU13" s="71">
        <v>2.8990244369218935E-2</v>
      </c>
    </row>
    <row r="14" spans="1:47" ht="15" outlineLevel="1">
      <c r="B14" s="5" t="s">
        <v>223</v>
      </c>
      <c r="D14" s="6">
        <v>70036</v>
      </c>
      <c r="E14" s="6" t="s">
        <v>45</v>
      </c>
      <c r="F14" s="7"/>
      <c r="G14" s="3"/>
      <c r="H14" s="8"/>
      <c r="I14" s="9"/>
      <c r="J14" s="10">
        <v>4591.67</v>
      </c>
      <c r="K14" s="9"/>
      <c r="L14" s="10">
        <v>5716.66</v>
      </c>
      <c r="M14" s="9"/>
      <c r="N14" s="10">
        <v>4316.67</v>
      </c>
      <c r="O14" s="9"/>
      <c r="P14" s="10">
        <v>1247.08</v>
      </c>
      <c r="Q14" s="9"/>
      <c r="R14" s="10">
        <v>1247.0899999999999</v>
      </c>
      <c r="S14" s="9"/>
      <c r="T14" s="10">
        <v>1612.08</v>
      </c>
      <c r="U14" s="9"/>
      <c r="V14" s="10">
        <v>1247.08</v>
      </c>
      <c r="W14" s="9"/>
      <c r="X14" s="10">
        <v>1847.09</v>
      </c>
      <c r="Y14" s="9"/>
      <c r="Z14" s="10">
        <v>1451.14</v>
      </c>
      <c r="AA14" s="9"/>
      <c r="AB14" s="10">
        <v>51297.08</v>
      </c>
      <c r="AC14" s="9"/>
      <c r="AD14" s="10">
        <v>1247.0899999999999</v>
      </c>
      <c r="AE14" s="9"/>
      <c r="AF14" s="10">
        <v>1397.08</v>
      </c>
      <c r="AG14" s="9"/>
      <c r="AH14" s="10">
        <f t="shared" si="0"/>
        <v>77217.81</v>
      </c>
      <c r="AI14" s="11"/>
      <c r="AJ14" s="83">
        <f t="shared" ref="AJ14:AJ45" si="2">+(SUM(J14:N14)*$AK$9)+(SUM(P14:AF14)*$AK$10)</f>
        <v>9634.5403670268443</v>
      </c>
      <c r="AK14" s="82"/>
      <c r="AL14" s="82">
        <f t="shared" si="1"/>
        <v>9634.5403670268443</v>
      </c>
      <c r="AO14" s="73">
        <v>2012</v>
      </c>
      <c r="AP14" s="72">
        <v>21971</v>
      </c>
      <c r="AQ14" s="71">
        <v>2.1563810565099231E-2</v>
      </c>
      <c r="AR14" s="79"/>
      <c r="AS14" s="73">
        <v>2012</v>
      </c>
      <c r="AT14" s="72">
        <v>22646</v>
      </c>
      <c r="AU14" s="71">
        <v>2.1455376776539494E-2</v>
      </c>
    </row>
    <row r="15" spans="1:47" ht="15" outlineLevel="1">
      <c r="B15" s="5" t="s">
        <v>223</v>
      </c>
      <c r="D15" s="6">
        <v>70086</v>
      </c>
      <c r="E15" s="6" t="s">
        <v>263</v>
      </c>
      <c r="F15" s="7"/>
      <c r="G15" s="3"/>
      <c r="H15" s="8"/>
      <c r="I15" s="9"/>
      <c r="J15" s="10">
        <v>709.58</v>
      </c>
      <c r="K15" s="9"/>
      <c r="L15" s="10">
        <v>4548.33</v>
      </c>
      <c r="M15" s="9"/>
      <c r="N15" s="10">
        <v>-4.41</v>
      </c>
      <c r="O15" s="9"/>
      <c r="P15" s="10">
        <v>935.08</v>
      </c>
      <c r="Q15" s="9"/>
      <c r="R15" s="10">
        <v>3172.78</v>
      </c>
      <c r="S15" s="9"/>
      <c r="T15" s="10">
        <v>402.75</v>
      </c>
      <c r="U15" s="9"/>
      <c r="V15" s="10">
        <v>2021.44</v>
      </c>
      <c r="W15" s="9"/>
      <c r="X15" s="10">
        <v>4114.32</v>
      </c>
      <c r="Y15" s="9"/>
      <c r="Z15" s="10">
        <v>656.83</v>
      </c>
      <c r="AA15" s="9"/>
      <c r="AB15" s="10">
        <v>1418.74</v>
      </c>
      <c r="AC15" s="9"/>
      <c r="AD15" s="10">
        <v>2274.2399999999998</v>
      </c>
      <c r="AE15" s="9"/>
      <c r="AF15" s="10">
        <v>725.05</v>
      </c>
      <c r="AG15" s="9"/>
      <c r="AH15" s="10">
        <f t="shared" si="0"/>
        <v>20974.730000000003</v>
      </c>
      <c r="AI15" s="11"/>
      <c r="AJ15" s="83">
        <f t="shared" si="2"/>
        <v>2618.9137939232769</v>
      </c>
      <c r="AK15" s="82"/>
      <c r="AL15" s="82">
        <f t="shared" si="1"/>
        <v>2618.9137939232769</v>
      </c>
      <c r="AO15" s="73">
        <v>2013</v>
      </c>
      <c r="AP15" s="72">
        <v>59448</v>
      </c>
      <c r="AQ15" s="71">
        <v>5.8346247802740843E-2</v>
      </c>
      <c r="AR15" s="79"/>
      <c r="AS15" s="73">
        <v>2013</v>
      </c>
      <c r="AT15" s="72">
        <v>59476</v>
      </c>
      <c r="AU15" s="71">
        <v>5.6349023631611012E-2</v>
      </c>
    </row>
    <row r="16" spans="1:47" ht="15" outlineLevel="1">
      <c r="B16" s="5" t="s">
        <v>223</v>
      </c>
      <c r="D16" s="6">
        <v>70095</v>
      </c>
      <c r="E16" s="6" t="s">
        <v>145</v>
      </c>
      <c r="F16" s="7"/>
      <c r="G16" s="3"/>
      <c r="H16" s="8"/>
      <c r="I16" s="9"/>
      <c r="J16" s="10">
        <v>5336.59</v>
      </c>
      <c r="K16" s="9"/>
      <c r="L16" s="10">
        <v>926.28</v>
      </c>
      <c r="M16" s="9"/>
      <c r="N16" s="10">
        <v>14537.08</v>
      </c>
      <c r="O16" s="9"/>
      <c r="P16" s="10">
        <v>17701.560000000001</v>
      </c>
      <c r="Q16" s="9"/>
      <c r="R16" s="10">
        <v>11577.88</v>
      </c>
      <c r="S16" s="9"/>
      <c r="T16" s="10">
        <v>16067.76</v>
      </c>
      <c r="U16" s="9"/>
      <c r="V16" s="10">
        <v>4277.54</v>
      </c>
      <c r="W16" s="9"/>
      <c r="X16" s="10">
        <v>3087.22</v>
      </c>
      <c r="Y16" s="9"/>
      <c r="Z16" s="10">
        <v>4187.6899999999996</v>
      </c>
      <c r="AA16" s="9"/>
      <c r="AB16" s="10">
        <v>2768.9</v>
      </c>
      <c r="AC16" s="9"/>
      <c r="AD16" s="10">
        <v>5774.53</v>
      </c>
      <c r="AE16" s="9"/>
      <c r="AF16" s="10">
        <v>3186.11</v>
      </c>
      <c r="AG16" s="9"/>
      <c r="AH16" s="10">
        <f t="shared" si="0"/>
        <v>89429.14</v>
      </c>
      <c r="AI16" s="11"/>
      <c r="AJ16" s="83">
        <f t="shared" si="2"/>
        <v>11163.817933777853</v>
      </c>
      <c r="AK16" s="82"/>
      <c r="AL16" s="82">
        <f t="shared" si="1"/>
        <v>11163.817933777853</v>
      </c>
      <c r="AO16" s="73">
        <v>2014</v>
      </c>
      <c r="AP16" s="72">
        <v>52</v>
      </c>
      <c r="AQ16" s="71">
        <v>5.1036281889088342E-5</v>
      </c>
      <c r="AR16" s="79"/>
      <c r="AS16" s="73">
        <v>2014</v>
      </c>
      <c r="AT16" s="72">
        <v>56</v>
      </c>
      <c r="AU16" s="71">
        <v>5.3055775831767712E-5</v>
      </c>
    </row>
    <row r="17" spans="2:47" ht="15" outlineLevel="1">
      <c r="B17" s="5" t="s">
        <v>223</v>
      </c>
      <c r="D17" s="6">
        <v>70105</v>
      </c>
      <c r="E17" s="6" t="s">
        <v>149</v>
      </c>
      <c r="F17" s="7"/>
      <c r="G17" s="3"/>
      <c r="H17" s="8"/>
      <c r="I17" s="9"/>
      <c r="J17" s="10">
        <v>3307.22</v>
      </c>
      <c r="K17" s="9"/>
      <c r="L17" s="10">
        <v>0</v>
      </c>
      <c r="M17" s="9"/>
      <c r="N17" s="10">
        <v>3376.96</v>
      </c>
      <c r="O17" s="9"/>
      <c r="P17" s="10">
        <v>0</v>
      </c>
      <c r="Q17" s="9"/>
      <c r="R17" s="10">
        <v>0</v>
      </c>
      <c r="S17" s="9"/>
      <c r="T17" s="10">
        <v>0</v>
      </c>
      <c r="U17" s="9"/>
      <c r="V17" s="10">
        <v>0</v>
      </c>
      <c r="W17" s="9"/>
      <c r="X17" s="10">
        <v>0</v>
      </c>
      <c r="Y17" s="9"/>
      <c r="Z17" s="10">
        <v>0</v>
      </c>
      <c r="AA17" s="9"/>
      <c r="AB17" s="10">
        <v>0</v>
      </c>
      <c r="AC17" s="9"/>
      <c r="AD17" s="10">
        <v>0</v>
      </c>
      <c r="AE17" s="9"/>
      <c r="AF17" s="10">
        <v>375</v>
      </c>
      <c r="AG17" s="9"/>
      <c r="AH17" s="10">
        <f t="shared" si="0"/>
        <v>7059.18</v>
      </c>
      <c r="AI17" s="11"/>
      <c r="AJ17" s="83">
        <f t="shared" si="2"/>
        <v>888.61451094319989</v>
      </c>
      <c r="AK17" s="82"/>
      <c r="AL17" s="82">
        <f t="shared" si="1"/>
        <v>888.61451094319989</v>
      </c>
      <c r="AO17" s="73">
        <v>2015</v>
      </c>
      <c r="AP17" s="72">
        <v>0</v>
      </c>
      <c r="AQ17" s="71">
        <v>0</v>
      </c>
      <c r="AR17" s="79"/>
      <c r="AS17" s="73">
        <v>2015</v>
      </c>
      <c r="AT17" s="72">
        <v>0</v>
      </c>
      <c r="AU17" s="71">
        <v>0</v>
      </c>
    </row>
    <row r="18" spans="2:47" ht="15" outlineLevel="1">
      <c r="B18" s="5" t="s">
        <v>223</v>
      </c>
      <c r="D18" s="6">
        <v>70110</v>
      </c>
      <c r="E18" s="6" t="s">
        <v>150</v>
      </c>
      <c r="F18" s="7"/>
      <c r="G18" s="3"/>
      <c r="H18" s="8"/>
      <c r="I18" s="9"/>
      <c r="J18" s="10">
        <v>13500</v>
      </c>
      <c r="K18" s="9"/>
      <c r="L18" s="10">
        <v>5000</v>
      </c>
      <c r="M18" s="9"/>
      <c r="N18" s="10">
        <v>0</v>
      </c>
      <c r="O18" s="9"/>
      <c r="P18" s="10">
        <v>5000</v>
      </c>
      <c r="Q18" s="9"/>
      <c r="R18" s="10">
        <v>2500</v>
      </c>
      <c r="S18" s="9"/>
      <c r="T18" s="10">
        <v>0</v>
      </c>
      <c r="U18" s="9"/>
      <c r="V18" s="10">
        <v>5000</v>
      </c>
      <c r="W18" s="9"/>
      <c r="X18" s="10">
        <v>-2070.2600000000002</v>
      </c>
      <c r="Y18" s="9"/>
      <c r="Z18" s="10">
        <v>20000</v>
      </c>
      <c r="AA18" s="9"/>
      <c r="AB18" s="10">
        <v>0</v>
      </c>
      <c r="AC18" s="9"/>
      <c r="AD18" s="10">
        <v>263.75</v>
      </c>
      <c r="AE18" s="9"/>
      <c r="AF18" s="10">
        <v>102500</v>
      </c>
      <c r="AG18" s="9"/>
      <c r="AH18" s="10">
        <f t="shared" si="0"/>
        <v>151693.49</v>
      </c>
      <c r="AI18" s="11"/>
      <c r="AJ18" s="83">
        <f t="shared" si="2"/>
        <v>18911.954217317634</v>
      </c>
      <c r="AK18" s="82">
        <f>-AJ18</f>
        <v>-18911.954217317634</v>
      </c>
      <c r="AL18" s="82">
        <f t="shared" si="1"/>
        <v>0</v>
      </c>
      <c r="AO18" s="73">
        <v>2020</v>
      </c>
      <c r="AP18" s="72">
        <v>0</v>
      </c>
      <c r="AQ18" s="71">
        <v>0</v>
      </c>
      <c r="AR18" s="79"/>
      <c r="AS18" s="73">
        <v>2025</v>
      </c>
      <c r="AT18" s="72">
        <v>2441</v>
      </c>
      <c r="AU18" s="71">
        <v>2.3126633715240177E-3</v>
      </c>
    </row>
    <row r="19" spans="2:47" ht="15" outlineLevel="1">
      <c r="B19" s="5" t="s">
        <v>223</v>
      </c>
      <c r="D19" s="6">
        <v>70147</v>
      </c>
      <c r="E19" s="6" t="s">
        <v>123</v>
      </c>
      <c r="F19" s="7"/>
      <c r="G19" s="3"/>
      <c r="H19" s="8"/>
      <c r="I19" s="9"/>
      <c r="J19" s="10">
        <v>2302.9</v>
      </c>
      <c r="K19" s="9"/>
      <c r="L19" s="10">
        <v>2067.34</v>
      </c>
      <c r="M19" s="9"/>
      <c r="N19" s="10">
        <v>2202.0300000000002</v>
      </c>
      <c r="O19" s="9"/>
      <c r="P19" s="10">
        <v>1848.82</v>
      </c>
      <c r="Q19" s="9"/>
      <c r="R19" s="10">
        <v>3300.98</v>
      </c>
      <c r="S19" s="9"/>
      <c r="T19" s="10">
        <v>2681.48</v>
      </c>
      <c r="U19" s="9"/>
      <c r="V19" s="10">
        <v>2551.6999999999998</v>
      </c>
      <c r="W19" s="9"/>
      <c r="X19" s="10">
        <v>4147.8999999999996</v>
      </c>
      <c r="Y19" s="9"/>
      <c r="Z19" s="10">
        <v>2415.3000000000002</v>
      </c>
      <c r="AA19" s="9"/>
      <c r="AB19" s="10">
        <v>2732.13</v>
      </c>
      <c r="AC19" s="9"/>
      <c r="AD19" s="10">
        <v>1267.57</v>
      </c>
      <c r="AE19" s="9"/>
      <c r="AF19" s="10">
        <v>1789.2</v>
      </c>
      <c r="AG19" s="9"/>
      <c r="AH19" s="10">
        <f t="shared" si="0"/>
        <v>29307.35</v>
      </c>
      <c r="AI19" s="11"/>
      <c r="AJ19" s="83">
        <f t="shared" si="2"/>
        <v>3658.2027348829351</v>
      </c>
      <c r="AK19" s="82"/>
      <c r="AL19" s="82">
        <f t="shared" si="1"/>
        <v>3658.2027348829351</v>
      </c>
      <c r="AO19" s="73">
        <v>2025</v>
      </c>
      <c r="AP19" s="72">
        <v>2362</v>
      </c>
      <c r="AQ19" s="71">
        <v>2.3182249581158976E-3</v>
      </c>
      <c r="AR19" s="79"/>
      <c r="AS19" s="73">
        <v>2040</v>
      </c>
      <c r="AT19" s="72">
        <v>7913</v>
      </c>
      <c r="AU19" s="71">
        <v>7.4969706099424632E-3</v>
      </c>
    </row>
    <row r="20" spans="2:47" ht="15" outlineLevel="1">
      <c r="B20" s="5" t="s">
        <v>223</v>
      </c>
      <c r="D20" s="6">
        <v>70165</v>
      </c>
      <c r="E20" s="6" t="s">
        <v>58</v>
      </c>
      <c r="F20" s="7"/>
      <c r="G20" s="3"/>
      <c r="H20" s="8"/>
      <c r="I20" s="9"/>
      <c r="J20" s="10">
        <v>3102.91</v>
      </c>
      <c r="K20" s="9"/>
      <c r="L20" s="10">
        <v>3349.04</v>
      </c>
      <c r="M20" s="9"/>
      <c r="N20" s="10">
        <v>3932.75</v>
      </c>
      <c r="O20" s="9"/>
      <c r="P20" s="10">
        <v>2222.64</v>
      </c>
      <c r="Q20" s="9"/>
      <c r="R20" s="10">
        <v>3516.51</v>
      </c>
      <c r="S20" s="9"/>
      <c r="T20" s="10">
        <v>3193.98</v>
      </c>
      <c r="U20" s="9"/>
      <c r="V20" s="10">
        <v>3148.78</v>
      </c>
      <c r="W20" s="9"/>
      <c r="X20" s="10">
        <v>2972.75</v>
      </c>
      <c r="Y20" s="9"/>
      <c r="Z20" s="10">
        <v>3152.4</v>
      </c>
      <c r="AA20" s="9"/>
      <c r="AB20" s="10">
        <v>3659.38</v>
      </c>
      <c r="AC20" s="9"/>
      <c r="AD20" s="10">
        <v>2341.25</v>
      </c>
      <c r="AE20" s="9"/>
      <c r="AF20" s="10">
        <v>3266.67</v>
      </c>
      <c r="AG20" s="9"/>
      <c r="AH20" s="10">
        <f t="shared" si="0"/>
        <v>37859.06</v>
      </c>
      <c r="AI20" s="11"/>
      <c r="AJ20" s="83">
        <f t="shared" si="2"/>
        <v>4728.4202697701021</v>
      </c>
      <c r="AK20" s="82"/>
      <c r="AL20" s="82">
        <f t="shared" si="1"/>
        <v>4728.4202697701021</v>
      </c>
      <c r="AO20" s="73">
        <v>2040</v>
      </c>
      <c r="AP20" s="72">
        <v>7628</v>
      </c>
      <c r="AQ20" s="71">
        <v>7.4866299663454983E-3</v>
      </c>
      <c r="AR20" s="79"/>
      <c r="AS20" s="73">
        <v>2041</v>
      </c>
      <c r="AT20" s="72">
        <v>2381</v>
      </c>
      <c r="AU20" s="71">
        <v>2.2558178974185525E-3</v>
      </c>
    </row>
    <row r="21" spans="2:47" ht="15" outlineLevel="1">
      <c r="B21" s="5" t="s">
        <v>223</v>
      </c>
      <c r="D21" s="6">
        <v>70167</v>
      </c>
      <c r="E21" s="6" t="s">
        <v>302</v>
      </c>
      <c r="F21" s="7"/>
      <c r="G21" s="3"/>
      <c r="H21" s="8"/>
      <c r="I21" s="9"/>
      <c r="J21" s="10">
        <v>2611.41</v>
      </c>
      <c r="K21" s="9"/>
      <c r="L21" s="10">
        <v>2458.7199999999998</v>
      </c>
      <c r="M21" s="9"/>
      <c r="N21" s="10">
        <v>2486.62</v>
      </c>
      <c r="O21" s="9"/>
      <c r="P21" s="10">
        <v>2713.67</v>
      </c>
      <c r="Q21" s="9"/>
      <c r="R21" s="10">
        <v>2365.73</v>
      </c>
      <c r="S21" s="9"/>
      <c r="T21" s="10">
        <v>3270.14</v>
      </c>
      <c r="U21" s="9"/>
      <c r="V21" s="10">
        <v>2317.11</v>
      </c>
      <c r="W21" s="9"/>
      <c r="X21" s="10">
        <v>2654.65</v>
      </c>
      <c r="Y21" s="9"/>
      <c r="Z21" s="10">
        <v>2820.64</v>
      </c>
      <c r="AA21" s="9"/>
      <c r="AB21" s="10">
        <v>2867.62</v>
      </c>
      <c r="AC21" s="9"/>
      <c r="AD21" s="10">
        <v>2373.94</v>
      </c>
      <c r="AE21" s="9"/>
      <c r="AF21" s="10">
        <v>2785.83</v>
      </c>
      <c r="AG21" s="9"/>
      <c r="AH21" s="10">
        <f t="shared" si="0"/>
        <v>31726.080000000002</v>
      </c>
      <c r="AI21" s="11"/>
      <c r="AJ21" s="83">
        <f t="shared" si="2"/>
        <v>3960.7611619352342</v>
      </c>
      <c r="AK21" s="82"/>
      <c r="AL21" s="82">
        <f t="shared" si="1"/>
        <v>3960.7611619352342</v>
      </c>
      <c r="AO21" s="73">
        <v>2041</v>
      </c>
      <c r="AP21" s="72">
        <v>2532</v>
      </c>
      <c r="AQ21" s="71">
        <v>2.4850743412148401E-3</v>
      </c>
      <c r="AR21" s="79"/>
      <c r="AS21" s="73">
        <v>2042</v>
      </c>
      <c r="AT21" s="72">
        <v>126</v>
      </c>
      <c r="AU21" s="71">
        <v>1.1937549562147736E-4</v>
      </c>
    </row>
    <row r="22" spans="2:47" ht="15" outlineLevel="1">
      <c r="B22" s="5" t="s">
        <v>223</v>
      </c>
      <c r="D22" s="6">
        <v>70170</v>
      </c>
      <c r="E22" s="6" t="s">
        <v>281</v>
      </c>
      <c r="F22" s="7"/>
      <c r="G22" s="3"/>
      <c r="H22" s="8"/>
      <c r="I22" s="9"/>
      <c r="J22" s="10">
        <v>21389.93</v>
      </c>
      <c r="K22" s="9"/>
      <c r="L22" s="10">
        <v>21327.35</v>
      </c>
      <c r="M22" s="9"/>
      <c r="N22" s="10">
        <v>21327.35</v>
      </c>
      <c r="O22" s="9"/>
      <c r="P22" s="10">
        <v>21327.35</v>
      </c>
      <c r="Q22" s="9"/>
      <c r="R22" s="10">
        <v>21327.35</v>
      </c>
      <c r="S22" s="9"/>
      <c r="T22" s="10">
        <v>21327.35</v>
      </c>
      <c r="U22" s="9"/>
      <c r="V22" s="10">
        <v>21327.35</v>
      </c>
      <c r="W22" s="9"/>
      <c r="X22" s="10">
        <v>21327.35</v>
      </c>
      <c r="Y22" s="9"/>
      <c r="Z22" s="10">
        <v>20997</v>
      </c>
      <c r="AA22" s="9"/>
      <c r="AB22" s="10">
        <v>21327</v>
      </c>
      <c r="AC22" s="9"/>
      <c r="AD22" s="10">
        <v>21327</v>
      </c>
      <c r="AE22" s="9"/>
      <c r="AF22" s="10">
        <v>21327</v>
      </c>
      <c r="AG22" s="9"/>
      <c r="AH22" s="10">
        <f t="shared" si="0"/>
        <v>255659.38000000003</v>
      </c>
      <c r="AI22" s="11"/>
      <c r="AJ22" s="83">
        <f t="shared" si="2"/>
        <v>31921.754788329632</v>
      </c>
      <c r="AK22" s="82"/>
      <c r="AL22" s="82">
        <f t="shared" si="1"/>
        <v>31921.754788329632</v>
      </c>
      <c r="AO22" s="73">
        <v>2042</v>
      </c>
      <c r="AP22" s="72">
        <v>114</v>
      </c>
      <c r="AQ22" s="71">
        <v>1.1188723337223214E-4</v>
      </c>
      <c r="AR22" s="79"/>
      <c r="AS22" s="73">
        <v>2043</v>
      </c>
      <c r="AT22" s="72">
        <v>5231</v>
      </c>
      <c r="AU22" s="71">
        <v>4.9559779174281589E-3</v>
      </c>
    </row>
    <row r="23" spans="2:47" ht="15" outlineLevel="1">
      <c r="B23" s="5" t="s">
        <v>223</v>
      </c>
      <c r="D23" s="6">
        <v>70175</v>
      </c>
      <c r="E23" s="6" t="s">
        <v>59</v>
      </c>
      <c r="F23" s="7"/>
      <c r="G23" s="3"/>
      <c r="H23" s="8"/>
      <c r="I23" s="9"/>
      <c r="J23" s="10">
        <v>0</v>
      </c>
      <c r="K23" s="9"/>
      <c r="L23" s="10">
        <v>0</v>
      </c>
      <c r="M23" s="9"/>
      <c r="N23" s="10">
        <v>169.1</v>
      </c>
      <c r="O23" s="9"/>
      <c r="P23" s="10">
        <v>0</v>
      </c>
      <c r="Q23" s="9"/>
      <c r="R23" s="10">
        <v>0</v>
      </c>
      <c r="S23" s="9"/>
      <c r="T23" s="10">
        <v>0</v>
      </c>
      <c r="U23" s="9"/>
      <c r="V23" s="10">
        <v>0</v>
      </c>
      <c r="W23" s="9"/>
      <c r="X23" s="10">
        <v>0</v>
      </c>
      <c r="Y23" s="9"/>
      <c r="Z23" s="10">
        <v>0</v>
      </c>
      <c r="AA23" s="9"/>
      <c r="AB23" s="10">
        <v>0</v>
      </c>
      <c r="AC23" s="9"/>
      <c r="AD23" s="10">
        <v>0</v>
      </c>
      <c r="AE23" s="9"/>
      <c r="AF23" s="10">
        <v>0</v>
      </c>
      <c r="AG23" s="9"/>
      <c r="AH23" s="10">
        <f t="shared" si="0"/>
        <v>169.1</v>
      </c>
      <c r="AI23" s="11"/>
      <c r="AJ23" s="83">
        <f t="shared" si="2"/>
        <v>21.299586606116698</v>
      </c>
      <c r="AK23" s="82"/>
      <c r="AL23" s="82">
        <f t="shared" si="1"/>
        <v>21.299586606116698</v>
      </c>
      <c r="AO23" s="73">
        <v>2043</v>
      </c>
      <c r="AP23" s="72">
        <v>5013</v>
      </c>
      <c r="AQ23" s="71">
        <v>4.9200938674999976E-3</v>
      </c>
      <c r="AR23" s="79"/>
      <c r="AS23" s="73">
        <v>2044</v>
      </c>
      <c r="AT23" s="72">
        <v>7646</v>
      </c>
      <c r="AU23" s="71">
        <v>7.2440082501731414E-3</v>
      </c>
    </row>
    <row r="24" spans="2:47" ht="15" outlineLevel="1">
      <c r="B24" s="5" t="s">
        <v>223</v>
      </c>
      <c r="D24" s="6">
        <v>70185</v>
      </c>
      <c r="E24" s="6" t="s">
        <v>120</v>
      </c>
      <c r="F24" s="7"/>
      <c r="G24" s="3"/>
      <c r="H24" s="8"/>
      <c r="I24" s="9"/>
      <c r="J24" s="10">
        <v>1246.32</v>
      </c>
      <c r="K24" s="9"/>
      <c r="L24" s="10">
        <v>1282.3699999999999</v>
      </c>
      <c r="M24" s="9"/>
      <c r="N24" s="10">
        <v>591.61</v>
      </c>
      <c r="O24" s="9"/>
      <c r="P24" s="10">
        <v>868.07</v>
      </c>
      <c r="Q24" s="9"/>
      <c r="R24" s="10">
        <v>1535.61</v>
      </c>
      <c r="S24" s="9"/>
      <c r="T24" s="10">
        <v>1324.17</v>
      </c>
      <c r="U24" s="9"/>
      <c r="V24" s="10">
        <v>927.05</v>
      </c>
      <c r="W24" s="9"/>
      <c r="X24" s="10">
        <v>1472.87</v>
      </c>
      <c r="Y24" s="9"/>
      <c r="Z24" s="10">
        <v>2278.41</v>
      </c>
      <c r="AA24" s="9"/>
      <c r="AB24" s="10">
        <v>420.99</v>
      </c>
      <c r="AC24" s="9"/>
      <c r="AD24" s="10">
        <v>454.99</v>
      </c>
      <c r="AE24" s="9"/>
      <c r="AF24" s="10">
        <v>436.33</v>
      </c>
      <c r="AG24" s="9"/>
      <c r="AH24" s="10">
        <f t="shared" si="0"/>
        <v>12838.79</v>
      </c>
      <c r="AI24" s="11"/>
      <c r="AJ24" s="83">
        <f t="shared" si="2"/>
        <v>1602.9170570478361</v>
      </c>
      <c r="AK24" s="82"/>
      <c r="AL24" s="82">
        <f t="shared" si="1"/>
        <v>1602.9170570478361</v>
      </c>
      <c r="AO24" s="73">
        <v>2044</v>
      </c>
      <c r="AP24" s="72">
        <v>7605</v>
      </c>
      <c r="AQ24" s="71">
        <v>7.46405622627917E-3</v>
      </c>
      <c r="AR24" s="79"/>
      <c r="AS24" s="73">
        <v>2045</v>
      </c>
      <c r="AT24" s="72">
        <v>6253</v>
      </c>
      <c r="AU24" s="71">
        <v>5.9242458263579203E-3</v>
      </c>
    </row>
    <row r="25" spans="2:47" ht="15" outlineLevel="1">
      <c r="B25" s="5" t="s">
        <v>223</v>
      </c>
      <c r="D25" s="6">
        <v>70190</v>
      </c>
      <c r="E25" s="6" t="s">
        <v>304</v>
      </c>
      <c r="F25" s="7"/>
      <c r="G25" s="3"/>
      <c r="H25" s="8"/>
      <c r="I25" s="9"/>
      <c r="J25" s="10">
        <v>0</v>
      </c>
      <c r="K25" s="9"/>
      <c r="L25" s="10">
        <v>0</v>
      </c>
      <c r="M25" s="9"/>
      <c r="N25" s="10">
        <v>0</v>
      </c>
      <c r="O25" s="9"/>
      <c r="P25" s="10">
        <v>0</v>
      </c>
      <c r="Q25" s="9"/>
      <c r="R25" s="10">
        <v>0</v>
      </c>
      <c r="S25" s="9"/>
      <c r="T25" s="10">
        <v>0</v>
      </c>
      <c r="U25" s="9"/>
      <c r="V25" s="10">
        <v>120</v>
      </c>
      <c r="W25" s="9"/>
      <c r="X25" s="10">
        <v>1630</v>
      </c>
      <c r="Y25" s="9"/>
      <c r="Z25" s="10">
        <v>0</v>
      </c>
      <c r="AA25" s="9"/>
      <c r="AB25" s="10">
        <v>0</v>
      </c>
      <c r="AC25" s="9"/>
      <c r="AD25" s="10">
        <v>0</v>
      </c>
      <c r="AE25" s="9"/>
      <c r="AF25" s="10">
        <v>0</v>
      </c>
      <c r="AG25" s="9"/>
      <c r="AH25" s="10">
        <f t="shared" si="0"/>
        <v>1750</v>
      </c>
      <c r="AI25" s="11"/>
      <c r="AJ25" s="83">
        <f t="shared" si="2"/>
        <v>217.86359549518568</v>
      </c>
      <c r="AK25" s="82"/>
      <c r="AL25" s="82">
        <f t="shared" si="1"/>
        <v>217.86359549518568</v>
      </c>
      <c r="AO25" s="73">
        <v>2045</v>
      </c>
      <c r="AP25" s="72">
        <v>6089</v>
      </c>
      <c r="AQ25" s="71">
        <v>5.976152315820364E-3</v>
      </c>
      <c r="AR25" s="79"/>
      <c r="AS25" s="73">
        <v>2046</v>
      </c>
      <c r="AT25" s="72">
        <v>9287</v>
      </c>
      <c r="AU25" s="71">
        <v>8.7987319669576205E-3</v>
      </c>
    </row>
    <row r="26" spans="2:47" ht="15" outlineLevel="1">
      <c r="B26" s="5" t="s">
        <v>223</v>
      </c>
      <c r="D26" s="6">
        <v>70195</v>
      </c>
      <c r="E26" s="6" t="s">
        <v>305</v>
      </c>
      <c r="F26" s="7"/>
      <c r="G26" s="3"/>
      <c r="H26" s="8"/>
      <c r="I26" s="9"/>
      <c r="J26" s="10">
        <v>3838.28</v>
      </c>
      <c r="K26" s="9"/>
      <c r="L26" s="10">
        <v>5052.08</v>
      </c>
      <c r="M26" s="9"/>
      <c r="N26" s="10">
        <v>5352.53</v>
      </c>
      <c r="O26" s="9"/>
      <c r="P26" s="10">
        <v>4631.71</v>
      </c>
      <c r="Q26" s="9"/>
      <c r="R26" s="10">
        <v>4093.86</v>
      </c>
      <c r="S26" s="9"/>
      <c r="T26" s="10">
        <v>3550.71</v>
      </c>
      <c r="U26" s="9"/>
      <c r="V26" s="10">
        <v>5315.03</v>
      </c>
      <c r="W26" s="9"/>
      <c r="X26" s="10">
        <v>2532.9299999999998</v>
      </c>
      <c r="Y26" s="9"/>
      <c r="Z26" s="10">
        <v>5386.75</v>
      </c>
      <c r="AA26" s="9"/>
      <c r="AB26" s="10">
        <v>2871.88</v>
      </c>
      <c r="AC26" s="9"/>
      <c r="AD26" s="10">
        <v>701.71</v>
      </c>
      <c r="AE26" s="9"/>
      <c r="AF26" s="10">
        <v>1480.72</v>
      </c>
      <c r="AG26" s="9"/>
      <c r="AH26" s="10">
        <f t="shared" si="0"/>
        <v>44808.19</v>
      </c>
      <c r="AI26" s="11"/>
      <c r="AJ26" s="83">
        <f t="shared" si="2"/>
        <v>5599.1940787698513</v>
      </c>
      <c r="AK26" s="82"/>
      <c r="AL26" s="82">
        <f t="shared" si="1"/>
        <v>5599.1940787698513</v>
      </c>
      <c r="AO26" s="73">
        <v>2046</v>
      </c>
      <c r="AP26" s="72">
        <v>9174</v>
      </c>
      <c r="AQ26" s="71">
        <v>9.0039778855864703E-3</v>
      </c>
      <c r="AR26" s="79"/>
      <c r="AS26" s="73">
        <v>2047</v>
      </c>
      <c r="AT26" s="72">
        <v>13578</v>
      </c>
      <c r="AU26" s="71">
        <v>1.2864130790066822E-2</v>
      </c>
    </row>
    <row r="27" spans="2:47" ht="15" outlineLevel="1">
      <c r="B27" s="5" t="s">
        <v>223</v>
      </c>
      <c r="D27" s="6">
        <v>70200</v>
      </c>
      <c r="E27" s="6" t="s">
        <v>61</v>
      </c>
      <c r="F27" s="7"/>
      <c r="G27" s="3"/>
      <c r="H27" s="8"/>
      <c r="I27" s="9"/>
      <c r="J27" s="10">
        <v>11434.52</v>
      </c>
      <c r="K27" s="9"/>
      <c r="L27" s="10">
        <v>10816.04</v>
      </c>
      <c r="M27" s="9"/>
      <c r="N27" s="10">
        <v>11611.07</v>
      </c>
      <c r="O27" s="9"/>
      <c r="P27" s="10">
        <v>8716.02</v>
      </c>
      <c r="Q27" s="9"/>
      <c r="R27" s="10">
        <v>18435.41</v>
      </c>
      <c r="S27" s="9"/>
      <c r="T27" s="10">
        <v>9377.2099999999991</v>
      </c>
      <c r="U27" s="9"/>
      <c r="V27" s="10">
        <v>17510.849999999999</v>
      </c>
      <c r="W27" s="9"/>
      <c r="X27" s="10">
        <v>13531.08</v>
      </c>
      <c r="Y27" s="9"/>
      <c r="Z27" s="10">
        <v>16733.71</v>
      </c>
      <c r="AA27" s="9"/>
      <c r="AB27" s="10">
        <v>14364.57</v>
      </c>
      <c r="AC27" s="9"/>
      <c r="AD27" s="10">
        <v>10576.76</v>
      </c>
      <c r="AE27" s="9"/>
      <c r="AF27" s="10">
        <v>10234.06</v>
      </c>
      <c r="AG27" s="9"/>
      <c r="AH27" s="10">
        <f t="shared" si="0"/>
        <v>153341.29999999999</v>
      </c>
      <c r="AI27" s="11"/>
      <c r="AJ27" s="83">
        <f t="shared" si="2"/>
        <v>19139.601257356575</v>
      </c>
      <c r="AK27" s="82"/>
      <c r="AL27" s="82">
        <f t="shared" si="1"/>
        <v>19139.601257356575</v>
      </c>
      <c r="AO27" s="73">
        <v>2047</v>
      </c>
      <c r="AP27" s="72">
        <v>13384</v>
      </c>
      <c r="AQ27" s="71">
        <v>1.3135953784683815E-2</v>
      </c>
      <c r="AR27" s="79"/>
      <c r="AS27" s="73">
        <v>2048</v>
      </c>
      <c r="AT27" s="72">
        <v>119</v>
      </c>
      <c r="AU27" s="71">
        <v>1.1274352364250639E-4</v>
      </c>
    </row>
    <row r="28" spans="2:47" ht="15" outlineLevel="1">
      <c r="B28" s="5" t="s">
        <v>223</v>
      </c>
      <c r="D28" s="6">
        <v>70201</v>
      </c>
      <c r="E28" s="6" t="s">
        <v>156</v>
      </c>
      <c r="F28" s="7"/>
      <c r="G28" s="3"/>
      <c r="H28" s="8"/>
      <c r="I28" s="9"/>
      <c r="J28" s="10">
        <v>1419.9</v>
      </c>
      <c r="K28" s="9"/>
      <c r="L28" s="10">
        <v>1068.18</v>
      </c>
      <c r="M28" s="9"/>
      <c r="N28" s="10">
        <v>4625.21</v>
      </c>
      <c r="O28" s="9"/>
      <c r="P28" s="10">
        <v>1940.97</v>
      </c>
      <c r="Q28" s="9"/>
      <c r="R28" s="10">
        <v>2647.49</v>
      </c>
      <c r="S28" s="9"/>
      <c r="T28" s="10">
        <v>5169.2</v>
      </c>
      <c r="U28" s="9"/>
      <c r="V28" s="10">
        <v>4069.28</v>
      </c>
      <c r="W28" s="9"/>
      <c r="X28" s="10">
        <v>3695.13</v>
      </c>
      <c r="Y28" s="9"/>
      <c r="Z28" s="10">
        <v>2854.23</v>
      </c>
      <c r="AA28" s="9"/>
      <c r="AB28" s="10">
        <v>4962.91</v>
      </c>
      <c r="AC28" s="9"/>
      <c r="AD28" s="10">
        <v>1718.1</v>
      </c>
      <c r="AE28" s="9"/>
      <c r="AF28" s="10">
        <v>5085.79</v>
      </c>
      <c r="AG28" s="9"/>
      <c r="AH28" s="10">
        <f t="shared" si="0"/>
        <v>39256.39</v>
      </c>
      <c r="AI28" s="11"/>
      <c r="AJ28" s="83">
        <f t="shared" si="2"/>
        <v>4897.5859954217722</v>
      </c>
      <c r="AK28" s="82"/>
      <c r="AL28" s="82">
        <f t="shared" si="1"/>
        <v>4897.5859954217722</v>
      </c>
      <c r="AO28" s="73">
        <v>2048</v>
      </c>
      <c r="AP28" s="72">
        <v>109</v>
      </c>
      <c r="AQ28" s="71">
        <v>1.0697989857520442E-4</v>
      </c>
      <c r="AR28" s="79"/>
      <c r="AS28" s="73">
        <v>2049</v>
      </c>
      <c r="AT28" s="72">
        <v>16</v>
      </c>
      <c r="AU28" s="71">
        <v>1.5158793094790775E-5</v>
      </c>
    </row>
    <row r="29" spans="2:47" ht="15" outlineLevel="1">
      <c r="B29" s="5" t="s">
        <v>223</v>
      </c>
      <c r="D29" s="6">
        <v>70202</v>
      </c>
      <c r="E29" s="6" t="s">
        <v>306</v>
      </c>
      <c r="F29" s="7"/>
      <c r="G29" s="3"/>
      <c r="H29" s="8"/>
      <c r="I29" s="9"/>
      <c r="J29" s="10">
        <v>12636.88</v>
      </c>
      <c r="K29" s="9"/>
      <c r="L29" s="10">
        <v>5809.4</v>
      </c>
      <c r="M29" s="9"/>
      <c r="N29" s="10">
        <v>29270.09</v>
      </c>
      <c r="O29" s="9"/>
      <c r="P29" s="10">
        <v>50882.92</v>
      </c>
      <c r="Q29" s="9"/>
      <c r="R29" s="10">
        <v>166702.69</v>
      </c>
      <c r="S29" s="9"/>
      <c r="T29" s="10">
        <v>86205.17</v>
      </c>
      <c r="U29" s="9"/>
      <c r="V29" s="10">
        <v>17740.310000000001</v>
      </c>
      <c r="W29" s="9"/>
      <c r="X29" s="10">
        <v>109760.31</v>
      </c>
      <c r="Y29" s="9"/>
      <c r="Z29" s="10">
        <v>33603.99</v>
      </c>
      <c r="AA29" s="9"/>
      <c r="AB29" s="10">
        <v>27896.720000000001</v>
      </c>
      <c r="AC29" s="9"/>
      <c r="AD29" s="10">
        <v>47252</v>
      </c>
      <c r="AE29" s="9"/>
      <c r="AF29" s="10">
        <v>19094.14</v>
      </c>
      <c r="AG29" s="9"/>
      <c r="AH29" s="10">
        <f t="shared" si="0"/>
        <v>606854.62</v>
      </c>
      <c r="AI29" s="11"/>
      <c r="AJ29" s="83">
        <f t="shared" si="2"/>
        <v>75619.351890992693</v>
      </c>
      <c r="AK29" s="82"/>
      <c r="AL29" s="82">
        <f t="shared" si="1"/>
        <v>75619.351890992693</v>
      </c>
      <c r="AO29" s="73">
        <v>2049</v>
      </c>
      <c r="AP29" s="72">
        <v>16</v>
      </c>
      <c r="AQ29" s="71">
        <v>1.5703471350488722E-5</v>
      </c>
      <c r="AR29" s="79"/>
      <c r="AS29" s="73">
        <v>2050</v>
      </c>
      <c r="AT29" s="72">
        <v>44</v>
      </c>
      <c r="AU29" s="71">
        <v>4.1686681010674631E-5</v>
      </c>
    </row>
    <row r="30" spans="2:47" ht="15" outlineLevel="1">
      <c r="B30" s="5" t="s">
        <v>223</v>
      </c>
      <c r="D30" s="6">
        <v>70203</v>
      </c>
      <c r="E30" s="6" t="s">
        <v>158</v>
      </c>
      <c r="F30" s="7"/>
      <c r="G30" s="3"/>
      <c r="H30" s="8"/>
      <c r="I30" s="9"/>
      <c r="J30" s="10">
        <v>8602.74</v>
      </c>
      <c r="K30" s="9"/>
      <c r="L30" s="10">
        <v>6779.8</v>
      </c>
      <c r="M30" s="9"/>
      <c r="N30" s="10">
        <v>5913.73</v>
      </c>
      <c r="O30" s="9"/>
      <c r="P30" s="10">
        <v>4126.08</v>
      </c>
      <c r="Q30" s="9"/>
      <c r="R30" s="10">
        <v>7701.45</v>
      </c>
      <c r="S30" s="9"/>
      <c r="T30" s="10">
        <v>12406.79</v>
      </c>
      <c r="U30" s="9"/>
      <c r="V30" s="10">
        <v>7618.94</v>
      </c>
      <c r="W30" s="9"/>
      <c r="X30" s="10">
        <v>9066.32</v>
      </c>
      <c r="Y30" s="9"/>
      <c r="Z30" s="10">
        <v>10821.57</v>
      </c>
      <c r="AA30" s="9"/>
      <c r="AB30" s="10">
        <v>7297.86</v>
      </c>
      <c r="AC30" s="9"/>
      <c r="AD30" s="10">
        <v>14021.14</v>
      </c>
      <c r="AE30" s="9"/>
      <c r="AF30" s="10">
        <v>10386.33</v>
      </c>
      <c r="AG30" s="9"/>
      <c r="AH30" s="10">
        <f t="shared" si="0"/>
        <v>104742.75000000001</v>
      </c>
      <c r="AI30" s="11"/>
      <c r="AJ30" s="83">
        <f t="shared" si="2"/>
        <v>13070.989711786906</v>
      </c>
      <c r="AK30" s="82"/>
      <c r="AL30" s="82">
        <f t="shared" si="1"/>
        <v>13070.989711786906</v>
      </c>
      <c r="AO30" s="73">
        <v>2050</v>
      </c>
      <c r="AP30" s="72">
        <v>54</v>
      </c>
      <c r="AQ30" s="71">
        <v>5.2999215807899436E-5</v>
      </c>
      <c r="AR30" s="79"/>
      <c r="AS30" s="73">
        <v>2051</v>
      </c>
      <c r="AT30" s="72">
        <v>485</v>
      </c>
      <c r="AU30" s="71">
        <v>4.595009156858454E-4</v>
      </c>
    </row>
    <row r="31" spans="2:47" ht="15" outlineLevel="1">
      <c r="B31" s="5" t="s">
        <v>223</v>
      </c>
      <c r="D31" s="6">
        <v>70205</v>
      </c>
      <c r="E31" s="6" t="s">
        <v>299</v>
      </c>
      <c r="F31" s="7"/>
      <c r="G31" s="3"/>
      <c r="H31" s="8"/>
      <c r="I31" s="9"/>
      <c r="J31" s="10">
        <v>4252.67</v>
      </c>
      <c r="K31" s="9"/>
      <c r="L31" s="10">
        <v>7457.47</v>
      </c>
      <c r="M31" s="9"/>
      <c r="N31" s="10">
        <v>7308.69</v>
      </c>
      <c r="O31" s="9"/>
      <c r="P31" s="10">
        <v>8524.26</v>
      </c>
      <c r="Q31" s="9"/>
      <c r="R31" s="10">
        <v>6509.39</v>
      </c>
      <c r="S31" s="9"/>
      <c r="T31" s="10">
        <v>14037.55</v>
      </c>
      <c r="U31" s="9"/>
      <c r="V31" s="10">
        <v>8045.05</v>
      </c>
      <c r="W31" s="9"/>
      <c r="X31" s="10">
        <v>9399.2999999999993</v>
      </c>
      <c r="Y31" s="9"/>
      <c r="Z31" s="10">
        <v>10875.55</v>
      </c>
      <c r="AA31" s="9"/>
      <c r="AB31" s="10">
        <v>8744.1</v>
      </c>
      <c r="AC31" s="9"/>
      <c r="AD31" s="10">
        <v>9536.61</v>
      </c>
      <c r="AE31" s="9"/>
      <c r="AF31" s="10">
        <v>11346.82</v>
      </c>
      <c r="AG31" s="9"/>
      <c r="AH31" s="10">
        <f t="shared" si="0"/>
        <v>106037.46</v>
      </c>
      <c r="AI31" s="11"/>
      <c r="AJ31" s="83">
        <f t="shared" si="2"/>
        <v>13228.836124024427</v>
      </c>
      <c r="AK31" s="82"/>
      <c r="AL31" s="82">
        <f t="shared" si="1"/>
        <v>13228.836124024427</v>
      </c>
      <c r="AO31" s="73">
        <v>2051</v>
      </c>
      <c r="AP31" s="72">
        <v>437</v>
      </c>
      <c r="AQ31" s="71">
        <v>4.2890106126022322E-4</v>
      </c>
      <c r="AR31" s="79"/>
      <c r="AS31" s="73">
        <v>2053</v>
      </c>
      <c r="AT31" s="72">
        <v>102</v>
      </c>
      <c r="AU31" s="71">
        <v>9.6637305979291197E-5</v>
      </c>
    </row>
    <row r="32" spans="2:47" ht="15" outlineLevel="1">
      <c r="B32" s="5" t="s">
        <v>223</v>
      </c>
      <c r="D32" s="6">
        <v>70206</v>
      </c>
      <c r="E32" s="6" t="s">
        <v>160</v>
      </c>
      <c r="F32" s="7"/>
      <c r="G32" s="3"/>
      <c r="H32" s="8"/>
      <c r="I32" s="9"/>
      <c r="J32" s="10">
        <v>830.32</v>
      </c>
      <c r="K32" s="9"/>
      <c r="L32" s="10">
        <v>1050.8699999999999</v>
      </c>
      <c r="M32" s="9"/>
      <c r="N32" s="10">
        <v>1209.96</v>
      </c>
      <c r="O32" s="9"/>
      <c r="P32" s="10">
        <v>2593.6999999999998</v>
      </c>
      <c r="Q32" s="9"/>
      <c r="R32" s="10">
        <v>2056.94</v>
      </c>
      <c r="S32" s="9"/>
      <c r="T32" s="10">
        <v>4101.83</v>
      </c>
      <c r="U32" s="9"/>
      <c r="V32" s="10">
        <v>1642.77</v>
      </c>
      <c r="W32" s="9"/>
      <c r="X32" s="10">
        <v>1841.68</v>
      </c>
      <c r="Y32" s="9"/>
      <c r="Z32" s="10">
        <v>2254.4499999999998</v>
      </c>
      <c r="AA32" s="9"/>
      <c r="AB32" s="10">
        <v>1771.53</v>
      </c>
      <c r="AC32" s="9"/>
      <c r="AD32" s="10">
        <v>3467.63</v>
      </c>
      <c r="AE32" s="9"/>
      <c r="AF32" s="10">
        <v>1285.6099999999999</v>
      </c>
      <c r="AG32" s="9"/>
      <c r="AH32" s="10">
        <f t="shared" si="0"/>
        <v>24107.289999999997</v>
      </c>
      <c r="AI32" s="11"/>
      <c r="AJ32" s="83">
        <f t="shared" si="2"/>
        <v>3005.7291658369727</v>
      </c>
      <c r="AK32" s="82"/>
      <c r="AL32" s="82">
        <f t="shared" si="1"/>
        <v>3005.7291658369727</v>
      </c>
      <c r="AO32" s="73">
        <v>2053</v>
      </c>
      <c r="AP32" s="72">
        <v>80</v>
      </c>
      <c r="AQ32" s="71">
        <v>7.8517356752443607E-5</v>
      </c>
      <c r="AR32" s="79"/>
      <c r="AS32" s="73">
        <v>2111</v>
      </c>
      <c r="AT32" s="72">
        <v>56674</v>
      </c>
      <c r="AU32" s="71">
        <v>5.3694339990885777E-2</v>
      </c>
    </row>
    <row r="33" spans="2:47" ht="15" outlineLevel="1">
      <c r="B33" s="5" t="s">
        <v>223</v>
      </c>
      <c r="D33" s="6">
        <v>70210</v>
      </c>
      <c r="E33" s="6" t="s">
        <v>119</v>
      </c>
      <c r="F33" s="7"/>
      <c r="G33" s="3"/>
      <c r="H33" s="8"/>
      <c r="I33" s="9"/>
      <c r="J33" s="10">
        <v>740.34</v>
      </c>
      <c r="K33" s="9"/>
      <c r="L33" s="10">
        <v>6065.21</v>
      </c>
      <c r="M33" s="9"/>
      <c r="N33" s="10">
        <v>2942.44</v>
      </c>
      <c r="O33" s="9"/>
      <c r="P33" s="10">
        <v>6149.85</v>
      </c>
      <c r="Q33" s="9"/>
      <c r="R33" s="10">
        <v>3904.92</v>
      </c>
      <c r="S33" s="9"/>
      <c r="T33" s="10">
        <v>2211.67</v>
      </c>
      <c r="U33" s="9"/>
      <c r="V33" s="10">
        <v>5483.39</v>
      </c>
      <c r="W33" s="9"/>
      <c r="X33" s="10">
        <v>4382.53</v>
      </c>
      <c r="Y33" s="9"/>
      <c r="Z33" s="10">
        <v>4164.82</v>
      </c>
      <c r="AA33" s="9"/>
      <c r="AB33" s="10">
        <v>4304.5200000000004</v>
      </c>
      <c r="AC33" s="9"/>
      <c r="AD33" s="10">
        <v>2960.13</v>
      </c>
      <c r="AE33" s="9"/>
      <c r="AF33" s="10">
        <v>1788.53</v>
      </c>
      <c r="AG33" s="9"/>
      <c r="AH33" s="10">
        <f t="shared" si="0"/>
        <v>45098.349999999991</v>
      </c>
      <c r="AI33" s="11"/>
      <c r="AJ33" s="83">
        <f t="shared" si="2"/>
        <v>5628.7318904210779</v>
      </c>
      <c r="AK33" s="82"/>
      <c r="AL33" s="82">
        <f t="shared" si="1"/>
        <v>5628.7318904210779</v>
      </c>
      <c r="AO33" s="73">
        <v>2111</v>
      </c>
      <c r="AP33" s="72">
        <v>35691</v>
      </c>
      <c r="AQ33" s="71">
        <v>3.5029537248143311E-2</v>
      </c>
      <c r="AR33" s="79"/>
      <c r="AS33" s="73">
        <v>2112</v>
      </c>
      <c r="AT33" s="72">
        <v>25553</v>
      </c>
      <c r="AU33" s="71">
        <v>2.4209539996949293E-2</v>
      </c>
    </row>
    <row r="34" spans="2:47" ht="15" outlineLevel="1">
      <c r="B34" s="5" t="s">
        <v>223</v>
      </c>
      <c r="D34" s="6">
        <v>70214</v>
      </c>
      <c r="E34" s="6" t="s">
        <v>162</v>
      </c>
      <c r="F34" s="7"/>
      <c r="G34" s="3"/>
      <c r="H34" s="8"/>
      <c r="I34" s="9"/>
      <c r="J34" s="10">
        <v>0</v>
      </c>
      <c r="K34" s="9"/>
      <c r="L34" s="10">
        <v>0</v>
      </c>
      <c r="M34" s="9"/>
      <c r="N34" s="10">
        <v>4.9000000000000004</v>
      </c>
      <c r="O34" s="9"/>
      <c r="P34" s="10">
        <v>0</v>
      </c>
      <c r="Q34" s="9"/>
      <c r="R34" s="10">
        <v>0</v>
      </c>
      <c r="S34" s="9"/>
      <c r="T34" s="10">
        <v>0</v>
      </c>
      <c r="U34" s="9"/>
      <c r="V34" s="10">
        <v>0</v>
      </c>
      <c r="W34" s="9"/>
      <c r="X34" s="10">
        <v>0</v>
      </c>
      <c r="Y34" s="9"/>
      <c r="Z34" s="10">
        <v>0</v>
      </c>
      <c r="AA34" s="9"/>
      <c r="AB34" s="10">
        <v>6.15</v>
      </c>
      <c r="AC34" s="9"/>
      <c r="AD34" s="10">
        <v>0</v>
      </c>
      <c r="AE34" s="9"/>
      <c r="AF34" s="10">
        <v>0</v>
      </c>
      <c r="AG34" s="9"/>
      <c r="AH34" s="10">
        <f t="shared" si="0"/>
        <v>11.05</v>
      </c>
      <c r="AI34" s="11"/>
      <c r="AJ34" s="83">
        <f t="shared" si="2"/>
        <v>1.382831694640877</v>
      </c>
      <c r="AK34" s="82"/>
      <c r="AL34" s="82">
        <f t="shared" si="1"/>
        <v>1.382831694640877</v>
      </c>
      <c r="AO34" s="73">
        <v>2112</v>
      </c>
      <c r="AP34" s="72">
        <v>12098</v>
      </c>
      <c r="AQ34" s="71">
        <v>1.1873787274888284E-2</v>
      </c>
      <c r="AR34" s="79"/>
      <c r="AS34" s="73">
        <v>2113</v>
      </c>
      <c r="AT34" s="72">
        <v>1</v>
      </c>
      <c r="AU34" s="71">
        <v>9.4742456842442343E-7</v>
      </c>
    </row>
    <row r="35" spans="2:47" ht="15" outlineLevel="1">
      <c r="B35" s="5" t="s">
        <v>223</v>
      </c>
      <c r="D35" s="6">
        <v>70215</v>
      </c>
      <c r="E35" s="6" t="s">
        <v>125</v>
      </c>
      <c r="F35" s="7"/>
      <c r="G35" s="3"/>
      <c r="H35" s="8"/>
      <c r="I35" s="9"/>
      <c r="J35" s="10">
        <v>2.2799999999999998</v>
      </c>
      <c r="K35" s="9"/>
      <c r="L35" s="10">
        <v>0</v>
      </c>
      <c r="M35" s="9"/>
      <c r="N35" s="10">
        <v>0.81</v>
      </c>
      <c r="O35" s="9"/>
      <c r="P35" s="10">
        <v>0</v>
      </c>
      <c r="Q35" s="9"/>
      <c r="R35" s="10">
        <v>109.2</v>
      </c>
      <c r="S35" s="9"/>
      <c r="T35" s="10">
        <v>1.54</v>
      </c>
      <c r="U35" s="9"/>
      <c r="V35" s="10">
        <v>0</v>
      </c>
      <c r="W35" s="9"/>
      <c r="X35" s="10">
        <v>0</v>
      </c>
      <c r="Y35" s="9"/>
      <c r="Z35" s="10">
        <v>0</v>
      </c>
      <c r="AA35" s="9"/>
      <c r="AB35" s="10">
        <v>0</v>
      </c>
      <c r="AC35" s="9"/>
      <c r="AD35" s="10">
        <v>0</v>
      </c>
      <c r="AE35" s="9"/>
      <c r="AF35" s="10">
        <v>0</v>
      </c>
      <c r="AG35" s="9"/>
      <c r="AH35" s="10">
        <f t="shared" si="0"/>
        <v>113.83000000000001</v>
      </c>
      <c r="AI35" s="11"/>
      <c r="AJ35" s="83">
        <f t="shared" si="2"/>
        <v>14.175620165708269</v>
      </c>
      <c r="AK35" s="82"/>
      <c r="AL35" s="82">
        <f t="shared" si="1"/>
        <v>14.175620165708269</v>
      </c>
      <c r="AO35" s="73">
        <v>2113</v>
      </c>
      <c r="AP35" s="72">
        <v>1</v>
      </c>
      <c r="AQ35" s="71">
        <v>9.8146695940554513E-7</v>
      </c>
      <c r="AR35" s="79"/>
      <c r="AS35" s="73">
        <v>2120</v>
      </c>
      <c r="AT35" s="72">
        <v>6363</v>
      </c>
      <c r="AU35" s="71">
        <v>6.0284625288846063E-3</v>
      </c>
    </row>
    <row r="36" spans="2:47" ht="15" outlineLevel="1">
      <c r="B36" s="5" t="s">
        <v>223</v>
      </c>
      <c r="D36" s="6">
        <v>70225</v>
      </c>
      <c r="E36" s="6" t="s">
        <v>97</v>
      </c>
      <c r="F36" s="7"/>
      <c r="G36" s="3"/>
      <c r="H36" s="8"/>
      <c r="I36" s="9"/>
      <c r="J36" s="10">
        <v>0</v>
      </c>
      <c r="K36" s="9"/>
      <c r="L36" s="10">
        <v>404.12</v>
      </c>
      <c r="M36" s="9"/>
      <c r="N36" s="10">
        <v>0</v>
      </c>
      <c r="O36" s="9"/>
      <c r="P36" s="10">
        <v>0</v>
      </c>
      <c r="Q36" s="9"/>
      <c r="R36" s="10">
        <v>0</v>
      </c>
      <c r="S36" s="9"/>
      <c r="T36" s="10">
        <v>423.84</v>
      </c>
      <c r="U36" s="9"/>
      <c r="V36" s="10">
        <v>0</v>
      </c>
      <c r="W36" s="9"/>
      <c r="X36" s="10">
        <v>0</v>
      </c>
      <c r="Y36" s="9"/>
      <c r="Z36" s="10">
        <v>0</v>
      </c>
      <c r="AA36" s="9"/>
      <c r="AB36" s="10">
        <v>0</v>
      </c>
      <c r="AC36" s="9"/>
      <c r="AD36" s="10">
        <v>10</v>
      </c>
      <c r="AE36" s="9"/>
      <c r="AF36" s="10">
        <v>0</v>
      </c>
      <c r="AG36" s="9"/>
      <c r="AH36" s="10">
        <f t="shared" si="0"/>
        <v>837.96</v>
      </c>
      <c r="AI36" s="11"/>
      <c r="AJ36" s="83">
        <f t="shared" si="2"/>
        <v>104.91261191689264</v>
      </c>
      <c r="AK36" s="82">
        <f>-AJ36</f>
        <v>-104.91261191689264</v>
      </c>
      <c r="AL36" s="82">
        <f t="shared" si="1"/>
        <v>0</v>
      </c>
      <c r="AO36" s="73">
        <v>2120</v>
      </c>
      <c r="AP36" s="72">
        <v>6200</v>
      </c>
      <c r="AQ36" s="71">
        <v>6.0850951483143794E-3</v>
      </c>
      <c r="AR36" s="79"/>
      <c r="AS36" s="73">
        <v>2121</v>
      </c>
      <c r="AT36" s="72">
        <v>0</v>
      </c>
      <c r="AU36" s="71">
        <v>0</v>
      </c>
    </row>
    <row r="37" spans="2:47" ht="15" outlineLevel="1">
      <c r="B37" s="5" t="s">
        <v>223</v>
      </c>
      <c r="D37" s="6">
        <v>70230</v>
      </c>
      <c r="E37" s="6" t="s">
        <v>163</v>
      </c>
      <c r="F37" s="7"/>
      <c r="G37" s="3"/>
      <c r="H37" s="8"/>
      <c r="I37" s="9"/>
      <c r="J37" s="10">
        <v>0</v>
      </c>
      <c r="K37" s="9"/>
      <c r="L37" s="10">
        <v>0</v>
      </c>
      <c r="M37" s="9"/>
      <c r="N37" s="10">
        <v>0</v>
      </c>
      <c r="O37" s="9"/>
      <c r="P37" s="10">
        <v>16000</v>
      </c>
      <c r="Q37" s="9"/>
      <c r="R37" s="10">
        <v>-16000</v>
      </c>
      <c r="S37" s="9"/>
      <c r="T37" s="10">
        <v>0</v>
      </c>
      <c r="U37" s="9"/>
      <c r="V37" s="10">
        <v>0</v>
      </c>
      <c r="W37" s="9"/>
      <c r="X37" s="10">
        <v>0</v>
      </c>
      <c r="Y37" s="9"/>
      <c r="Z37" s="10">
        <v>0</v>
      </c>
      <c r="AA37" s="9"/>
      <c r="AB37" s="10">
        <v>0</v>
      </c>
      <c r="AC37" s="9"/>
      <c r="AD37" s="10">
        <v>0</v>
      </c>
      <c r="AE37" s="9"/>
      <c r="AF37" s="10">
        <v>0</v>
      </c>
      <c r="AG37" s="9"/>
      <c r="AH37" s="10">
        <f t="shared" si="0"/>
        <v>0</v>
      </c>
      <c r="AI37" s="11"/>
      <c r="AJ37" s="83">
        <f t="shared" si="2"/>
        <v>0</v>
      </c>
      <c r="AK37" s="82"/>
      <c r="AL37" s="82">
        <f t="shared" si="1"/>
        <v>0</v>
      </c>
      <c r="AO37" s="73">
        <v>2125</v>
      </c>
      <c r="AP37" s="72">
        <v>1</v>
      </c>
      <c r="AQ37" s="71">
        <v>9.8146695940554513E-7</v>
      </c>
      <c r="AR37" s="79"/>
      <c r="AS37" s="73">
        <v>2125</v>
      </c>
      <c r="AT37" s="72">
        <v>1</v>
      </c>
      <c r="AU37" s="71">
        <v>9.4742456842442343E-7</v>
      </c>
    </row>
    <row r="38" spans="2:47" ht="15" outlineLevel="1">
      <c r="B38" s="5" t="s">
        <v>223</v>
      </c>
      <c r="D38" s="6">
        <v>70231</v>
      </c>
      <c r="E38" s="6" t="s">
        <v>164</v>
      </c>
      <c r="F38" s="7"/>
      <c r="G38" s="3"/>
      <c r="H38" s="8"/>
      <c r="I38" s="9"/>
      <c r="J38" s="10">
        <v>1997.02</v>
      </c>
      <c r="K38" s="9"/>
      <c r="L38" s="10">
        <v>246.62</v>
      </c>
      <c r="M38" s="9"/>
      <c r="N38" s="10">
        <v>0</v>
      </c>
      <c r="O38" s="9"/>
      <c r="P38" s="10">
        <v>14019.99</v>
      </c>
      <c r="Q38" s="9"/>
      <c r="R38" s="10">
        <v>61.46</v>
      </c>
      <c r="S38" s="9"/>
      <c r="T38" s="10">
        <v>138.91</v>
      </c>
      <c r="U38" s="9"/>
      <c r="V38" s="10">
        <v>397.92</v>
      </c>
      <c r="W38" s="9"/>
      <c r="X38" s="10">
        <v>466.46</v>
      </c>
      <c r="Y38" s="9"/>
      <c r="Z38" s="10">
        <v>501.7</v>
      </c>
      <c r="AA38" s="9"/>
      <c r="AB38" s="10">
        <v>97.02</v>
      </c>
      <c r="AC38" s="9"/>
      <c r="AD38" s="10">
        <v>6.6</v>
      </c>
      <c r="AE38" s="9"/>
      <c r="AF38" s="10">
        <v>3277.6</v>
      </c>
      <c r="AG38" s="9"/>
      <c r="AH38" s="10">
        <f t="shared" si="0"/>
        <v>21211.3</v>
      </c>
      <c r="AI38" s="11"/>
      <c r="AJ38" s="83">
        <f t="shared" si="2"/>
        <v>2643.9556458279544</v>
      </c>
      <c r="AK38" s="82"/>
      <c r="AL38" s="82">
        <f t="shared" si="1"/>
        <v>2643.9556458279544</v>
      </c>
      <c r="AO38" s="73">
        <v>2131</v>
      </c>
      <c r="AP38" s="72">
        <v>18827</v>
      </c>
      <c r="AQ38" s="71">
        <v>1.8478078444728197E-2</v>
      </c>
      <c r="AR38" s="79"/>
      <c r="AS38" s="73">
        <v>2131</v>
      </c>
      <c r="AT38" s="72">
        <v>0</v>
      </c>
      <c r="AU38" s="71">
        <v>0</v>
      </c>
    </row>
    <row r="39" spans="2:47" ht="15" outlineLevel="1">
      <c r="B39" s="5" t="s">
        <v>223</v>
      </c>
      <c r="D39" s="6">
        <v>70232</v>
      </c>
      <c r="E39" s="6" t="s">
        <v>165</v>
      </c>
      <c r="F39" s="7"/>
      <c r="G39" s="3"/>
      <c r="H39" s="8"/>
      <c r="I39" s="9"/>
      <c r="J39" s="10">
        <v>0</v>
      </c>
      <c r="K39" s="9"/>
      <c r="L39" s="10">
        <v>0</v>
      </c>
      <c r="M39" s="9"/>
      <c r="N39" s="10">
        <v>0</v>
      </c>
      <c r="O39" s="9"/>
      <c r="P39" s="10">
        <v>0</v>
      </c>
      <c r="Q39" s="9"/>
      <c r="R39" s="10">
        <v>0</v>
      </c>
      <c r="S39" s="9"/>
      <c r="T39" s="10">
        <v>0</v>
      </c>
      <c r="U39" s="9"/>
      <c r="V39" s="10">
        <v>0</v>
      </c>
      <c r="W39" s="9"/>
      <c r="X39" s="10">
        <v>960.91</v>
      </c>
      <c r="Y39" s="9"/>
      <c r="Z39" s="10">
        <v>197.62</v>
      </c>
      <c r="AA39" s="9"/>
      <c r="AB39" s="10">
        <v>32</v>
      </c>
      <c r="AC39" s="9"/>
      <c r="AD39" s="10">
        <v>0</v>
      </c>
      <c r="AE39" s="9"/>
      <c r="AF39" s="10">
        <v>0</v>
      </c>
      <c r="AG39" s="9"/>
      <c r="AH39" s="10">
        <f t="shared" si="0"/>
        <v>1190.53</v>
      </c>
      <c r="AI39" s="11"/>
      <c r="AJ39" s="83">
        <f t="shared" si="2"/>
        <v>148.2132264827905</v>
      </c>
      <c r="AK39" s="82"/>
      <c r="AL39" s="82">
        <f t="shared" si="1"/>
        <v>148.2132264827905</v>
      </c>
      <c r="AO39" s="73">
        <v>2132</v>
      </c>
      <c r="AP39" s="72">
        <v>2100</v>
      </c>
      <c r="AQ39" s="71">
        <v>2.0610806147516448E-3</v>
      </c>
      <c r="AR39" s="79"/>
      <c r="AS39" s="73">
        <v>2132</v>
      </c>
      <c r="AT39" s="72">
        <v>2185</v>
      </c>
      <c r="AU39" s="71">
        <v>2.0701226820073653E-3</v>
      </c>
    </row>
    <row r="40" spans="2:47" ht="15" outlineLevel="1">
      <c r="B40" s="5" t="s">
        <v>223</v>
      </c>
      <c r="D40" s="6">
        <v>70235</v>
      </c>
      <c r="E40" s="6" t="s">
        <v>133</v>
      </c>
      <c r="F40" s="7"/>
      <c r="G40" s="3"/>
      <c r="H40" s="8"/>
      <c r="I40" s="9"/>
      <c r="J40" s="10">
        <v>0</v>
      </c>
      <c r="K40" s="9"/>
      <c r="L40" s="10">
        <v>0</v>
      </c>
      <c r="M40" s="9"/>
      <c r="N40" s="10">
        <v>0</v>
      </c>
      <c r="O40" s="9"/>
      <c r="P40" s="10">
        <v>0</v>
      </c>
      <c r="Q40" s="9"/>
      <c r="R40" s="10">
        <v>0</v>
      </c>
      <c r="S40" s="9"/>
      <c r="T40" s="10">
        <v>992.74</v>
      </c>
      <c r="U40" s="9"/>
      <c r="V40" s="10">
        <v>0</v>
      </c>
      <c r="W40" s="9"/>
      <c r="X40" s="10">
        <v>0</v>
      </c>
      <c r="Y40" s="9"/>
      <c r="Z40" s="10">
        <v>475</v>
      </c>
      <c r="AA40" s="9"/>
      <c r="AB40" s="10">
        <v>0</v>
      </c>
      <c r="AC40" s="9"/>
      <c r="AD40" s="10">
        <v>0</v>
      </c>
      <c r="AE40" s="9"/>
      <c r="AF40" s="10">
        <v>5362.46</v>
      </c>
      <c r="AG40" s="9"/>
      <c r="AH40" s="10">
        <f t="shared" si="0"/>
        <v>6830.2</v>
      </c>
      <c r="AI40" s="11"/>
      <c r="AJ40" s="83">
        <f t="shared" si="2"/>
        <v>850.31538854355267</v>
      </c>
      <c r="AK40" s="82"/>
      <c r="AL40" s="82">
        <f t="shared" si="1"/>
        <v>850.31538854355267</v>
      </c>
      <c r="AO40" s="73">
        <v>2140</v>
      </c>
      <c r="AP40" s="72">
        <v>26142</v>
      </c>
      <c r="AQ40" s="71">
        <v>2.5657509252779761E-2</v>
      </c>
      <c r="AR40" s="79"/>
      <c r="AS40" s="73">
        <v>2140</v>
      </c>
      <c r="AT40" s="72">
        <v>29801</v>
      </c>
      <c r="AU40" s="71">
        <v>2.8234199563616245E-2</v>
      </c>
    </row>
    <row r="41" spans="2:47" ht="15" outlineLevel="1">
      <c r="B41" s="5" t="s">
        <v>223</v>
      </c>
      <c r="D41" s="6">
        <v>70245</v>
      </c>
      <c r="E41" s="6" t="s">
        <v>308</v>
      </c>
      <c r="F41" s="7"/>
      <c r="G41" s="3"/>
      <c r="H41" s="8"/>
      <c r="I41" s="9"/>
      <c r="J41" s="10">
        <v>122.09</v>
      </c>
      <c r="K41" s="9"/>
      <c r="L41" s="10">
        <v>134.68</v>
      </c>
      <c r="M41" s="9"/>
      <c r="N41" s="10">
        <v>131.36000000000001</v>
      </c>
      <c r="O41" s="9"/>
      <c r="P41" s="10">
        <v>131.36000000000001</v>
      </c>
      <c r="Q41" s="9"/>
      <c r="R41" s="10">
        <v>131.36000000000001</v>
      </c>
      <c r="S41" s="9"/>
      <c r="T41" s="10">
        <v>131.36000000000001</v>
      </c>
      <c r="U41" s="9"/>
      <c r="V41" s="10">
        <v>0</v>
      </c>
      <c r="W41" s="9"/>
      <c r="X41" s="10">
        <v>0</v>
      </c>
      <c r="Y41" s="9"/>
      <c r="Z41" s="10">
        <v>0</v>
      </c>
      <c r="AA41" s="9"/>
      <c r="AB41" s="10">
        <v>0</v>
      </c>
      <c r="AC41" s="9"/>
      <c r="AD41" s="10">
        <v>0</v>
      </c>
      <c r="AE41" s="9"/>
      <c r="AF41" s="10">
        <v>0</v>
      </c>
      <c r="AG41" s="9"/>
      <c r="AH41" s="10">
        <f t="shared" si="0"/>
        <v>782.21000000000015</v>
      </c>
      <c r="AI41" s="11"/>
      <c r="AJ41" s="83">
        <f t="shared" si="2"/>
        <v>97.948674209786049</v>
      </c>
      <c r="AK41" s="82"/>
      <c r="AL41" s="82">
        <f t="shared" si="1"/>
        <v>97.948674209786049</v>
      </c>
      <c r="AO41" s="73"/>
      <c r="AP41" s="72"/>
      <c r="AQ41" s="71"/>
      <c r="AR41" s="79"/>
      <c r="AS41" s="73"/>
      <c r="AT41" s="72"/>
      <c r="AU41" s="71"/>
    </row>
    <row r="42" spans="2:47" ht="15" outlineLevel="1">
      <c r="B42" s="5" t="s">
        <v>223</v>
      </c>
      <c r="D42" s="6">
        <v>70255</v>
      </c>
      <c r="E42" s="6" t="s">
        <v>86</v>
      </c>
      <c r="F42" s="7"/>
      <c r="G42" s="3"/>
      <c r="H42" s="8"/>
      <c r="I42" s="9"/>
      <c r="J42" s="10">
        <v>2000</v>
      </c>
      <c r="K42" s="9"/>
      <c r="L42" s="10">
        <v>9631</v>
      </c>
      <c r="M42" s="9"/>
      <c r="N42" s="10">
        <v>8363.5</v>
      </c>
      <c r="O42" s="9"/>
      <c r="P42" s="10">
        <v>9500</v>
      </c>
      <c r="Q42" s="9"/>
      <c r="R42" s="10">
        <v>30875.84</v>
      </c>
      <c r="S42" s="9"/>
      <c r="T42" s="10">
        <v>11999.5</v>
      </c>
      <c r="U42" s="9"/>
      <c r="V42" s="10">
        <v>4000</v>
      </c>
      <c r="W42" s="9"/>
      <c r="X42" s="10">
        <v>11424.28</v>
      </c>
      <c r="Y42" s="9"/>
      <c r="Z42" s="10">
        <v>21498.36</v>
      </c>
      <c r="AA42" s="9"/>
      <c r="AB42" s="10">
        <v>0</v>
      </c>
      <c r="AC42" s="9"/>
      <c r="AD42" s="10">
        <v>-32331.79</v>
      </c>
      <c r="AE42" s="9"/>
      <c r="AF42" s="10">
        <v>5465.76</v>
      </c>
      <c r="AG42" s="9"/>
      <c r="AH42" s="10">
        <f t="shared" si="0"/>
        <v>82426.45</v>
      </c>
      <c r="AI42" s="11"/>
      <c r="AJ42" s="83">
        <f t="shared" si="2"/>
        <v>10290.848646225106</v>
      </c>
      <c r="AK42" s="82"/>
      <c r="AL42" s="82">
        <f t="shared" si="1"/>
        <v>10290.848646225106</v>
      </c>
      <c r="AO42" s="73">
        <v>2144</v>
      </c>
      <c r="AP42" s="72">
        <v>13535</v>
      </c>
      <c r="AQ42" s="71">
        <v>1.3284155295554052E-2</v>
      </c>
      <c r="AR42" s="79"/>
      <c r="AS42" s="73">
        <v>2143</v>
      </c>
      <c r="AT42" s="72">
        <v>0</v>
      </c>
      <c r="AU42" s="71">
        <v>0</v>
      </c>
    </row>
    <row r="43" spans="2:47" ht="15" outlineLevel="1">
      <c r="B43" s="5" t="s">
        <v>223</v>
      </c>
      <c r="D43" s="6">
        <v>70320</v>
      </c>
      <c r="E43" s="6" t="s">
        <v>130</v>
      </c>
      <c r="F43" s="7"/>
      <c r="G43" s="3"/>
      <c r="H43" s="8"/>
      <c r="I43" s="9"/>
      <c r="J43" s="10">
        <v>92.01</v>
      </c>
      <c r="K43" s="9"/>
      <c r="L43" s="10">
        <v>-128.30000000000001</v>
      </c>
      <c r="M43" s="9"/>
      <c r="N43" s="10">
        <v>0</v>
      </c>
      <c r="O43" s="9"/>
      <c r="P43" s="10">
        <v>140.6</v>
      </c>
      <c r="Q43" s="9"/>
      <c r="R43" s="10">
        <v>207.05</v>
      </c>
      <c r="S43" s="9"/>
      <c r="T43" s="10">
        <v>213.76</v>
      </c>
      <c r="U43" s="9"/>
      <c r="V43" s="10">
        <v>233.52</v>
      </c>
      <c r="W43" s="9"/>
      <c r="X43" s="10">
        <v>57.05</v>
      </c>
      <c r="Y43" s="9"/>
      <c r="Z43" s="10">
        <v>207.05</v>
      </c>
      <c r="AA43" s="9"/>
      <c r="AB43" s="10">
        <v>307.75</v>
      </c>
      <c r="AC43" s="9"/>
      <c r="AD43" s="10">
        <v>67.75</v>
      </c>
      <c r="AE43" s="9"/>
      <c r="AF43" s="10">
        <v>60.22</v>
      </c>
      <c r="AG43" s="9"/>
      <c r="AH43" s="10">
        <f t="shared" si="0"/>
        <v>1458.4599999999998</v>
      </c>
      <c r="AI43" s="11"/>
      <c r="AJ43" s="83">
        <f t="shared" si="2"/>
        <v>181.51559904528224</v>
      </c>
      <c r="AK43" s="82"/>
      <c r="AL43" s="82">
        <f t="shared" si="1"/>
        <v>181.51559904528224</v>
      </c>
      <c r="AO43" s="73">
        <v>2146</v>
      </c>
      <c r="AP43" s="72">
        <v>7463</v>
      </c>
      <c r="AQ43" s="71">
        <v>7.3246879180435829E-3</v>
      </c>
      <c r="AR43" s="79"/>
      <c r="AS43" s="73">
        <v>2144</v>
      </c>
      <c r="AT43" s="72">
        <v>12945</v>
      </c>
      <c r="AU43" s="71">
        <v>1.2264411038254161E-2</v>
      </c>
    </row>
    <row r="44" spans="2:47" ht="15" outlineLevel="1">
      <c r="B44" s="5" t="s">
        <v>223</v>
      </c>
      <c r="D44" s="6">
        <v>70335</v>
      </c>
      <c r="E44" s="6" t="s">
        <v>83</v>
      </c>
      <c r="F44" s="7"/>
      <c r="G44" s="3"/>
      <c r="H44" s="8"/>
      <c r="I44" s="9"/>
      <c r="J44" s="10">
        <v>0</v>
      </c>
      <c r="K44" s="9"/>
      <c r="L44" s="10">
        <v>0</v>
      </c>
      <c r="M44" s="9"/>
      <c r="N44" s="10">
        <v>0</v>
      </c>
      <c r="O44" s="9"/>
      <c r="P44" s="10">
        <v>0</v>
      </c>
      <c r="Q44" s="9"/>
      <c r="R44" s="10">
        <v>0</v>
      </c>
      <c r="S44" s="9"/>
      <c r="T44" s="10">
        <v>0</v>
      </c>
      <c r="U44" s="9"/>
      <c r="V44" s="10">
        <v>0</v>
      </c>
      <c r="W44" s="9"/>
      <c r="X44" s="10">
        <v>0</v>
      </c>
      <c r="Y44" s="9"/>
      <c r="Z44" s="10">
        <v>-150.46</v>
      </c>
      <c r="AA44" s="9"/>
      <c r="AB44" s="10">
        <v>0</v>
      </c>
      <c r="AC44" s="9"/>
      <c r="AD44" s="10">
        <v>0</v>
      </c>
      <c r="AE44" s="9"/>
      <c r="AF44" s="10">
        <v>0</v>
      </c>
      <c r="AG44" s="9"/>
      <c r="AH44" s="10">
        <f t="shared" si="0"/>
        <v>-150.46</v>
      </c>
      <c r="AI44" s="11"/>
      <c r="AJ44" s="83">
        <f t="shared" si="2"/>
        <v>-18.731289473260365</v>
      </c>
      <c r="AK44" s="82"/>
      <c r="AL44" s="82">
        <f t="shared" si="1"/>
        <v>-18.731289473260365</v>
      </c>
      <c r="AO44" s="73">
        <v>2148</v>
      </c>
      <c r="AP44" s="72">
        <v>5798</v>
      </c>
      <c r="AQ44" s="71">
        <v>5.6905454306333501E-3</v>
      </c>
      <c r="AR44" s="79"/>
      <c r="AS44" s="73">
        <v>2146</v>
      </c>
      <c r="AT44" s="72">
        <v>7439</v>
      </c>
      <c r="AU44" s="71">
        <v>7.0478913645092862E-3</v>
      </c>
    </row>
    <row r="45" spans="2:47" ht="15" outlineLevel="1">
      <c r="B45" s="5" t="s">
        <v>223</v>
      </c>
      <c r="D45" s="6">
        <v>70336</v>
      </c>
      <c r="E45" s="6" t="s">
        <v>168</v>
      </c>
      <c r="F45" s="7"/>
      <c r="G45" s="3"/>
      <c r="H45" s="8"/>
      <c r="I45" s="9"/>
      <c r="J45" s="10">
        <v>354.76</v>
      </c>
      <c r="K45" s="9"/>
      <c r="L45" s="10">
        <v>209.74</v>
      </c>
      <c r="M45" s="9"/>
      <c r="N45" s="10">
        <v>598.70000000000005</v>
      </c>
      <c r="O45" s="9"/>
      <c r="P45" s="10">
        <v>911.11</v>
      </c>
      <c r="Q45" s="9"/>
      <c r="R45" s="10">
        <v>279.52</v>
      </c>
      <c r="S45" s="9"/>
      <c r="T45" s="10">
        <v>321.27</v>
      </c>
      <c r="U45" s="9"/>
      <c r="V45" s="10">
        <v>855.38</v>
      </c>
      <c r="W45" s="9"/>
      <c r="X45" s="10">
        <v>561.62</v>
      </c>
      <c r="Y45" s="9"/>
      <c r="Z45" s="10">
        <v>536.61</v>
      </c>
      <c r="AA45" s="9"/>
      <c r="AB45" s="10">
        <v>189.1</v>
      </c>
      <c r="AC45" s="9"/>
      <c r="AD45" s="10">
        <v>902.12</v>
      </c>
      <c r="AE45" s="9"/>
      <c r="AF45" s="10">
        <v>494.45</v>
      </c>
      <c r="AG45" s="9"/>
      <c r="AH45" s="10">
        <f t="shared" si="0"/>
        <v>6214.3799999999992</v>
      </c>
      <c r="AI45" s="11"/>
      <c r="AJ45" s="83">
        <f t="shared" si="2"/>
        <v>775.35394864448881</v>
      </c>
      <c r="AK45" s="82"/>
      <c r="AL45" s="82">
        <f t="shared" si="1"/>
        <v>775.35394864448881</v>
      </c>
      <c r="AO45" s="73"/>
      <c r="AP45" s="72"/>
      <c r="AQ45" s="71"/>
      <c r="AR45" s="79"/>
      <c r="AS45" s="73"/>
      <c r="AT45" s="72"/>
      <c r="AU45" s="71"/>
    </row>
    <row r="46" spans="2:47" s="8" customFormat="1" ht="5.0999999999999996" customHeight="1" outlineLevel="1">
      <c r="B46" s="1" t="s">
        <v>217</v>
      </c>
      <c r="D46" s="7"/>
      <c r="E46" s="7"/>
      <c r="F46" s="7"/>
      <c r="G46" s="7"/>
      <c r="J46" s="38"/>
      <c r="K46" s="36"/>
      <c r="L46" s="38"/>
      <c r="M46" s="36"/>
      <c r="N46" s="38"/>
      <c r="O46" s="36"/>
      <c r="P46" s="38"/>
      <c r="Q46" s="36"/>
      <c r="R46" s="38"/>
      <c r="S46" s="36"/>
      <c r="T46" s="38"/>
      <c r="U46" s="36"/>
      <c r="V46" s="38"/>
      <c r="W46" s="36"/>
      <c r="X46" s="38"/>
      <c r="Y46" s="36"/>
      <c r="Z46" s="38"/>
      <c r="AA46" s="36"/>
      <c r="AB46" s="38"/>
      <c r="AC46" s="36"/>
      <c r="AD46" s="38"/>
      <c r="AE46" s="36"/>
      <c r="AF46" s="38"/>
      <c r="AG46" s="36"/>
      <c r="AH46" s="38"/>
      <c r="AI46" s="16"/>
      <c r="AJ46" s="83"/>
      <c r="AK46" s="82"/>
      <c r="AL46" s="82">
        <f t="shared" si="1"/>
        <v>0</v>
      </c>
      <c r="AO46" s="73">
        <v>2149</v>
      </c>
      <c r="AP46" s="72">
        <v>11953</v>
      </c>
      <c r="AQ46" s="71">
        <v>1.173147456577448E-2</v>
      </c>
      <c r="AR46" s="79"/>
      <c r="AS46" s="73">
        <v>2148</v>
      </c>
      <c r="AT46" s="72"/>
      <c r="AU46" s="71">
        <v>0</v>
      </c>
    </row>
    <row r="47" spans="2:47" s="8" customFormat="1" ht="15.75">
      <c r="B47" s="1" t="s">
        <v>217</v>
      </c>
      <c r="F47" s="7" t="s">
        <v>310</v>
      </c>
      <c r="J47" s="35">
        <f>SUM(J13:J46)</f>
        <v>106724.33</v>
      </c>
      <c r="K47" s="36"/>
      <c r="L47" s="35">
        <f>SUM(L13:L46)</f>
        <v>101523</v>
      </c>
      <c r="M47" s="36"/>
      <c r="N47" s="35">
        <f>SUM(N13:N46)</f>
        <v>130518.74999999999</v>
      </c>
      <c r="O47" s="36"/>
      <c r="P47" s="35">
        <f>SUM(P13:P46)</f>
        <v>182382.84</v>
      </c>
      <c r="Q47" s="36"/>
      <c r="R47" s="35">
        <f>SUM(R13:R46)</f>
        <v>278510.51</v>
      </c>
      <c r="S47" s="36"/>
      <c r="T47" s="35">
        <f>SUM(T13:T46)</f>
        <v>201100.25999999998</v>
      </c>
      <c r="U47" s="36"/>
      <c r="V47" s="35">
        <f>SUM(V13:V46)</f>
        <v>116054.94000000002</v>
      </c>
      <c r="W47" s="36"/>
      <c r="X47" s="35">
        <f>SUM(X13:X46)</f>
        <v>208647.39999999997</v>
      </c>
      <c r="Y47" s="36"/>
      <c r="Z47" s="35">
        <f>SUM(Z13:Z46)</f>
        <v>167079.25999999998</v>
      </c>
      <c r="AA47" s="36"/>
      <c r="AB47" s="35">
        <f>SUM(AB13:AB46)</f>
        <v>159371.84999999998</v>
      </c>
      <c r="AC47" s="36"/>
      <c r="AD47" s="35">
        <f>SUM(AD13:AD46)</f>
        <v>96247.03</v>
      </c>
      <c r="AE47" s="36"/>
      <c r="AF47" s="35">
        <f>SUM(AF13:AF46)</f>
        <v>213184.66</v>
      </c>
      <c r="AG47" s="36"/>
      <c r="AH47" s="35">
        <f>SUM(AH13:AH46)</f>
        <v>1961344.83</v>
      </c>
      <c r="AI47" s="16"/>
      <c r="AJ47" s="240">
        <f>SUM(AJ13:AJ46)</f>
        <v>244670.95607078064</v>
      </c>
      <c r="AK47" s="240">
        <f>SUM(AK13:AK46)</f>
        <v>-19016.866829234528</v>
      </c>
      <c r="AL47" s="240">
        <f>SUM(AL13:AL46)</f>
        <v>225654.08924154611</v>
      </c>
      <c r="AM47" s="62"/>
      <c r="AO47" s="73">
        <v>2150</v>
      </c>
      <c r="AP47" s="72">
        <v>348</v>
      </c>
      <c r="AQ47" s="71">
        <v>3.4155050187312968E-4</v>
      </c>
      <c r="AR47" s="79"/>
      <c r="AS47" s="73">
        <v>2149</v>
      </c>
      <c r="AT47" s="72">
        <v>12817</v>
      </c>
      <c r="AU47" s="71">
        <v>1.2143140693495836E-2</v>
      </c>
    </row>
    <row r="48" spans="2:47" s="8" customFormat="1" ht="15.75" outlineLevel="1">
      <c r="B48" s="1" t="s">
        <v>217</v>
      </c>
      <c r="J48" s="37"/>
      <c r="K48" s="36"/>
      <c r="L48" s="37"/>
      <c r="M48" s="36"/>
      <c r="N48" s="37"/>
      <c r="O48" s="36"/>
      <c r="P48" s="37"/>
      <c r="Q48" s="36"/>
      <c r="R48" s="37"/>
      <c r="S48" s="36"/>
      <c r="T48" s="37"/>
      <c r="U48" s="36"/>
      <c r="V48" s="37"/>
      <c r="W48" s="36"/>
      <c r="X48" s="37"/>
      <c r="Y48" s="36"/>
      <c r="Z48" s="37"/>
      <c r="AA48" s="36"/>
      <c r="AB48" s="37"/>
      <c r="AC48" s="36"/>
      <c r="AD48" s="37"/>
      <c r="AE48" s="36"/>
      <c r="AF48" s="37"/>
      <c r="AG48" s="36"/>
      <c r="AH48" s="37"/>
      <c r="AI48" s="16"/>
      <c r="AM48" s="62"/>
      <c r="AO48" s="73">
        <v>2160</v>
      </c>
      <c r="AP48" s="72">
        <v>3050</v>
      </c>
      <c r="AQ48" s="71">
        <v>2.9934742261869124E-3</v>
      </c>
      <c r="AR48" s="79"/>
      <c r="AS48" s="73">
        <v>2150</v>
      </c>
      <c r="AT48" s="72">
        <v>0</v>
      </c>
      <c r="AU48" s="71">
        <v>0</v>
      </c>
    </row>
    <row r="49" spans="1:47" s="62" customFormat="1" ht="16.5" thickBot="1">
      <c r="A49" s="1"/>
      <c r="B49" s="1"/>
      <c r="C49" s="1"/>
      <c r="D49" s="8"/>
      <c r="E49" s="40"/>
      <c r="F49" s="8"/>
      <c r="G49" s="8"/>
      <c r="H49" s="1"/>
      <c r="I49" s="1"/>
      <c r="K49" s="1"/>
      <c r="M49" s="16"/>
      <c r="O49" s="16"/>
      <c r="Q49" s="1"/>
      <c r="S49" s="16"/>
      <c r="U49" s="16"/>
      <c r="W49" s="1"/>
      <c r="Y49" s="16"/>
      <c r="AA49" s="16"/>
      <c r="AC49" s="1"/>
      <c r="AE49" s="16"/>
      <c r="AG49" s="16"/>
      <c r="AI49" s="1"/>
      <c r="AJ49" s="81">
        <f>'Vancouver Consolidated IS'!C261</f>
        <v>240029.95999999996</v>
      </c>
      <c r="AL49" s="80">
        <f>AJ49+AK47</f>
        <v>221013.09317076544</v>
      </c>
      <c r="AO49" s="73">
        <v>2171</v>
      </c>
      <c r="AP49" s="72">
        <v>64</v>
      </c>
      <c r="AQ49" s="71">
        <v>6.2813885401954888E-5</v>
      </c>
      <c r="AR49" s="79"/>
      <c r="AS49" s="73">
        <v>2160</v>
      </c>
      <c r="AT49" s="72">
        <v>0</v>
      </c>
      <c r="AU49" s="71">
        <v>0</v>
      </c>
    </row>
    <row r="50" spans="1:47" s="62" customFormat="1" ht="15.75">
      <c r="A50" s="1"/>
      <c r="B50" s="33"/>
      <c r="C50" s="33"/>
      <c r="D50" s="8"/>
      <c r="E50" s="8"/>
      <c r="F50" s="8"/>
      <c r="G50" s="8"/>
      <c r="H50" s="1"/>
      <c r="I50" s="1"/>
      <c r="K50" s="1"/>
      <c r="M50" s="16"/>
      <c r="O50" s="16"/>
      <c r="Q50" s="1"/>
      <c r="S50" s="16"/>
      <c r="U50" s="16"/>
      <c r="W50" s="1"/>
      <c r="Y50" s="16"/>
      <c r="AA50" s="16"/>
      <c r="AC50" s="1"/>
      <c r="AE50" s="16"/>
      <c r="AG50" s="16"/>
      <c r="AI50" s="1"/>
      <c r="AJ50" s="62">
        <f>AJ47-AJ49</f>
        <v>4640.9960707806749</v>
      </c>
      <c r="AK50" s="68" t="s">
        <v>345</v>
      </c>
      <c r="AL50" s="62">
        <f>AL47-AL49</f>
        <v>4640.9960707806749</v>
      </c>
      <c r="AO50" s="73">
        <v>2172</v>
      </c>
      <c r="AP50" s="72">
        <v>10</v>
      </c>
      <c r="AQ50" s="71">
        <v>9.8146695940554509E-6</v>
      </c>
      <c r="AR50" s="79"/>
      <c r="AS50" s="73">
        <v>2170</v>
      </c>
      <c r="AT50" s="72">
        <v>0</v>
      </c>
      <c r="AU50" s="71">
        <v>0</v>
      </c>
    </row>
    <row r="51" spans="1:47" s="62" customFormat="1" ht="15.75">
      <c r="A51" s="12"/>
      <c r="B51" s="70"/>
      <c r="C51" s="12"/>
      <c r="D51" s="12"/>
      <c r="E51" s="12"/>
      <c r="F51" s="12"/>
      <c r="G51" s="12"/>
      <c r="H51" s="1"/>
      <c r="I51" s="1"/>
      <c r="K51" s="1"/>
      <c r="M51" s="16"/>
      <c r="O51" s="16"/>
      <c r="Q51" s="1"/>
      <c r="S51" s="16"/>
      <c r="U51" s="16"/>
      <c r="W51" s="1"/>
      <c r="Y51" s="16"/>
      <c r="AA51" s="16"/>
      <c r="AC51" s="1"/>
      <c r="AE51" s="16"/>
      <c r="AG51" s="16"/>
      <c r="AI51" s="1"/>
      <c r="AJ51" s="241"/>
      <c r="AO51" s="73">
        <v>2173</v>
      </c>
      <c r="AP51" s="72">
        <v>10</v>
      </c>
      <c r="AQ51" s="71">
        <v>9.8146695940554509E-6</v>
      </c>
      <c r="AR51" s="79"/>
      <c r="AS51" s="73">
        <v>2171</v>
      </c>
      <c r="AT51" s="72">
        <v>62</v>
      </c>
      <c r="AU51" s="71">
        <v>5.8740323242314253E-5</v>
      </c>
    </row>
    <row r="52" spans="1:47" s="62" customFormat="1" ht="15.75">
      <c r="A52" s="12"/>
      <c r="B52" s="33"/>
      <c r="C52" s="33"/>
      <c r="D52" s="68" t="s">
        <v>344</v>
      </c>
      <c r="E52" s="7"/>
      <c r="F52" s="7"/>
      <c r="G52" s="7"/>
      <c r="H52" s="1"/>
      <c r="I52" s="1"/>
      <c r="K52" s="1"/>
      <c r="M52" s="16"/>
      <c r="O52" s="16"/>
      <c r="Q52" s="1"/>
      <c r="S52" s="16"/>
      <c r="U52" s="16"/>
      <c r="W52" s="1"/>
      <c r="Y52" s="16"/>
      <c r="AA52" s="16"/>
      <c r="AC52" s="1"/>
      <c r="AE52" s="16"/>
      <c r="AG52" s="16"/>
      <c r="AI52" s="1"/>
      <c r="AO52" s="73">
        <v>2180</v>
      </c>
      <c r="AP52" s="72">
        <v>72412</v>
      </c>
      <c r="AQ52" s="71">
        <v>7.1069985464474336E-2</v>
      </c>
      <c r="AR52" s="79"/>
      <c r="AS52" s="73">
        <v>2172</v>
      </c>
      <c r="AT52" s="72">
        <v>10</v>
      </c>
      <c r="AU52" s="71">
        <v>9.4742456842442343E-6</v>
      </c>
    </row>
    <row r="53" spans="1:47" s="62" customFormat="1" ht="15.75">
      <c r="A53" s="12"/>
      <c r="B53" s="33"/>
      <c r="C53" s="33"/>
      <c r="D53" s="8"/>
      <c r="E53" s="8"/>
      <c r="F53" s="6"/>
      <c r="G53" s="8"/>
      <c r="H53" s="1"/>
      <c r="I53" s="1"/>
      <c r="K53" s="1"/>
      <c r="M53" s="16"/>
      <c r="O53" s="16"/>
      <c r="Q53" s="1"/>
      <c r="S53" s="16"/>
      <c r="U53" s="16"/>
      <c r="W53" s="1"/>
      <c r="Y53" s="16"/>
      <c r="AA53" s="16"/>
      <c r="AC53" s="1"/>
      <c r="AE53" s="16"/>
      <c r="AG53" s="16"/>
      <c r="AI53" s="1"/>
      <c r="AO53" s="73">
        <v>2182</v>
      </c>
      <c r="AP53" s="72">
        <v>302</v>
      </c>
      <c r="AQ53" s="71">
        <v>2.9640302174047464E-4</v>
      </c>
      <c r="AR53" s="79"/>
      <c r="AS53" s="73">
        <v>2173</v>
      </c>
      <c r="AT53" s="72">
        <v>12</v>
      </c>
      <c r="AU53" s="71">
        <v>1.1369094821093081E-5</v>
      </c>
    </row>
    <row r="54" spans="1:47" s="62" customFormat="1" ht="15.75">
      <c r="A54" s="1"/>
      <c r="B54" s="33"/>
      <c r="C54" s="33"/>
      <c r="D54" s="8"/>
      <c r="E54" s="8"/>
      <c r="F54" s="8"/>
      <c r="G54" s="8"/>
      <c r="H54" s="1"/>
      <c r="I54" s="1"/>
      <c r="K54" s="1"/>
      <c r="M54" s="16"/>
      <c r="O54" s="16"/>
      <c r="Q54" s="1"/>
      <c r="S54" s="16"/>
      <c r="U54" s="16"/>
      <c r="W54" s="1"/>
      <c r="Y54" s="16"/>
      <c r="AA54" s="16"/>
      <c r="AC54" s="1"/>
      <c r="AE54" s="16"/>
      <c r="AG54" s="16"/>
      <c r="AI54" s="1"/>
      <c r="AO54" s="73">
        <v>2183</v>
      </c>
      <c r="AP54" s="72">
        <v>57091</v>
      </c>
      <c r="AQ54" s="71">
        <v>5.6032930179421972E-2</v>
      </c>
      <c r="AR54" s="79"/>
      <c r="AS54" s="73">
        <v>2180</v>
      </c>
      <c r="AT54" s="72">
        <v>75048</v>
      </c>
      <c r="AU54" s="71">
        <v>7.1102319011116133E-2</v>
      </c>
    </row>
    <row r="55" spans="1:47" s="62" customFormat="1" ht="15.75">
      <c r="A55" s="1"/>
      <c r="B55" s="1"/>
      <c r="C55" s="1"/>
      <c r="D55" s="8"/>
      <c r="E55" s="40"/>
      <c r="F55" s="8"/>
      <c r="G55" s="8"/>
      <c r="H55" s="1"/>
      <c r="I55" s="1"/>
      <c r="K55" s="1"/>
      <c r="M55" s="16"/>
      <c r="O55" s="16"/>
      <c r="Q55" s="1"/>
      <c r="S55" s="16"/>
      <c r="U55" s="16"/>
      <c r="W55" s="1"/>
      <c r="Y55" s="16"/>
      <c r="AA55" s="16"/>
      <c r="AC55" s="1"/>
      <c r="AE55" s="16"/>
      <c r="AG55" s="16"/>
      <c r="AI55" s="1"/>
      <c r="AO55" s="73">
        <v>2184</v>
      </c>
      <c r="AP55" s="72">
        <v>1</v>
      </c>
      <c r="AQ55" s="71">
        <v>9.8146695940554513E-7</v>
      </c>
      <c r="AR55" s="79"/>
      <c r="AS55" s="73">
        <v>2182</v>
      </c>
      <c r="AT55" s="72">
        <v>1</v>
      </c>
      <c r="AU55" s="71">
        <v>9.4742456842442343E-7</v>
      </c>
    </row>
    <row r="56" spans="1:47" s="62" customFormat="1" ht="15.75">
      <c r="A56" s="1"/>
      <c r="B56" s="1"/>
      <c r="C56" s="1"/>
      <c r="D56" s="1"/>
      <c r="E56" s="1"/>
      <c r="F56" s="1"/>
      <c r="G56" s="1"/>
      <c r="H56" s="1"/>
      <c r="I56" s="1"/>
      <c r="K56" s="1"/>
      <c r="M56" s="16"/>
      <c r="O56" s="16"/>
      <c r="Q56" s="1"/>
      <c r="S56" s="16"/>
      <c r="U56" s="16"/>
      <c r="W56" s="1"/>
      <c r="Y56" s="16"/>
      <c r="AA56" s="16"/>
      <c r="AC56" s="1"/>
      <c r="AE56" s="16"/>
      <c r="AG56" s="16"/>
      <c r="AI56" s="1"/>
      <c r="AO56" s="73">
        <v>2185</v>
      </c>
      <c r="AP56" s="72">
        <v>2788</v>
      </c>
      <c r="AQ56" s="71">
        <v>2.7363298828226596E-3</v>
      </c>
      <c r="AR56" s="79"/>
      <c r="AS56" s="73">
        <v>2183</v>
      </c>
      <c r="AT56" s="72">
        <v>57936</v>
      </c>
      <c r="AU56" s="71">
        <v>5.4889989796237396E-2</v>
      </c>
    </row>
    <row r="57" spans="1:47" s="62" customFormat="1" ht="15.75">
      <c r="B57" s="1"/>
      <c r="D57" s="1"/>
      <c r="E57" s="1"/>
      <c r="F57" s="1"/>
      <c r="G57" s="1"/>
      <c r="H57" s="1"/>
      <c r="I57" s="1"/>
      <c r="K57" s="1"/>
      <c r="M57" s="16"/>
      <c r="O57" s="16"/>
      <c r="Q57" s="1"/>
      <c r="S57" s="16"/>
      <c r="U57" s="16"/>
      <c r="W57" s="1"/>
      <c r="Y57" s="16"/>
      <c r="AA57" s="16"/>
      <c r="AC57" s="1"/>
      <c r="AE57" s="16"/>
      <c r="AG57" s="16"/>
      <c r="AI57" s="1"/>
      <c r="AO57" s="73">
        <v>2186</v>
      </c>
      <c r="AP57" s="72">
        <v>20198</v>
      </c>
      <c r="AQ57" s="71">
        <v>1.9823669646073201E-2</v>
      </c>
      <c r="AR57" s="79"/>
      <c r="AS57" s="73">
        <v>2184</v>
      </c>
      <c r="AT57" s="72">
        <v>1</v>
      </c>
      <c r="AU57" s="71">
        <v>9.4742456842442343E-7</v>
      </c>
    </row>
    <row r="58" spans="1:47" s="62" customFormat="1" ht="15.75">
      <c r="B58" s="1"/>
      <c r="D58" s="1"/>
      <c r="E58" s="1"/>
      <c r="F58" s="1"/>
      <c r="G58" s="1"/>
      <c r="H58" s="1"/>
      <c r="I58" s="1"/>
      <c r="K58" s="1"/>
      <c r="M58" s="16"/>
      <c r="O58" s="16"/>
      <c r="Q58" s="1"/>
      <c r="S58" s="16"/>
      <c r="U58" s="16"/>
      <c r="W58" s="1"/>
      <c r="Y58" s="16"/>
      <c r="AA58" s="16"/>
      <c r="AC58" s="1"/>
      <c r="AE58" s="16"/>
      <c r="AG58" s="16"/>
      <c r="AI58" s="1"/>
      <c r="AO58" s="73">
        <v>2187</v>
      </c>
      <c r="AP58" s="72">
        <v>1</v>
      </c>
      <c r="AQ58" s="71">
        <v>9.8146695940554513E-7</v>
      </c>
      <c r="AR58" s="79"/>
      <c r="AS58" s="73">
        <v>2185</v>
      </c>
      <c r="AT58" s="72">
        <v>2839</v>
      </c>
      <c r="AU58" s="71">
        <v>2.6897383497569384E-3</v>
      </c>
    </row>
    <row r="59" spans="1:47" s="62" customFormat="1" ht="15.75">
      <c r="B59" s="1"/>
      <c r="D59" s="1"/>
      <c r="E59" s="1"/>
      <c r="F59" s="1"/>
      <c r="G59" s="1"/>
      <c r="H59" s="1"/>
      <c r="I59" s="1"/>
      <c r="K59" s="1"/>
      <c r="M59" s="16"/>
      <c r="O59" s="16"/>
      <c r="Q59" s="1"/>
      <c r="S59" s="16"/>
      <c r="U59" s="16"/>
      <c r="W59" s="1"/>
      <c r="Y59" s="16"/>
      <c r="AA59" s="16"/>
      <c r="AC59" s="1"/>
      <c r="AE59" s="16"/>
      <c r="AG59" s="16"/>
      <c r="AI59" s="1"/>
      <c r="AO59" s="73">
        <v>2188</v>
      </c>
      <c r="AP59" s="72">
        <v>24213</v>
      </c>
      <c r="AQ59" s="71">
        <v>2.3764259488086463E-2</v>
      </c>
      <c r="AR59" s="79"/>
      <c r="AS59" s="73">
        <v>2186</v>
      </c>
      <c r="AT59" s="72">
        <v>20384</v>
      </c>
      <c r="AU59" s="71">
        <v>1.9312302402763448E-2</v>
      </c>
    </row>
    <row r="60" spans="1:47" s="62" customFormat="1" ht="15.75">
      <c r="B60" s="1"/>
      <c r="D60" s="1"/>
      <c r="E60" s="1"/>
      <c r="F60" s="1"/>
      <c r="G60" s="1"/>
      <c r="H60" s="1"/>
      <c r="I60" s="1"/>
      <c r="K60" s="1"/>
      <c r="M60" s="16"/>
      <c r="O60" s="16"/>
      <c r="Q60" s="1"/>
      <c r="S60" s="16"/>
      <c r="U60" s="16"/>
      <c r="W60" s="1"/>
      <c r="Y60" s="16"/>
      <c r="AA60" s="16"/>
      <c r="AC60" s="1"/>
      <c r="AE60" s="16"/>
      <c r="AG60" s="16"/>
      <c r="AI60" s="1"/>
      <c r="AO60" s="73">
        <v>2189</v>
      </c>
      <c r="AP60" s="72">
        <v>1</v>
      </c>
      <c r="AQ60" s="71">
        <v>9.8146695940554513E-7</v>
      </c>
      <c r="AR60" s="79"/>
      <c r="AS60" s="73">
        <v>2187</v>
      </c>
      <c r="AT60" s="72">
        <v>1</v>
      </c>
      <c r="AU60" s="71">
        <v>9.4742456842442343E-7</v>
      </c>
    </row>
    <row r="61" spans="1:47" s="62" customFormat="1" ht="15.75">
      <c r="B61" s="1"/>
      <c r="D61" s="1"/>
      <c r="E61" s="1"/>
      <c r="F61" s="1"/>
      <c r="G61" s="1"/>
      <c r="H61" s="1"/>
      <c r="I61" s="1"/>
      <c r="K61" s="1"/>
      <c r="M61" s="16"/>
      <c r="O61" s="16"/>
      <c r="Q61" s="1"/>
      <c r="S61" s="16"/>
      <c r="U61" s="16"/>
      <c r="W61" s="1"/>
      <c r="Y61" s="16"/>
      <c r="AA61" s="16"/>
      <c r="AC61" s="1"/>
      <c r="AE61" s="16"/>
      <c r="AG61" s="16"/>
      <c r="AI61" s="1"/>
      <c r="AO61" s="73">
        <v>2190</v>
      </c>
      <c r="AP61" s="72">
        <v>458</v>
      </c>
      <c r="AQ61" s="71">
        <v>4.4951186740773964E-4</v>
      </c>
      <c r="AR61" s="79"/>
      <c r="AS61" s="73">
        <v>2188</v>
      </c>
      <c r="AT61" s="72">
        <v>24910</v>
      </c>
      <c r="AU61" s="71">
        <v>2.3600345999452387E-2</v>
      </c>
    </row>
    <row r="62" spans="1:47" s="62" customFormat="1" ht="15.75">
      <c r="B62" s="1"/>
      <c r="D62" s="1"/>
      <c r="E62" s="1"/>
      <c r="F62" s="1"/>
      <c r="G62" s="1"/>
      <c r="H62" s="1"/>
      <c r="I62" s="1"/>
      <c r="K62" s="1"/>
      <c r="M62" s="16"/>
      <c r="O62" s="16"/>
      <c r="Q62" s="1"/>
      <c r="S62" s="16"/>
      <c r="U62" s="16"/>
      <c r="W62" s="1"/>
      <c r="Y62" s="16"/>
      <c r="AA62" s="16"/>
      <c r="AC62" s="1"/>
      <c r="AE62" s="16"/>
      <c r="AG62" s="16"/>
      <c r="AI62" s="1"/>
      <c r="AO62" s="73">
        <v>2191</v>
      </c>
      <c r="AP62" s="72">
        <v>7</v>
      </c>
      <c r="AQ62" s="71">
        <v>6.8702687158388153E-6</v>
      </c>
      <c r="AR62" s="79"/>
      <c r="AS62" s="73">
        <v>2189</v>
      </c>
      <c r="AT62" s="72">
        <v>1</v>
      </c>
      <c r="AU62" s="71">
        <v>9.4742456842442343E-7</v>
      </c>
    </row>
    <row r="63" spans="1:47" s="62" customFormat="1" ht="15.75">
      <c r="B63" s="1"/>
      <c r="D63" s="1"/>
      <c r="E63" s="1"/>
      <c r="F63" s="1"/>
      <c r="G63" s="1"/>
      <c r="H63" s="1"/>
      <c r="I63" s="1"/>
      <c r="K63" s="1"/>
      <c r="M63" s="16"/>
      <c r="O63" s="16"/>
      <c r="Q63" s="1"/>
      <c r="S63" s="16"/>
      <c r="U63" s="16"/>
      <c r="W63" s="1"/>
      <c r="Y63" s="16"/>
      <c r="AA63" s="16"/>
      <c r="AC63" s="1"/>
      <c r="AE63" s="16"/>
      <c r="AG63" s="16"/>
      <c r="AI63" s="1"/>
      <c r="AO63" s="73">
        <v>2195</v>
      </c>
      <c r="AP63" s="72">
        <v>30389</v>
      </c>
      <c r="AQ63" s="71">
        <v>2.9825799429375108E-2</v>
      </c>
      <c r="AR63" s="79"/>
      <c r="AS63" s="73">
        <v>2190</v>
      </c>
      <c r="AT63" s="72">
        <v>431</v>
      </c>
      <c r="AU63" s="71">
        <v>4.083399889909265E-4</v>
      </c>
    </row>
    <row r="64" spans="1:47" s="62" customFormat="1" ht="15.75">
      <c r="D64" s="1"/>
      <c r="E64" s="1"/>
      <c r="F64" s="1"/>
      <c r="G64" s="1"/>
      <c r="H64" s="1"/>
      <c r="I64" s="1"/>
      <c r="K64" s="1"/>
      <c r="M64" s="16"/>
      <c r="O64" s="16"/>
      <c r="Q64" s="1"/>
      <c r="S64" s="16"/>
      <c r="U64" s="16"/>
      <c r="W64" s="1"/>
      <c r="Y64" s="16"/>
      <c r="AA64" s="16"/>
      <c r="AC64" s="1"/>
      <c r="AE64" s="16"/>
      <c r="AG64" s="16"/>
      <c r="AI64" s="1"/>
      <c r="AO64" s="73">
        <v>2210</v>
      </c>
      <c r="AP64" s="72">
        <v>13794</v>
      </c>
      <c r="AQ64" s="71">
        <v>1.353835523804009E-2</v>
      </c>
      <c r="AR64" s="79"/>
      <c r="AS64" s="73">
        <v>2191</v>
      </c>
      <c r="AT64" s="72">
        <v>7</v>
      </c>
      <c r="AU64" s="71">
        <v>6.631971978970964E-6</v>
      </c>
    </row>
    <row r="65" spans="4:47" s="62" customFormat="1" ht="15.75">
      <c r="D65" s="1"/>
      <c r="E65" s="1"/>
      <c r="F65" s="1"/>
      <c r="G65" s="1"/>
      <c r="H65" s="1"/>
      <c r="I65" s="1"/>
      <c r="K65" s="1"/>
      <c r="M65" s="16"/>
      <c r="O65" s="16"/>
      <c r="Q65" s="1"/>
      <c r="S65" s="16"/>
      <c r="U65" s="16"/>
      <c r="W65" s="1"/>
      <c r="Y65" s="16"/>
      <c r="AA65" s="16"/>
      <c r="AC65" s="1"/>
      <c r="AE65" s="16"/>
      <c r="AG65" s="16"/>
      <c r="AI65" s="1"/>
      <c r="AO65" s="73">
        <v>2211</v>
      </c>
      <c r="AP65" s="72">
        <v>25064</v>
      </c>
      <c r="AQ65" s="71">
        <v>2.4599487870540584E-2</v>
      </c>
      <c r="AR65" s="79"/>
      <c r="AS65" s="73">
        <v>2195</v>
      </c>
      <c r="AT65" s="72">
        <v>30828</v>
      </c>
      <c r="AU65" s="71">
        <v>2.9207204595388128E-2</v>
      </c>
    </row>
    <row r="66" spans="4:47" s="62" customFormat="1" ht="15.75">
      <c r="D66" s="1"/>
      <c r="E66" s="1"/>
      <c r="F66" s="1"/>
      <c r="G66" s="1"/>
      <c r="H66" s="1"/>
      <c r="I66" s="1"/>
      <c r="K66" s="1"/>
      <c r="M66" s="16"/>
      <c r="O66" s="16"/>
      <c r="Q66" s="1"/>
      <c r="S66" s="16"/>
      <c r="U66" s="16"/>
      <c r="W66" s="1"/>
      <c r="Y66" s="16"/>
      <c r="AA66" s="16"/>
      <c r="AC66" s="1"/>
      <c r="AE66" s="16"/>
      <c r="AG66" s="16"/>
      <c r="AI66" s="1"/>
      <c r="AO66" s="73">
        <v>2212</v>
      </c>
      <c r="AP66" s="72">
        <v>4623</v>
      </c>
      <c r="AQ66" s="71">
        <v>4.5373217533318348E-3</v>
      </c>
      <c r="AR66" s="79"/>
      <c r="AS66" s="73">
        <v>2210</v>
      </c>
      <c r="AT66" s="72">
        <v>20315</v>
      </c>
      <c r="AU66" s="71">
        <v>1.9246930107542162E-2</v>
      </c>
    </row>
    <row r="67" spans="4:47" s="62" customFormat="1" ht="15.75">
      <c r="D67" s="1"/>
      <c r="E67" s="1"/>
      <c r="F67" s="1"/>
      <c r="G67" s="1"/>
      <c r="H67" s="1"/>
      <c r="I67" s="1"/>
      <c r="K67" s="1"/>
      <c r="M67" s="16"/>
      <c r="O67" s="16"/>
      <c r="Q67" s="1"/>
      <c r="S67" s="16"/>
      <c r="U67" s="16"/>
      <c r="W67" s="1"/>
      <c r="Y67" s="16"/>
      <c r="AA67" s="16"/>
      <c r="AC67" s="1"/>
      <c r="AE67" s="16"/>
      <c r="AG67" s="16"/>
      <c r="AI67" s="1"/>
      <c r="AO67" s="73">
        <v>2213</v>
      </c>
      <c r="AP67" s="72">
        <v>0</v>
      </c>
      <c r="AQ67" s="71">
        <v>0</v>
      </c>
      <c r="AR67" s="79"/>
      <c r="AS67" s="73">
        <v>2211</v>
      </c>
      <c r="AT67" s="72">
        <v>23360</v>
      </c>
      <c r="AU67" s="71">
        <v>2.2131837918394532E-2</v>
      </c>
    </row>
    <row r="68" spans="4:47" s="62" customFormat="1" ht="15.75">
      <c r="D68" s="1"/>
      <c r="E68" s="1"/>
      <c r="F68" s="1"/>
      <c r="G68" s="1"/>
      <c r="H68" s="1"/>
      <c r="I68" s="1"/>
      <c r="K68" s="1"/>
      <c r="M68" s="16"/>
      <c r="O68" s="16"/>
      <c r="Q68" s="1"/>
      <c r="S68" s="16"/>
      <c r="U68" s="16"/>
      <c r="W68" s="1"/>
      <c r="Y68" s="16"/>
      <c r="AA68" s="16"/>
      <c r="AC68" s="1"/>
      <c r="AE68" s="16"/>
      <c r="AG68" s="16"/>
      <c r="AI68" s="1"/>
      <c r="AO68" s="73">
        <v>2214</v>
      </c>
      <c r="AP68" s="72">
        <v>8098</v>
      </c>
      <c r="AQ68" s="71">
        <v>7.9479194372661047E-3</v>
      </c>
      <c r="AR68" s="79"/>
      <c r="AS68" s="73">
        <v>2212</v>
      </c>
      <c r="AT68" s="72">
        <v>5061</v>
      </c>
      <c r="AU68" s="71">
        <v>4.7949157407960073E-3</v>
      </c>
    </row>
    <row r="69" spans="4:47" s="62" customFormat="1" ht="15.75">
      <c r="D69" s="1"/>
      <c r="E69" s="1"/>
      <c r="F69" s="1"/>
      <c r="G69" s="1"/>
      <c r="H69" s="1"/>
      <c r="I69" s="1"/>
      <c r="K69" s="1"/>
      <c r="M69" s="16"/>
      <c r="O69" s="16"/>
      <c r="Q69" s="1"/>
      <c r="S69" s="16"/>
      <c r="U69" s="16"/>
      <c r="W69" s="1"/>
      <c r="Y69" s="16"/>
      <c r="AA69" s="16"/>
      <c r="AC69" s="1"/>
      <c r="AE69" s="16"/>
      <c r="AG69" s="16"/>
      <c r="AI69" s="1"/>
      <c r="AO69" s="73">
        <v>2310</v>
      </c>
      <c r="AP69" s="72">
        <v>11253</v>
      </c>
      <c r="AQ69" s="71">
        <v>1.10444476941906E-2</v>
      </c>
      <c r="AR69" s="79"/>
      <c r="AS69" s="73">
        <v>2213</v>
      </c>
      <c r="AT69" s="72">
        <v>0</v>
      </c>
      <c r="AU69" s="71">
        <v>0</v>
      </c>
    </row>
    <row r="70" spans="4:47" s="62" customFormat="1" ht="15.75">
      <c r="D70" s="1"/>
      <c r="E70" s="1"/>
      <c r="F70" s="1"/>
      <c r="G70" s="1"/>
      <c r="H70" s="1"/>
      <c r="I70" s="1"/>
      <c r="K70" s="1"/>
      <c r="M70" s="16"/>
      <c r="O70" s="16"/>
      <c r="Q70" s="1"/>
      <c r="S70" s="16"/>
      <c r="U70" s="16"/>
      <c r="W70" s="1"/>
      <c r="Y70" s="16"/>
      <c r="AA70" s="16"/>
      <c r="AC70" s="1"/>
      <c r="AE70" s="16"/>
      <c r="AG70" s="16"/>
      <c r="AI70" s="1"/>
      <c r="AO70" s="73">
        <v>2410</v>
      </c>
      <c r="AP70" s="72">
        <v>92305</v>
      </c>
      <c r="AQ70" s="71">
        <v>9.0594307687928838E-2</v>
      </c>
      <c r="AR70" s="79"/>
      <c r="AS70" s="73">
        <v>2214</v>
      </c>
      <c r="AT70" s="72">
        <v>8448</v>
      </c>
      <c r="AU70" s="71">
        <v>8.00384275404953E-3</v>
      </c>
    </row>
    <row r="71" spans="4:47" s="62" customFormat="1" ht="15.75">
      <c r="D71" s="1"/>
      <c r="E71" s="1"/>
      <c r="F71" s="1"/>
      <c r="G71" s="1"/>
      <c r="H71" s="1"/>
      <c r="I71" s="1"/>
      <c r="K71" s="1"/>
      <c r="M71" s="16"/>
      <c r="O71" s="16"/>
      <c r="Q71" s="1"/>
      <c r="S71" s="16"/>
      <c r="U71" s="16"/>
      <c r="W71" s="1"/>
      <c r="Y71" s="16"/>
      <c r="AA71" s="16"/>
      <c r="AC71" s="1"/>
      <c r="AE71" s="16"/>
      <c r="AG71" s="16"/>
      <c r="AI71" s="1"/>
      <c r="AO71" s="73">
        <v>3022</v>
      </c>
      <c r="AP71" s="72">
        <v>4374</v>
      </c>
      <c r="AQ71" s="71">
        <v>4.2929364804398544E-3</v>
      </c>
      <c r="AR71" s="79"/>
      <c r="AS71" s="73">
        <v>2310</v>
      </c>
      <c r="AT71" s="72">
        <v>12082</v>
      </c>
      <c r="AU71" s="71">
        <v>1.1446783635703884E-2</v>
      </c>
    </row>
    <row r="72" spans="4:47" s="62" customFormat="1" ht="15.75">
      <c r="D72" s="1"/>
      <c r="E72" s="1"/>
      <c r="F72" s="1"/>
      <c r="G72" s="1"/>
      <c r="H72" s="1"/>
      <c r="I72" s="1"/>
      <c r="K72" s="1"/>
      <c r="M72" s="16"/>
      <c r="O72" s="16"/>
      <c r="Q72" s="1"/>
      <c r="S72" s="16"/>
      <c r="U72" s="16"/>
      <c r="W72" s="1"/>
      <c r="Y72" s="16"/>
      <c r="AA72" s="16"/>
      <c r="AC72" s="1"/>
      <c r="AE72" s="16"/>
      <c r="AG72" s="16"/>
      <c r="AI72" s="1"/>
      <c r="AO72" s="73">
        <v>3023</v>
      </c>
      <c r="AP72" s="72">
        <v>8369</v>
      </c>
      <c r="AQ72" s="71">
        <v>8.2138969832650077E-3</v>
      </c>
      <c r="AR72" s="79"/>
      <c r="AS72" s="73">
        <v>2410</v>
      </c>
      <c r="AT72" s="72">
        <v>92616</v>
      </c>
      <c r="AU72" s="71">
        <v>8.7746673829196403E-2</v>
      </c>
    </row>
    <row r="73" spans="4:47" s="62" customFormat="1" ht="15.75">
      <c r="D73" s="1"/>
      <c r="E73" s="1"/>
      <c r="F73" s="1"/>
      <c r="G73" s="1"/>
      <c r="H73" s="1"/>
      <c r="I73" s="1"/>
      <c r="K73" s="1"/>
      <c r="M73" s="16"/>
      <c r="O73" s="16"/>
      <c r="Q73" s="1"/>
      <c r="S73" s="16"/>
      <c r="U73" s="16"/>
      <c r="W73" s="1"/>
      <c r="Y73" s="16"/>
      <c r="AA73" s="16"/>
      <c r="AC73" s="1"/>
      <c r="AE73" s="16"/>
      <c r="AG73" s="16"/>
      <c r="AI73" s="1"/>
      <c r="AO73" s="73">
        <v>3024</v>
      </c>
      <c r="AP73" s="72">
        <v>4296</v>
      </c>
      <c r="AQ73" s="71">
        <v>4.2163820576062213E-3</v>
      </c>
      <c r="AR73" s="79"/>
      <c r="AS73" s="73">
        <v>2411</v>
      </c>
      <c r="AT73" s="72">
        <v>0</v>
      </c>
      <c r="AU73" s="71">
        <v>0</v>
      </c>
    </row>
    <row r="74" spans="4:47" s="62" customFormat="1" ht="15.75">
      <c r="D74" s="1"/>
      <c r="E74" s="1"/>
      <c r="F74" s="1"/>
      <c r="G74" s="1"/>
      <c r="H74" s="1"/>
      <c r="I74" s="1"/>
      <c r="K74" s="1"/>
      <c r="M74" s="16"/>
      <c r="O74" s="16"/>
      <c r="Q74" s="1"/>
      <c r="S74" s="16"/>
      <c r="U74" s="16"/>
      <c r="W74" s="1"/>
      <c r="Y74" s="16"/>
      <c r="AA74" s="16"/>
      <c r="AC74" s="1"/>
      <c r="AE74" s="16"/>
      <c r="AG74" s="16"/>
      <c r="AI74" s="1"/>
      <c r="AO74" s="73">
        <v>3025</v>
      </c>
      <c r="AP74" s="72">
        <v>970</v>
      </c>
      <c r="AQ74" s="71">
        <v>9.5202295062337869E-4</v>
      </c>
      <c r="AR74" s="79"/>
      <c r="AS74" s="73">
        <v>2412</v>
      </c>
      <c r="AT74" s="72">
        <v>0</v>
      </c>
      <c r="AU74" s="71">
        <v>0</v>
      </c>
    </row>
    <row r="75" spans="4:47" s="62" customFormat="1" ht="15.75">
      <c r="D75" s="1"/>
      <c r="E75" s="1"/>
      <c r="F75" s="1"/>
      <c r="G75" s="1"/>
      <c r="H75" s="1"/>
      <c r="I75" s="1"/>
      <c r="K75" s="1"/>
      <c r="M75" s="16"/>
      <c r="O75" s="16"/>
      <c r="Q75" s="1"/>
      <c r="S75" s="16"/>
      <c r="U75" s="16"/>
      <c r="W75" s="1"/>
      <c r="Y75" s="16"/>
      <c r="AA75" s="16"/>
      <c r="AC75" s="1"/>
      <c r="AE75" s="16"/>
      <c r="AG75" s="16"/>
      <c r="AI75" s="1"/>
      <c r="AO75" s="73">
        <v>4014</v>
      </c>
      <c r="AP75" s="72">
        <v>5181</v>
      </c>
      <c r="AQ75" s="71">
        <v>5.0849803166801294E-3</v>
      </c>
      <c r="AR75" s="79"/>
      <c r="AS75" s="73">
        <v>2413</v>
      </c>
      <c r="AT75" s="72">
        <v>0</v>
      </c>
      <c r="AU75" s="71">
        <v>0</v>
      </c>
    </row>
    <row r="76" spans="4:47" s="62" customFormat="1" ht="15.75">
      <c r="D76" s="1"/>
      <c r="E76" s="1"/>
      <c r="F76" s="1"/>
      <c r="G76" s="1"/>
      <c r="H76" s="1"/>
      <c r="I76" s="1"/>
      <c r="K76" s="1"/>
      <c r="M76" s="16"/>
      <c r="O76" s="16"/>
      <c r="Q76" s="1"/>
      <c r="S76" s="16"/>
      <c r="U76" s="16"/>
      <c r="W76" s="1"/>
      <c r="Y76" s="16"/>
      <c r="AA76" s="16"/>
      <c r="AC76" s="1"/>
      <c r="AE76" s="16"/>
      <c r="AG76" s="16"/>
      <c r="AI76" s="1"/>
      <c r="AO76" s="73">
        <v>4016</v>
      </c>
      <c r="AP76" s="72">
        <v>38</v>
      </c>
      <c r="AQ76" s="71">
        <v>3.729574445741071E-5</v>
      </c>
      <c r="AR76" s="79"/>
      <c r="AS76" s="73">
        <v>2414</v>
      </c>
      <c r="AT76" s="72">
        <v>0</v>
      </c>
      <c r="AU76" s="71">
        <v>0</v>
      </c>
    </row>
    <row r="77" spans="4:47" s="62" customFormat="1" ht="15.75">
      <c r="D77" s="1"/>
      <c r="E77" s="1"/>
      <c r="F77" s="1"/>
      <c r="G77" s="1"/>
      <c r="H77" s="1"/>
      <c r="I77" s="1"/>
      <c r="K77" s="1"/>
      <c r="M77" s="16"/>
      <c r="O77" s="16"/>
      <c r="Q77" s="1"/>
      <c r="S77" s="16"/>
      <c r="U77" s="16"/>
      <c r="W77" s="1"/>
      <c r="Y77" s="16"/>
      <c r="AA77" s="16"/>
      <c r="AC77" s="1"/>
      <c r="AE77" s="16"/>
      <c r="AG77" s="16"/>
      <c r="AI77" s="1"/>
      <c r="AO77" s="73">
        <v>4018</v>
      </c>
      <c r="AP77" s="72">
        <v>14750</v>
      </c>
      <c r="AQ77" s="71">
        <v>1.447663765123179E-2</v>
      </c>
      <c r="AR77" s="79"/>
      <c r="AS77" s="73">
        <v>2420</v>
      </c>
      <c r="AT77" s="72">
        <v>0</v>
      </c>
      <c r="AU77" s="71">
        <v>0</v>
      </c>
    </row>
    <row r="78" spans="4:47" s="62" customFormat="1" ht="15.75">
      <c r="D78" s="1"/>
      <c r="E78" s="1"/>
      <c r="F78" s="1"/>
      <c r="G78" s="1"/>
      <c r="H78" s="1"/>
      <c r="I78" s="1"/>
      <c r="K78" s="1"/>
      <c r="M78" s="16"/>
      <c r="O78" s="16"/>
      <c r="Q78" s="1"/>
      <c r="S78" s="16"/>
      <c r="U78" s="16"/>
      <c r="W78" s="1"/>
      <c r="Y78" s="16"/>
      <c r="AA78" s="16"/>
      <c r="AC78" s="1"/>
      <c r="AE78" s="16"/>
      <c r="AG78" s="16"/>
      <c r="AI78" s="1"/>
      <c r="AO78" s="73">
        <v>4019</v>
      </c>
      <c r="AP78" s="72">
        <v>70</v>
      </c>
      <c r="AQ78" s="71">
        <v>6.8702687158388154E-5</v>
      </c>
      <c r="AR78" s="79"/>
      <c r="AS78" s="73">
        <v>2430</v>
      </c>
      <c r="AT78" s="72">
        <v>0</v>
      </c>
      <c r="AU78" s="71">
        <v>0</v>
      </c>
    </row>
    <row r="79" spans="4:47" s="62" customFormat="1" ht="15.75">
      <c r="D79" s="1"/>
      <c r="E79" s="1"/>
      <c r="F79" s="1"/>
      <c r="G79" s="1"/>
      <c r="H79" s="1"/>
      <c r="I79" s="1"/>
      <c r="K79" s="1"/>
      <c r="M79" s="16"/>
      <c r="O79" s="16"/>
      <c r="Q79" s="1"/>
      <c r="S79" s="16"/>
      <c r="U79" s="16"/>
      <c r="W79" s="1"/>
      <c r="Y79" s="16"/>
      <c r="AA79" s="16"/>
      <c r="AC79" s="1"/>
      <c r="AE79" s="16"/>
      <c r="AG79" s="16"/>
      <c r="AI79" s="1"/>
      <c r="AO79" s="73">
        <v>4020</v>
      </c>
      <c r="AP79" s="72">
        <v>58787</v>
      </c>
      <c r="AQ79" s="71">
        <v>5.7697498142573779E-2</v>
      </c>
      <c r="AR79" s="79"/>
      <c r="AS79" s="73">
        <v>2431</v>
      </c>
      <c r="AT79" s="72">
        <v>0</v>
      </c>
      <c r="AU79" s="71">
        <v>0</v>
      </c>
    </row>
    <row r="80" spans="4:47" s="62" customFormat="1" ht="15.75">
      <c r="D80" s="1"/>
      <c r="E80" s="1"/>
      <c r="F80" s="1"/>
      <c r="G80" s="1"/>
      <c r="H80" s="1"/>
      <c r="I80" s="1"/>
      <c r="K80" s="1"/>
      <c r="M80" s="16"/>
      <c r="O80" s="16"/>
      <c r="Q80" s="1"/>
      <c r="S80" s="16"/>
      <c r="U80" s="16"/>
      <c r="W80" s="1"/>
      <c r="Y80" s="16"/>
      <c r="AA80" s="16"/>
      <c r="AC80" s="1"/>
      <c r="AE80" s="16"/>
      <c r="AG80" s="16"/>
      <c r="AI80" s="1"/>
      <c r="AO80" s="73">
        <v>4021</v>
      </c>
      <c r="AP80" s="72">
        <v>135</v>
      </c>
      <c r="AQ80" s="71">
        <v>1.3249803951974858E-4</v>
      </c>
      <c r="AR80" s="79"/>
      <c r="AS80" s="73">
        <v>2432</v>
      </c>
      <c r="AT80" s="72">
        <v>0</v>
      </c>
      <c r="AU80" s="71">
        <v>0</v>
      </c>
    </row>
    <row r="81" spans="4:47" s="62" customFormat="1" ht="15.75">
      <c r="D81" s="1"/>
      <c r="E81" s="1"/>
      <c r="F81" s="1"/>
      <c r="G81" s="1"/>
      <c r="H81" s="1"/>
      <c r="I81" s="1"/>
      <c r="K81" s="1"/>
      <c r="M81" s="16"/>
      <c r="O81" s="16"/>
      <c r="Q81" s="1"/>
      <c r="S81" s="16"/>
      <c r="U81" s="16"/>
      <c r="W81" s="1"/>
      <c r="Y81" s="16"/>
      <c r="AA81" s="16"/>
      <c r="AC81" s="1"/>
      <c r="AE81" s="16"/>
      <c r="AG81" s="16"/>
      <c r="AI81" s="1"/>
      <c r="AO81" s="73">
        <v>4030</v>
      </c>
      <c r="AP81" s="72">
        <v>38744</v>
      </c>
      <c r="AQ81" s="71">
        <v>3.8025955875208441E-2</v>
      </c>
      <c r="AR81" s="79"/>
      <c r="AS81" s="73">
        <v>2440</v>
      </c>
      <c r="AT81" s="72">
        <v>0</v>
      </c>
      <c r="AU81" s="71">
        <v>0</v>
      </c>
    </row>
    <row r="82" spans="4:47" s="62" customFormat="1" ht="15.75">
      <c r="D82" s="1"/>
      <c r="E82" s="1"/>
      <c r="F82" s="1"/>
      <c r="G82" s="1"/>
      <c r="H82" s="1"/>
      <c r="I82" s="1"/>
      <c r="K82" s="1"/>
      <c r="M82" s="16"/>
      <c r="O82" s="16"/>
      <c r="Q82" s="1"/>
      <c r="S82" s="16"/>
      <c r="U82" s="16"/>
      <c r="W82" s="1"/>
      <c r="Y82" s="16"/>
      <c r="AA82" s="16"/>
      <c r="AC82" s="1"/>
      <c r="AE82" s="16"/>
      <c r="AG82" s="16"/>
      <c r="AI82" s="1"/>
      <c r="AO82" s="73">
        <v>4031</v>
      </c>
      <c r="AP82" s="72">
        <v>178</v>
      </c>
      <c r="AQ82" s="71">
        <v>1.7470111877418703E-4</v>
      </c>
      <c r="AR82" s="79"/>
      <c r="AS82" s="73">
        <v>2450</v>
      </c>
      <c r="AT82" s="72">
        <v>0</v>
      </c>
      <c r="AU82" s="71">
        <v>0</v>
      </c>
    </row>
    <row r="83" spans="4:47" s="62" customFormat="1" ht="15.75">
      <c r="D83" s="1"/>
      <c r="E83" s="1"/>
      <c r="F83" s="1"/>
      <c r="G83" s="1"/>
      <c r="H83" s="1"/>
      <c r="I83" s="1"/>
      <c r="K83" s="1"/>
      <c r="M83" s="16"/>
      <c r="O83" s="16"/>
      <c r="Q83" s="1"/>
      <c r="S83" s="16"/>
      <c r="U83" s="16"/>
      <c r="W83" s="1"/>
      <c r="Y83" s="16"/>
      <c r="AA83" s="16"/>
      <c r="AC83" s="1"/>
      <c r="AE83" s="16"/>
      <c r="AG83" s="16"/>
      <c r="AI83" s="1"/>
      <c r="AO83" s="73">
        <v>4040</v>
      </c>
      <c r="AP83" s="72">
        <v>278</v>
      </c>
      <c r="AQ83" s="71">
        <v>2.7284781471474152E-4</v>
      </c>
      <c r="AR83" s="79"/>
      <c r="AS83" s="73">
        <v>2451</v>
      </c>
      <c r="AT83" s="72">
        <v>0</v>
      </c>
      <c r="AU83" s="71">
        <v>0</v>
      </c>
    </row>
    <row r="84" spans="4:47" s="62" customFormat="1" ht="15.75">
      <c r="D84" s="1"/>
      <c r="E84" s="1"/>
      <c r="F84" s="1"/>
      <c r="G84" s="1"/>
      <c r="H84" s="1"/>
      <c r="I84" s="1"/>
      <c r="K84" s="1"/>
      <c r="M84" s="16"/>
      <c r="O84" s="16"/>
      <c r="Q84" s="1"/>
      <c r="S84" s="16"/>
      <c r="U84" s="16"/>
      <c r="W84" s="1"/>
      <c r="Y84" s="16"/>
      <c r="AA84" s="16"/>
      <c r="AC84" s="1"/>
      <c r="AE84" s="16"/>
      <c r="AG84" s="16"/>
      <c r="AI84" s="1"/>
      <c r="AO84" s="73">
        <v>4050</v>
      </c>
      <c r="AP84" s="72">
        <v>81</v>
      </c>
      <c r="AQ84" s="71">
        <v>7.9498823711849153E-5</v>
      </c>
      <c r="AR84" s="79"/>
      <c r="AS84" s="73">
        <v>3022</v>
      </c>
      <c r="AT84" s="72">
        <v>4762</v>
      </c>
      <c r="AU84" s="71">
        <v>4.5116357948371049E-3</v>
      </c>
    </row>
    <row r="85" spans="4:47" s="62" customFormat="1" ht="15.75">
      <c r="D85" s="1"/>
      <c r="E85" s="1"/>
      <c r="F85" s="1"/>
      <c r="G85" s="1"/>
      <c r="H85" s="1"/>
      <c r="I85" s="1"/>
      <c r="K85" s="1"/>
      <c r="M85" s="16"/>
      <c r="O85" s="16"/>
      <c r="Q85" s="1"/>
      <c r="S85" s="16"/>
      <c r="U85" s="16"/>
      <c r="W85" s="1"/>
      <c r="Y85" s="16"/>
      <c r="AA85" s="16"/>
      <c r="AC85" s="1"/>
      <c r="AE85" s="16"/>
      <c r="AG85" s="16"/>
      <c r="AI85" s="1"/>
      <c r="AO85" s="73">
        <v>4100</v>
      </c>
      <c r="AP85" s="72">
        <v>188</v>
      </c>
      <c r="AQ85" s="71">
        <v>1.8451578836824246E-4</v>
      </c>
      <c r="AR85" s="79"/>
      <c r="AS85" s="73">
        <v>3023</v>
      </c>
      <c r="AT85" s="72">
        <v>8536</v>
      </c>
      <c r="AU85" s="71">
        <v>8.0872161160708781E-3</v>
      </c>
    </row>
    <row r="86" spans="4:47" s="62" customFormat="1" ht="15.75">
      <c r="D86" s="1"/>
      <c r="E86" s="1"/>
      <c r="F86" s="1"/>
      <c r="G86" s="1"/>
      <c r="H86" s="1"/>
      <c r="I86" s="1"/>
      <c r="K86" s="1"/>
      <c r="M86" s="16"/>
      <c r="O86" s="16"/>
      <c r="Q86" s="1"/>
      <c r="S86" s="16"/>
      <c r="U86" s="16"/>
      <c r="W86" s="1"/>
      <c r="Y86" s="16"/>
      <c r="AA86" s="16"/>
      <c r="AC86" s="1"/>
      <c r="AE86" s="16"/>
      <c r="AG86" s="16"/>
      <c r="AI86" s="1"/>
      <c r="AO86" s="73">
        <v>4105</v>
      </c>
      <c r="AP86" s="72">
        <v>17</v>
      </c>
      <c r="AQ86" s="71">
        <v>1.6684938309894265E-5</v>
      </c>
      <c r="AR86" s="79"/>
      <c r="AS86" s="73">
        <v>3024</v>
      </c>
      <c r="AT86" s="72">
        <v>4397</v>
      </c>
      <c r="AU86" s="71">
        <v>4.1658258273621898E-3</v>
      </c>
    </row>
    <row r="87" spans="4:47" s="62" customFormat="1" ht="15.75">
      <c r="D87" s="1"/>
      <c r="E87" s="1"/>
      <c r="F87" s="1"/>
      <c r="G87" s="1"/>
      <c r="H87" s="1"/>
      <c r="I87" s="1"/>
      <c r="K87" s="1"/>
      <c r="M87" s="16"/>
      <c r="O87" s="16"/>
      <c r="Q87" s="1"/>
      <c r="S87" s="16"/>
      <c r="U87" s="16"/>
      <c r="W87" s="1"/>
      <c r="Y87" s="16"/>
      <c r="AA87" s="16"/>
      <c r="AC87" s="1"/>
      <c r="AE87" s="16"/>
      <c r="AG87" s="16"/>
      <c r="AI87" s="1"/>
      <c r="AO87" s="73">
        <v>4110</v>
      </c>
      <c r="AP87" s="72">
        <v>13734</v>
      </c>
      <c r="AQ87" s="71">
        <v>1.3479467220475756E-2</v>
      </c>
      <c r="AR87" s="79"/>
      <c r="AS87" s="73">
        <v>3025</v>
      </c>
      <c r="AT87" s="72">
        <v>988</v>
      </c>
      <c r="AU87" s="71">
        <v>9.3605547360333036E-4</v>
      </c>
    </row>
    <row r="88" spans="4:47" s="62" customFormat="1" ht="15.75">
      <c r="D88" s="1"/>
      <c r="E88" s="1"/>
      <c r="F88" s="1"/>
      <c r="G88" s="1"/>
      <c r="H88" s="1"/>
      <c r="I88" s="1"/>
      <c r="K88" s="1"/>
      <c r="M88" s="16"/>
      <c r="O88" s="16"/>
      <c r="Q88" s="1"/>
      <c r="S88" s="16"/>
      <c r="U88" s="16"/>
      <c r="W88" s="1"/>
      <c r="Y88" s="16"/>
      <c r="AA88" s="16"/>
      <c r="AC88" s="1"/>
      <c r="AE88" s="16"/>
      <c r="AG88" s="16"/>
      <c r="AI88" s="1"/>
      <c r="AO88" s="73">
        <v>4120</v>
      </c>
      <c r="AP88" s="72">
        <v>27724</v>
      </c>
      <c r="AQ88" s="71">
        <v>2.7210189982559332E-2</v>
      </c>
      <c r="AR88" s="79"/>
      <c r="AS88" s="73">
        <v>4008</v>
      </c>
      <c r="AT88" s="72">
        <v>0</v>
      </c>
      <c r="AU88" s="71">
        <v>0</v>
      </c>
    </row>
    <row r="89" spans="4:47" s="62" customFormat="1" ht="15.75">
      <c r="D89" s="1"/>
      <c r="E89" s="1"/>
      <c r="F89" s="1"/>
      <c r="G89" s="1"/>
      <c r="H89" s="1"/>
      <c r="I89" s="1"/>
      <c r="K89" s="1"/>
      <c r="M89" s="16"/>
      <c r="O89" s="16"/>
      <c r="Q89" s="1"/>
      <c r="S89" s="16"/>
      <c r="U89" s="16"/>
      <c r="W89" s="1"/>
      <c r="Y89" s="16"/>
      <c r="AA89" s="16"/>
      <c r="AC89" s="1"/>
      <c r="AE89" s="16"/>
      <c r="AG89" s="16"/>
      <c r="AI89" s="1"/>
      <c r="AO89" s="73">
        <v>4130</v>
      </c>
      <c r="AP89" s="72">
        <v>11602</v>
      </c>
      <c r="AQ89" s="71">
        <v>1.1386979663023135E-2</v>
      </c>
      <c r="AR89" s="79"/>
      <c r="AS89" s="73">
        <v>4009</v>
      </c>
      <c r="AT89" s="72">
        <v>0</v>
      </c>
      <c r="AU89" s="71">
        <v>0</v>
      </c>
    </row>
    <row r="90" spans="4:47" s="62" customFormat="1" ht="15.75">
      <c r="D90" s="1"/>
      <c r="E90" s="1"/>
      <c r="F90" s="1"/>
      <c r="G90" s="1"/>
      <c r="H90" s="1"/>
      <c r="I90" s="1"/>
      <c r="K90" s="1"/>
      <c r="M90" s="16"/>
      <c r="O90" s="16"/>
      <c r="Q90" s="1"/>
      <c r="S90" s="16"/>
      <c r="U90" s="16"/>
      <c r="W90" s="1"/>
      <c r="Y90" s="16"/>
      <c r="AA90" s="16"/>
      <c r="AC90" s="1"/>
      <c r="AE90" s="16"/>
      <c r="AG90" s="16"/>
      <c r="AI90" s="1"/>
      <c r="AO90" s="73">
        <v>4140</v>
      </c>
      <c r="AP90" s="72">
        <v>5133</v>
      </c>
      <c r="AQ90" s="71">
        <v>5.0378699026286632E-3</v>
      </c>
      <c r="AR90" s="79"/>
      <c r="AS90" s="73">
        <v>4010</v>
      </c>
      <c r="AT90" s="72">
        <v>0</v>
      </c>
      <c r="AU90" s="71">
        <v>0</v>
      </c>
    </row>
    <row r="91" spans="4:47" s="62" customFormat="1" ht="15.75">
      <c r="D91" s="1"/>
      <c r="E91" s="1"/>
      <c r="F91" s="1"/>
      <c r="G91" s="1"/>
      <c r="H91" s="1"/>
      <c r="I91" s="1"/>
      <c r="K91" s="1"/>
      <c r="M91" s="16"/>
      <c r="O91" s="16"/>
      <c r="Q91" s="1"/>
      <c r="S91" s="16"/>
      <c r="U91" s="16"/>
      <c r="W91" s="1"/>
      <c r="Y91" s="16"/>
      <c r="AA91" s="16"/>
      <c r="AC91" s="1"/>
      <c r="AE91" s="16"/>
      <c r="AG91" s="16"/>
      <c r="AI91" s="1"/>
      <c r="AO91" s="73">
        <v>4150</v>
      </c>
      <c r="AP91" s="72">
        <v>90</v>
      </c>
      <c r="AQ91" s="71">
        <v>8.8332026346499059E-5</v>
      </c>
      <c r="AR91" s="79"/>
      <c r="AS91" s="73">
        <v>4012</v>
      </c>
      <c r="AT91" s="72">
        <v>0</v>
      </c>
      <c r="AU91" s="71">
        <v>0</v>
      </c>
    </row>
    <row r="92" spans="4:47" s="62" customFormat="1" ht="15.75">
      <c r="D92" s="1"/>
      <c r="E92" s="1"/>
      <c r="F92" s="1"/>
      <c r="G92" s="1"/>
      <c r="H92" s="1"/>
      <c r="I92" s="1"/>
      <c r="K92" s="1"/>
      <c r="M92" s="16"/>
      <c r="O92" s="16"/>
      <c r="Q92" s="1"/>
      <c r="S92" s="16"/>
      <c r="U92" s="16"/>
      <c r="W92" s="1"/>
      <c r="Y92" s="16"/>
      <c r="AA92" s="16"/>
      <c r="AC92" s="1"/>
      <c r="AE92" s="16"/>
      <c r="AG92" s="16"/>
      <c r="AI92" s="1"/>
      <c r="AO92" s="73">
        <v>5411</v>
      </c>
      <c r="AP92" s="72">
        <v>13748</v>
      </c>
      <c r="AQ92" s="71">
        <v>1.3493207757907433E-2</v>
      </c>
      <c r="AR92" s="79"/>
      <c r="AS92" s="73">
        <v>4013</v>
      </c>
      <c r="AT92" s="72">
        <v>0</v>
      </c>
      <c r="AU92" s="71">
        <v>0</v>
      </c>
    </row>
    <row r="93" spans="4:47" s="62" customFormat="1" ht="15.75">
      <c r="D93" s="1"/>
      <c r="E93" s="1"/>
      <c r="F93" s="1"/>
      <c r="G93" s="1"/>
      <c r="H93" s="1"/>
      <c r="I93" s="1"/>
      <c r="K93" s="1"/>
      <c r="M93" s="16"/>
      <c r="O93" s="16"/>
      <c r="Q93" s="1"/>
      <c r="S93" s="16"/>
      <c r="U93" s="16"/>
      <c r="W93" s="1"/>
      <c r="Y93" s="16"/>
      <c r="AA93" s="16"/>
      <c r="AC93" s="1"/>
      <c r="AE93" s="16"/>
      <c r="AG93" s="16"/>
      <c r="AI93" s="1"/>
      <c r="AO93" s="73">
        <v>5412</v>
      </c>
      <c r="AP93" s="72">
        <v>9302</v>
      </c>
      <c r="AQ93" s="71">
        <v>9.1296056563903803E-3</v>
      </c>
      <c r="AR93" s="79"/>
      <c r="AS93" s="73">
        <v>4014</v>
      </c>
      <c r="AT93" s="72">
        <v>5367</v>
      </c>
      <c r="AU93" s="71">
        <v>5.0848276587338809E-3</v>
      </c>
    </row>
    <row r="94" spans="4:47" s="62" customFormat="1" ht="15.75">
      <c r="D94" s="1"/>
      <c r="E94" s="1"/>
      <c r="F94" s="1"/>
      <c r="G94" s="1"/>
      <c r="H94" s="1"/>
      <c r="I94" s="1"/>
      <c r="K94" s="1"/>
      <c r="M94" s="16"/>
      <c r="O94" s="16"/>
      <c r="Q94" s="1"/>
      <c r="S94" s="16"/>
      <c r="U94" s="16"/>
      <c r="W94" s="1"/>
      <c r="Y94" s="16"/>
      <c r="AA94" s="16"/>
      <c r="AC94" s="1"/>
      <c r="AE94" s="16"/>
      <c r="AG94" s="16"/>
      <c r="AI94" s="1"/>
      <c r="AO94" s="73">
        <v>5414</v>
      </c>
      <c r="AP94" s="72">
        <v>6</v>
      </c>
      <c r="AQ94" s="71">
        <v>5.8888017564332703E-6</v>
      </c>
      <c r="AR94" s="79"/>
      <c r="AS94" s="73">
        <v>4016</v>
      </c>
      <c r="AT94" s="72">
        <v>48</v>
      </c>
      <c r="AU94" s="71">
        <v>4.5476379284372325E-5</v>
      </c>
    </row>
    <row r="95" spans="4:47" s="62" customFormat="1" ht="15.75">
      <c r="D95" s="1"/>
      <c r="E95" s="1"/>
      <c r="F95" s="1"/>
      <c r="G95" s="1"/>
      <c r="H95" s="1"/>
      <c r="I95" s="1"/>
      <c r="K95" s="1"/>
      <c r="M95" s="16"/>
      <c r="O95" s="16"/>
      <c r="Q95" s="1"/>
      <c r="S95" s="16"/>
      <c r="U95" s="16"/>
      <c r="W95" s="1"/>
      <c r="Y95" s="16"/>
      <c r="AA95" s="16"/>
      <c r="AC95" s="1"/>
      <c r="AE95" s="16"/>
      <c r="AG95" s="16"/>
      <c r="AI95" s="1"/>
      <c r="AO95" s="76"/>
      <c r="AP95" s="75"/>
      <c r="AQ95" s="78">
        <v>0.99999999999999989</v>
      </c>
      <c r="AR95" s="77"/>
      <c r="AS95" s="73">
        <v>4018</v>
      </c>
      <c r="AT95" s="72">
        <v>14782</v>
      </c>
      <c r="AU95" s="71">
        <v>1.4004829970449828E-2</v>
      </c>
    </row>
    <row r="96" spans="4:47" s="62" customFormat="1" ht="15.75">
      <c r="D96" s="1"/>
      <c r="E96" s="1"/>
      <c r="F96" s="1"/>
      <c r="G96" s="1"/>
      <c r="H96" s="1"/>
      <c r="I96" s="1"/>
      <c r="K96" s="1"/>
      <c r="M96" s="16"/>
      <c r="O96" s="16"/>
      <c r="Q96" s="1"/>
      <c r="S96" s="16"/>
      <c r="U96" s="16"/>
      <c r="W96" s="1"/>
      <c r="Y96" s="16"/>
      <c r="AA96" s="16"/>
      <c r="AC96" s="1"/>
      <c r="AE96" s="16"/>
      <c r="AG96" s="16"/>
      <c r="AI96" s="1"/>
      <c r="AO96" s="76"/>
      <c r="AP96" s="75">
        <v>1018883</v>
      </c>
      <c r="AQ96" s="75"/>
      <c r="AR96" s="74"/>
      <c r="AS96" s="73">
        <v>4019</v>
      </c>
      <c r="AT96" s="72">
        <v>77</v>
      </c>
      <c r="AU96" s="71">
        <v>7.2951691768680601E-5</v>
      </c>
    </row>
    <row r="97" spans="4:47" s="62" customFormat="1" ht="15.75">
      <c r="D97" s="1"/>
      <c r="E97" s="1"/>
      <c r="F97" s="1"/>
      <c r="G97" s="1"/>
      <c r="H97" s="1"/>
      <c r="I97" s="1"/>
      <c r="K97" s="1"/>
      <c r="M97" s="16"/>
      <c r="O97" s="16"/>
      <c r="Q97" s="1"/>
      <c r="S97" s="16"/>
      <c r="U97" s="16"/>
      <c r="W97" s="1"/>
      <c r="Y97" s="16"/>
      <c r="AA97" s="16"/>
      <c r="AC97" s="1"/>
      <c r="AE97" s="16"/>
      <c r="AG97" s="16"/>
      <c r="AI97" s="1"/>
      <c r="AO97" s="76"/>
      <c r="AP97" s="75"/>
      <c r="AQ97" s="75"/>
      <c r="AR97" s="74"/>
      <c r="AS97" s="73">
        <v>4020</v>
      </c>
      <c r="AT97" s="72">
        <v>59683</v>
      </c>
      <c r="AU97" s="71">
        <v>5.6545140517274863E-2</v>
      </c>
    </row>
    <row r="98" spans="4:47" s="62" customFormat="1" ht="15.75">
      <c r="D98" s="1"/>
      <c r="E98" s="1"/>
      <c r="F98" s="1"/>
      <c r="G98" s="1"/>
      <c r="H98" s="1"/>
      <c r="I98" s="1"/>
      <c r="K98" s="1"/>
      <c r="M98" s="16"/>
      <c r="O98" s="16"/>
      <c r="Q98" s="1"/>
      <c r="S98" s="16"/>
      <c r="U98" s="16"/>
      <c r="W98" s="1"/>
      <c r="Y98" s="16"/>
      <c r="AA98" s="16"/>
      <c r="AC98" s="1"/>
      <c r="AE98" s="16"/>
      <c r="AG98" s="16"/>
      <c r="AI98" s="1"/>
      <c r="AS98" s="73">
        <v>4021</v>
      </c>
      <c r="AT98" s="72">
        <v>163</v>
      </c>
      <c r="AU98" s="71">
        <v>1.5443020465318104E-4</v>
      </c>
    </row>
    <row r="99" spans="4:47" s="62" customFormat="1" ht="15.75">
      <c r="D99" s="1"/>
      <c r="E99" s="1"/>
      <c r="F99" s="1"/>
      <c r="G99" s="1"/>
      <c r="H99" s="1"/>
      <c r="I99" s="1"/>
      <c r="K99" s="1"/>
      <c r="M99" s="16"/>
      <c r="O99" s="16"/>
      <c r="Q99" s="1"/>
      <c r="S99" s="16"/>
      <c r="U99" s="16"/>
      <c r="W99" s="1"/>
      <c r="Y99" s="16"/>
      <c r="AA99" s="16"/>
      <c r="AC99" s="1"/>
      <c r="AE99" s="16"/>
      <c r="AG99" s="16"/>
      <c r="AI99" s="1"/>
      <c r="AS99" s="73">
        <v>4022</v>
      </c>
      <c r="AT99" s="72">
        <v>0</v>
      </c>
      <c r="AU99" s="71">
        <v>0</v>
      </c>
    </row>
    <row r="100" spans="4:47" s="62" customFormat="1" ht="15.75">
      <c r="D100" s="1"/>
      <c r="E100" s="1"/>
      <c r="F100" s="1"/>
      <c r="G100" s="1"/>
      <c r="H100" s="1"/>
      <c r="I100" s="1"/>
      <c r="K100" s="1"/>
      <c r="M100" s="16"/>
      <c r="O100" s="16"/>
      <c r="Q100" s="1"/>
      <c r="S100" s="16"/>
      <c r="U100" s="16"/>
      <c r="W100" s="1"/>
      <c r="Y100" s="16"/>
      <c r="AA100" s="16"/>
      <c r="AC100" s="1"/>
      <c r="AE100" s="16"/>
      <c r="AG100" s="16"/>
      <c r="AI100" s="1"/>
      <c r="AS100" s="73">
        <v>4025</v>
      </c>
      <c r="AT100" s="72">
        <v>0</v>
      </c>
      <c r="AU100" s="71">
        <v>0</v>
      </c>
    </row>
    <row r="101" spans="4:47" s="62" customFormat="1" ht="15.75">
      <c r="D101" s="1"/>
      <c r="E101" s="1"/>
      <c r="F101" s="1"/>
      <c r="G101" s="1"/>
      <c r="H101" s="1"/>
      <c r="I101" s="1"/>
      <c r="K101" s="1"/>
      <c r="M101" s="16"/>
      <c r="O101" s="16"/>
      <c r="Q101" s="1"/>
      <c r="S101" s="16"/>
      <c r="U101" s="16"/>
      <c r="W101" s="1"/>
      <c r="Y101" s="16"/>
      <c r="AA101" s="16"/>
      <c r="AC101" s="1"/>
      <c r="AE101" s="16"/>
      <c r="AG101" s="16"/>
      <c r="AI101" s="1"/>
      <c r="AS101" s="73">
        <v>4030</v>
      </c>
      <c r="AT101" s="72">
        <v>44733</v>
      </c>
      <c r="AU101" s="71">
        <v>4.2381143219329738E-2</v>
      </c>
    </row>
    <row r="102" spans="4:47" s="62" customFormat="1" ht="15.75">
      <c r="D102" s="1"/>
      <c r="E102" s="1"/>
      <c r="F102" s="1"/>
      <c r="G102" s="1"/>
      <c r="H102" s="1"/>
      <c r="I102" s="1"/>
      <c r="K102" s="1"/>
      <c r="M102" s="16"/>
      <c r="O102" s="16"/>
      <c r="Q102" s="1"/>
      <c r="S102" s="16"/>
      <c r="U102" s="16"/>
      <c r="W102" s="1"/>
      <c r="Y102" s="16"/>
      <c r="AA102" s="16"/>
      <c r="AC102" s="1"/>
      <c r="AE102" s="16"/>
      <c r="AG102" s="16"/>
      <c r="AI102" s="1"/>
      <c r="AS102" s="73">
        <v>4031</v>
      </c>
      <c r="AT102" s="72">
        <v>184</v>
      </c>
      <c r="AU102" s="71">
        <v>1.7432612059009391E-4</v>
      </c>
    </row>
    <row r="103" spans="4:47" s="62" customFormat="1" ht="15.75">
      <c r="D103" s="1"/>
      <c r="E103" s="1"/>
      <c r="F103" s="1"/>
      <c r="G103" s="1"/>
      <c r="H103" s="1"/>
      <c r="I103" s="1"/>
      <c r="K103" s="1"/>
      <c r="M103" s="16"/>
      <c r="O103" s="16"/>
      <c r="Q103" s="1"/>
      <c r="S103" s="16"/>
      <c r="U103" s="16"/>
      <c r="W103" s="1"/>
      <c r="Y103" s="16"/>
      <c r="AA103" s="16"/>
      <c r="AC103" s="1"/>
      <c r="AE103" s="16"/>
      <c r="AG103" s="16"/>
      <c r="AI103" s="1"/>
      <c r="AS103" s="73">
        <v>4040</v>
      </c>
      <c r="AT103" s="72">
        <v>310</v>
      </c>
      <c r="AU103" s="71">
        <v>2.937016162115713E-4</v>
      </c>
    </row>
    <row r="104" spans="4:47" s="62" customFormat="1" ht="15.75">
      <c r="D104" s="1"/>
      <c r="E104" s="1"/>
      <c r="F104" s="1"/>
      <c r="G104" s="1"/>
      <c r="H104" s="1"/>
      <c r="I104" s="1"/>
      <c r="K104" s="1"/>
      <c r="M104" s="16"/>
      <c r="O104" s="16"/>
      <c r="Q104" s="1"/>
      <c r="S104" s="16"/>
      <c r="U104" s="16"/>
      <c r="W104" s="1"/>
      <c r="Y104" s="16"/>
      <c r="AA104" s="16"/>
      <c r="AC104" s="1"/>
      <c r="AE104" s="16"/>
      <c r="AG104" s="16"/>
      <c r="AI104" s="1"/>
      <c r="AS104" s="73">
        <v>4050</v>
      </c>
      <c r="AT104" s="72">
        <v>137</v>
      </c>
      <c r="AU104" s="71">
        <v>1.2979716587414601E-4</v>
      </c>
    </row>
    <row r="105" spans="4:47" s="62" customFormat="1" ht="15.75">
      <c r="D105" s="1"/>
      <c r="E105" s="1"/>
      <c r="F105" s="1"/>
      <c r="G105" s="1"/>
      <c r="H105" s="1"/>
      <c r="I105" s="1"/>
      <c r="K105" s="1"/>
      <c r="M105" s="16"/>
      <c r="O105" s="16"/>
      <c r="Q105" s="1"/>
      <c r="S105" s="16"/>
      <c r="U105" s="16"/>
      <c r="W105" s="1"/>
      <c r="Y105" s="16"/>
      <c r="AA105" s="16"/>
      <c r="AC105" s="1"/>
      <c r="AE105" s="16"/>
      <c r="AG105" s="16"/>
      <c r="AI105" s="1"/>
      <c r="AS105" s="73">
        <v>4100</v>
      </c>
      <c r="AT105" s="72">
        <v>207</v>
      </c>
      <c r="AU105" s="71">
        <v>1.9611688566385565E-4</v>
      </c>
    </row>
    <row r="106" spans="4:47" s="62" customFormat="1" ht="15.75">
      <c r="D106" s="1"/>
      <c r="E106" s="1"/>
      <c r="F106" s="1"/>
      <c r="G106" s="1"/>
      <c r="H106" s="1"/>
      <c r="I106" s="1"/>
      <c r="K106" s="1"/>
      <c r="M106" s="16"/>
      <c r="O106" s="16"/>
      <c r="Q106" s="1"/>
      <c r="S106" s="16"/>
      <c r="U106" s="16"/>
      <c r="W106" s="1"/>
      <c r="Y106" s="16"/>
      <c r="AA106" s="16"/>
      <c r="AC106" s="1"/>
      <c r="AE106" s="16"/>
      <c r="AG106" s="16"/>
      <c r="AI106" s="1"/>
      <c r="AS106" s="73">
        <v>4105</v>
      </c>
      <c r="AT106" s="72">
        <v>16</v>
      </c>
      <c r="AU106" s="71">
        <v>1.5158793094790775E-5</v>
      </c>
    </row>
    <row r="107" spans="4:47" s="62" customFormat="1" ht="15.75">
      <c r="D107" s="1"/>
      <c r="E107" s="1"/>
      <c r="F107" s="1"/>
      <c r="G107" s="1"/>
      <c r="H107" s="1"/>
      <c r="I107" s="1"/>
      <c r="K107" s="1"/>
      <c r="M107" s="16"/>
      <c r="O107" s="16"/>
      <c r="Q107" s="1"/>
      <c r="S107" s="16"/>
      <c r="U107" s="16"/>
      <c r="W107" s="1"/>
      <c r="Y107" s="16"/>
      <c r="AA107" s="16"/>
      <c r="AC107" s="1"/>
      <c r="AE107" s="16"/>
      <c r="AG107" s="16"/>
      <c r="AI107" s="1"/>
      <c r="AS107" s="73">
        <v>4110</v>
      </c>
      <c r="AT107" s="72">
        <v>13871</v>
      </c>
      <c r="AU107" s="71">
        <v>1.3141726188615178E-2</v>
      </c>
    </row>
    <row r="108" spans="4:47" s="62" customFormat="1" ht="15.75">
      <c r="D108" s="1"/>
      <c r="E108" s="1"/>
      <c r="F108" s="1"/>
      <c r="G108" s="1"/>
      <c r="H108" s="1"/>
      <c r="I108" s="1"/>
      <c r="K108" s="1"/>
      <c r="M108" s="16"/>
      <c r="O108" s="16"/>
      <c r="Q108" s="1"/>
      <c r="S108" s="16"/>
      <c r="U108" s="16"/>
      <c r="W108" s="1"/>
      <c r="Y108" s="16"/>
      <c r="AA108" s="16"/>
      <c r="AC108" s="1"/>
      <c r="AE108" s="16"/>
      <c r="AG108" s="16"/>
      <c r="AI108" s="1"/>
      <c r="AS108" s="73">
        <v>4120</v>
      </c>
      <c r="AT108" s="72">
        <v>28094</v>
      </c>
      <c r="AU108" s="71">
        <v>2.6616945825315753E-2</v>
      </c>
    </row>
    <row r="109" spans="4:47" s="62" customFormat="1" ht="15.75">
      <c r="D109" s="1"/>
      <c r="E109" s="1"/>
      <c r="F109" s="1"/>
      <c r="G109" s="1"/>
      <c r="H109" s="1"/>
      <c r="I109" s="1"/>
      <c r="K109" s="1"/>
      <c r="M109" s="16"/>
      <c r="O109" s="16"/>
      <c r="Q109" s="1"/>
      <c r="S109" s="16"/>
      <c r="U109" s="16"/>
      <c r="W109" s="1"/>
      <c r="Y109" s="16"/>
      <c r="AA109" s="16"/>
      <c r="AC109" s="1"/>
      <c r="AE109" s="16"/>
      <c r="AG109" s="16"/>
      <c r="AI109" s="1"/>
      <c r="AS109" s="73">
        <v>4130</v>
      </c>
      <c r="AT109" s="72">
        <v>11635</v>
      </c>
      <c r="AU109" s="71">
        <v>1.1023284853618167E-2</v>
      </c>
    </row>
    <row r="110" spans="4:47" s="62" customFormat="1" ht="15.75">
      <c r="D110" s="1"/>
      <c r="E110" s="1"/>
      <c r="F110" s="1"/>
      <c r="G110" s="1"/>
      <c r="H110" s="1"/>
      <c r="I110" s="1"/>
      <c r="K110" s="1"/>
      <c r="M110" s="16"/>
      <c r="O110" s="16"/>
      <c r="Q110" s="1"/>
      <c r="S110" s="16"/>
      <c r="U110" s="16"/>
      <c r="W110" s="1"/>
      <c r="Y110" s="16"/>
      <c r="AA110" s="16"/>
      <c r="AC110" s="1"/>
      <c r="AE110" s="16"/>
      <c r="AG110" s="16"/>
      <c r="AI110" s="1"/>
      <c r="AS110" s="73">
        <v>4140</v>
      </c>
      <c r="AT110" s="72">
        <v>5157</v>
      </c>
      <c r="AU110" s="71">
        <v>4.8858684993647516E-3</v>
      </c>
    </row>
    <row r="111" spans="4:47" s="62" customFormat="1" ht="15.75">
      <c r="D111" s="1"/>
      <c r="E111" s="1"/>
      <c r="F111" s="1"/>
      <c r="G111" s="1"/>
      <c r="H111" s="1"/>
      <c r="I111" s="1"/>
      <c r="K111" s="1"/>
      <c r="M111" s="16"/>
      <c r="O111" s="16"/>
      <c r="Q111" s="1"/>
      <c r="S111" s="16"/>
      <c r="U111" s="16"/>
      <c r="W111" s="1"/>
      <c r="Y111" s="16"/>
      <c r="AA111" s="16"/>
      <c r="AC111" s="1"/>
      <c r="AE111" s="16"/>
      <c r="AG111" s="16"/>
      <c r="AI111" s="1"/>
      <c r="AS111" s="73">
        <v>4150</v>
      </c>
      <c r="AT111" s="72">
        <v>94</v>
      </c>
      <c r="AU111" s="71">
        <v>8.9057909431895809E-5</v>
      </c>
    </row>
    <row r="112" spans="4:47" s="62" customFormat="1" ht="15.75">
      <c r="D112" s="1"/>
      <c r="E112" s="1"/>
      <c r="F112" s="1"/>
      <c r="G112" s="1"/>
      <c r="H112" s="1"/>
      <c r="I112" s="1"/>
      <c r="K112" s="1"/>
      <c r="M112" s="16"/>
      <c r="O112" s="16"/>
      <c r="Q112" s="1"/>
      <c r="S112" s="16"/>
      <c r="U112" s="16"/>
      <c r="W112" s="1"/>
      <c r="Y112" s="16"/>
      <c r="AA112" s="16"/>
      <c r="AC112" s="1"/>
      <c r="AE112" s="16"/>
      <c r="AG112" s="16"/>
      <c r="AI112" s="1"/>
      <c r="AS112" s="73">
        <v>4160</v>
      </c>
      <c r="AT112" s="72">
        <v>0</v>
      </c>
      <c r="AU112" s="71">
        <v>0</v>
      </c>
    </row>
    <row r="113" spans="4:47" s="62" customFormat="1" ht="15.75">
      <c r="D113" s="1"/>
      <c r="E113" s="1"/>
      <c r="F113" s="1"/>
      <c r="G113" s="1"/>
      <c r="H113" s="1"/>
      <c r="I113" s="1"/>
      <c r="K113" s="1"/>
      <c r="M113" s="16"/>
      <c r="O113" s="16"/>
      <c r="Q113" s="1"/>
      <c r="S113" s="16"/>
      <c r="U113" s="16"/>
      <c r="W113" s="1"/>
      <c r="Y113" s="16"/>
      <c r="AA113" s="16"/>
      <c r="AC113" s="1"/>
      <c r="AE113" s="16"/>
      <c r="AG113" s="16"/>
      <c r="AI113" s="1"/>
      <c r="AS113" s="73">
        <v>5411</v>
      </c>
      <c r="AT113" s="72">
        <v>14700</v>
      </c>
      <c r="AU113" s="71">
        <v>1.3927141155839024E-2</v>
      </c>
    </row>
    <row r="114" spans="4:47" s="62" customFormat="1" ht="15.75">
      <c r="D114" s="1"/>
      <c r="E114" s="1"/>
      <c r="F114" s="1"/>
      <c r="G114" s="1"/>
      <c r="H114" s="1"/>
      <c r="I114" s="1"/>
      <c r="K114" s="1"/>
      <c r="M114" s="16"/>
      <c r="O114" s="16"/>
      <c r="Q114" s="1"/>
      <c r="S114" s="16"/>
      <c r="U114" s="16"/>
      <c r="W114" s="1"/>
      <c r="Y114" s="16"/>
      <c r="AA114" s="16"/>
      <c r="AC114" s="1"/>
      <c r="AE114" s="16"/>
      <c r="AG114" s="16"/>
      <c r="AI114" s="1"/>
      <c r="AS114" s="73">
        <v>5412</v>
      </c>
      <c r="AT114" s="72">
        <v>9611</v>
      </c>
      <c r="AU114" s="71">
        <v>9.1056975271271347E-3</v>
      </c>
    </row>
    <row r="115" spans="4:47" s="62" customFormat="1" ht="15.75">
      <c r="D115" s="1"/>
      <c r="E115" s="1"/>
      <c r="F115" s="1"/>
      <c r="G115" s="1"/>
      <c r="H115" s="1"/>
      <c r="I115" s="1"/>
      <c r="K115" s="1"/>
      <c r="M115" s="16"/>
      <c r="O115" s="16"/>
      <c r="Q115" s="1"/>
      <c r="S115" s="16"/>
      <c r="U115" s="16"/>
      <c r="W115" s="1"/>
      <c r="Y115" s="16"/>
      <c r="AA115" s="16"/>
      <c r="AC115" s="1"/>
      <c r="AE115" s="16"/>
      <c r="AG115" s="16"/>
      <c r="AI115" s="1"/>
      <c r="AS115" s="73">
        <v>5414</v>
      </c>
      <c r="AT115" s="72">
        <v>8</v>
      </c>
      <c r="AU115" s="71">
        <v>7.5793965473953874E-6</v>
      </c>
    </row>
    <row r="116" spans="4:47" s="62" customFormat="1" ht="15.75">
      <c r="D116" s="1"/>
      <c r="E116" s="1"/>
      <c r="F116" s="1"/>
      <c r="G116" s="1"/>
      <c r="H116" s="1"/>
      <c r="I116" s="1"/>
      <c r="K116" s="1"/>
      <c r="M116" s="16"/>
      <c r="O116" s="16"/>
      <c r="Q116" s="1"/>
      <c r="S116" s="16"/>
      <c r="U116" s="16"/>
      <c r="W116" s="1"/>
      <c r="Y116" s="16"/>
      <c r="AA116" s="16"/>
      <c r="AC116" s="1"/>
      <c r="AE116" s="16"/>
      <c r="AG116" s="16"/>
      <c r="AI116" s="1"/>
      <c r="AS116" s="73" t="s">
        <v>343</v>
      </c>
      <c r="AT116" s="72">
        <v>1055493</v>
      </c>
      <c r="AU116" s="71">
        <v>1.0000000000000002</v>
      </c>
    </row>
    <row r="117" spans="4:47" s="62" customFormat="1" ht="15.75">
      <c r="D117" s="1"/>
      <c r="E117" s="1"/>
      <c r="F117" s="1"/>
      <c r="G117" s="1"/>
      <c r="H117" s="1"/>
      <c r="I117" s="1"/>
      <c r="K117" s="1"/>
      <c r="M117" s="16"/>
      <c r="O117" s="16"/>
      <c r="Q117" s="1"/>
      <c r="S117" s="16"/>
      <c r="U117" s="16"/>
      <c r="W117" s="1"/>
      <c r="Y117" s="16"/>
      <c r="AA117" s="16"/>
      <c r="AC117" s="1"/>
      <c r="AE117" s="16"/>
      <c r="AG117" s="16"/>
      <c r="AI117" s="1"/>
      <c r="AS117" s="73" t="s">
        <v>342</v>
      </c>
      <c r="AT117" s="72">
        <v>0</v>
      </c>
      <c r="AU117" s="71"/>
    </row>
    <row r="118" spans="4:47" s="62" customFormat="1" ht="15">
      <c r="D118" s="1"/>
      <c r="E118" s="1"/>
      <c r="F118" s="1"/>
      <c r="G118" s="1"/>
      <c r="H118" s="1"/>
      <c r="I118" s="1"/>
      <c r="K118" s="1"/>
      <c r="M118" s="16"/>
      <c r="O118" s="16"/>
      <c r="Q118" s="1"/>
      <c r="S118" s="16"/>
      <c r="U118" s="16"/>
      <c r="W118" s="1"/>
      <c r="Y118" s="16"/>
      <c r="AA118" s="16"/>
      <c r="AC118" s="1"/>
      <c r="AE118" s="16"/>
      <c r="AG118" s="16"/>
      <c r="AI118" s="1"/>
    </row>
    <row r="119" spans="4:47" s="62" customFormat="1" ht="15">
      <c r="D119" s="1"/>
      <c r="E119" s="1"/>
      <c r="F119" s="1"/>
      <c r="G119" s="1"/>
      <c r="H119" s="1"/>
      <c r="I119" s="1"/>
      <c r="K119" s="1"/>
      <c r="M119" s="16"/>
      <c r="O119" s="16"/>
      <c r="Q119" s="1"/>
      <c r="S119" s="16"/>
      <c r="U119" s="16"/>
      <c r="W119" s="1"/>
      <c r="Y119" s="16"/>
      <c r="AA119" s="16"/>
      <c r="AC119" s="1"/>
      <c r="AE119" s="16"/>
      <c r="AG119" s="16"/>
      <c r="AI119" s="1"/>
    </row>
    <row r="120" spans="4:47" s="62" customFormat="1" ht="15">
      <c r="D120" s="1"/>
      <c r="E120" s="1"/>
      <c r="F120" s="1"/>
      <c r="G120" s="1"/>
      <c r="H120" s="1"/>
      <c r="I120" s="1"/>
      <c r="K120" s="1"/>
      <c r="M120" s="16"/>
      <c r="O120" s="16"/>
      <c r="Q120" s="1"/>
      <c r="S120" s="16"/>
      <c r="U120" s="16"/>
      <c r="W120" s="1"/>
      <c r="Y120" s="16"/>
      <c r="AA120" s="16"/>
      <c r="AC120" s="1"/>
      <c r="AE120" s="16"/>
      <c r="AG120" s="16"/>
      <c r="AI120" s="1"/>
    </row>
    <row r="121" spans="4:47" s="62" customFormat="1" ht="15">
      <c r="D121" s="1"/>
      <c r="E121" s="1"/>
      <c r="F121" s="1"/>
      <c r="G121" s="1"/>
      <c r="H121" s="1"/>
      <c r="I121" s="1"/>
      <c r="K121" s="1"/>
      <c r="M121" s="16"/>
      <c r="O121" s="16"/>
      <c r="Q121" s="1"/>
      <c r="S121" s="16"/>
      <c r="U121" s="16"/>
      <c r="W121" s="1"/>
      <c r="Y121" s="16"/>
      <c r="AA121" s="16"/>
      <c r="AC121" s="1"/>
      <c r="AE121" s="16"/>
      <c r="AG121" s="16"/>
      <c r="AI121" s="1"/>
    </row>
    <row r="122" spans="4:47" s="62" customFormat="1" ht="15">
      <c r="D122" s="1"/>
      <c r="E122" s="1"/>
      <c r="F122" s="1"/>
      <c r="G122" s="1"/>
      <c r="H122" s="1"/>
      <c r="I122" s="1"/>
      <c r="K122" s="1"/>
      <c r="M122" s="16"/>
      <c r="O122" s="16"/>
      <c r="Q122" s="1"/>
      <c r="S122" s="16"/>
      <c r="U122" s="16"/>
      <c r="W122" s="1"/>
      <c r="Y122" s="16"/>
      <c r="AA122" s="16"/>
      <c r="AC122" s="1"/>
      <c r="AE122" s="16"/>
      <c r="AG122" s="16"/>
      <c r="AI122" s="1"/>
    </row>
    <row r="123" spans="4:47" s="62" customFormat="1" ht="15">
      <c r="D123" s="1"/>
      <c r="E123" s="1"/>
      <c r="F123" s="1"/>
      <c r="G123" s="1"/>
      <c r="H123" s="1"/>
      <c r="I123" s="1"/>
      <c r="K123" s="1"/>
      <c r="M123" s="16"/>
      <c r="O123" s="16"/>
      <c r="Q123" s="1"/>
      <c r="S123" s="16"/>
      <c r="U123" s="16"/>
      <c r="W123" s="1"/>
      <c r="Y123" s="16"/>
      <c r="AA123" s="16"/>
      <c r="AC123" s="1"/>
      <c r="AE123" s="16"/>
      <c r="AG123" s="16"/>
      <c r="AI123" s="1"/>
    </row>
    <row r="124" spans="4:47" s="62" customFormat="1" ht="15">
      <c r="D124" s="1"/>
      <c r="E124" s="1"/>
      <c r="F124" s="1"/>
      <c r="G124" s="1"/>
      <c r="H124" s="1"/>
      <c r="I124" s="1"/>
      <c r="K124" s="1"/>
      <c r="M124" s="16"/>
      <c r="O124" s="16"/>
      <c r="Q124" s="1"/>
      <c r="S124" s="16"/>
      <c r="U124" s="16"/>
      <c r="W124" s="1"/>
      <c r="Y124" s="16"/>
      <c r="AA124" s="16"/>
      <c r="AC124" s="1"/>
      <c r="AE124" s="16"/>
      <c r="AG124" s="16"/>
      <c r="AI124" s="1"/>
    </row>
    <row r="125" spans="4:47" s="62" customFormat="1" ht="15">
      <c r="D125" s="1"/>
      <c r="E125" s="1"/>
      <c r="F125" s="1"/>
      <c r="G125" s="1"/>
      <c r="H125" s="1"/>
      <c r="I125" s="1"/>
      <c r="K125" s="1"/>
      <c r="M125" s="16"/>
      <c r="O125" s="16"/>
      <c r="Q125" s="1"/>
      <c r="S125" s="16"/>
      <c r="U125" s="16"/>
      <c r="W125" s="1"/>
      <c r="Y125" s="16"/>
      <c r="AA125" s="16"/>
      <c r="AC125" s="1"/>
      <c r="AE125" s="16"/>
      <c r="AG125" s="16"/>
      <c r="AI125" s="1"/>
    </row>
    <row r="126" spans="4:47" s="62" customFormat="1" ht="15">
      <c r="D126" s="1"/>
      <c r="E126" s="1"/>
      <c r="F126" s="1"/>
      <c r="G126" s="1"/>
      <c r="H126" s="1"/>
      <c r="I126" s="1"/>
      <c r="K126" s="1"/>
      <c r="M126" s="16"/>
      <c r="O126" s="16"/>
      <c r="Q126" s="1"/>
      <c r="S126" s="16"/>
      <c r="U126" s="16"/>
      <c r="W126" s="1"/>
      <c r="Y126" s="16"/>
      <c r="AA126" s="16"/>
      <c r="AC126" s="1"/>
      <c r="AE126" s="16"/>
      <c r="AG126" s="16"/>
      <c r="AI126" s="1"/>
    </row>
    <row r="127" spans="4:47" s="62" customFormat="1" ht="15">
      <c r="D127" s="1"/>
      <c r="E127" s="1"/>
      <c r="F127" s="1"/>
      <c r="G127" s="1"/>
      <c r="H127" s="1"/>
      <c r="I127" s="1"/>
      <c r="K127" s="1"/>
      <c r="M127" s="16"/>
      <c r="O127" s="16"/>
      <c r="Q127" s="1"/>
      <c r="S127" s="16"/>
      <c r="U127" s="16"/>
      <c r="W127" s="1"/>
      <c r="Y127" s="16"/>
      <c r="AA127" s="16"/>
      <c r="AC127" s="1"/>
      <c r="AE127" s="16"/>
      <c r="AG127" s="16"/>
      <c r="AI127" s="1"/>
    </row>
    <row r="128" spans="4:47" s="62" customFormat="1" ht="15">
      <c r="D128" s="1"/>
      <c r="E128" s="1"/>
      <c r="F128" s="1"/>
      <c r="G128" s="1"/>
      <c r="H128" s="1"/>
      <c r="I128" s="1"/>
      <c r="K128" s="1"/>
      <c r="M128" s="16"/>
      <c r="O128" s="16"/>
      <c r="Q128" s="1"/>
      <c r="S128" s="16"/>
      <c r="U128" s="16"/>
      <c r="W128" s="1"/>
      <c r="Y128" s="16"/>
      <c r="AA128" s="16"/>
      <c r="AC128" s="1"/>
      <c r="AE128" s="16"/>
      <c r="AG128" s="16"/>
      <c r="AI128" s="1"/>
    </row>
    <row r="129" spans="4:35" s="62" customFormat="1" ht="15">
      <c r="D129" s="1"/>
      <c r="E129" s="1"/>
      <c r="F129" s="1"/>
      <c r="G129" s="1"/>
      <c r="H129" s="1"/>
      <c r="I129" s="1"/>
      <c r="K129" s="1"/>
      <c r="M129" s="16"/>
      <c r="O129" s="16"/>
      <c r="Q129" s="1"/>
      <c r="S129" s="16"/>
      <c r="U129" s="16"/>
      <c r="W129" s="1"/>
      <c r="Y129" s="16"/>
      <c r="AA129" s="16"/>
      <c r="AC129" s="1"/>
      <c r="AE129" s="16"/>
      <c r="AG129" s="16"/>
      <c r="AI129" s="1"/>
    </row>
    <row r="130" spans="4:35" s="62" customFormat="1" ht="15">
      <c r="D130" s="1"/>
      <c r="E130" s="1"/>
      <c r="F130" s="1"/>
      <c r="G130" s="1"/>
      <c r="H130" s="1"/>
      <c r="I130" s="1"/>
      <c r="K130" s="1"/>
      <c r="M130" s="16"/>
      <c r="O130" s="16"/>
      <c r="Q130" s="1"/>
      <c r="S130" s="16"/>
      <c r="U130" s="16"/>
      <c r="W130" s="1"/>
      <c r="Y130" s="16"/>
      <c r="AA130" s="16"/>
      <c r="AC130" s="1"/>
      <c r="AE130" s="16"/>
      <c r="AG130" s="16"/>
      <c r="AI130" s="1"/>
    </row>
    <row r="131" spans="4:35" s="62" customFormat="1" ht="15">
      <c r="D131" s="1"/>
      <c r="E131" s="1"/>
      <c r="F131" s="1"/>
      <c r="G131" s="1"/>
      <c r="H131" s="1"/>
      <c r="I131" s="1"/>
      <c r="K131" s="1"/>
      <c r="M131" s="16"/>
      <c r="O131" s="16"/>
      <c r="Q131" s="1"/>
      <c r="S131" s="16"/>
      <c r="U131" s="16"/>
      <c r="W131" s="1"/>
      <c r="Y131" s="16"/>
      <c r="AA131" s="16"/>
      <c r="AC131" s="1"/>
      <c r="AE131" s="16"/>
      <c r="AG131" s="16"/>
      <c r="AI131" s="1"/>
    </row>
    <row r="132" spans="4:35" s="62" customFormat="1" ht="15">
      <c r="D132" s="1"/>
      <c r="E132" s="1"/>
      <c r="F132" s="1"/>
      <c r="G132" s="1"/>
      <c r="H132" s="1"/>
      <c r="I132" s="1"/>
      <c r="K132" s="1"/>
      <c r="M132" s="16"/>
      <c r="O132" s="16"/>
      <c r="Q132" s="1"/>
      <c r="S132" s="16"/>
      <c r="U132" s="16"/>
      <c r="W132" s="1"/>
      <c r="Y132" s="16"/>
      <c r="AA132" s="16"/>
      <c r="AC132" s="1"/>
      <c r="AE132" s="16"/>
      <c r="AG132" s="16"/>
      <c r="AI132" s="1"/>
    </row>
    <row r="133" spans="4:35" s="62" customFormat="1" ht="15">
      <c r="D133" s="1"/>
      <c r="E133" s="1"/>
      <c r="F133" s="1"/>
      <c r="G133" s="1"/>
      <c r="H133" s="1"/>
      <c r="I133" s="1"/>
      <c r="K133" s="1"/>
      <c r="M133" s="16"/>
      <c r="O133" s="16"/>
      <c r="Q133" s="1"/>
      <c r="S133" s="16"/>
      <c r="U133" s="16"/>
      <c r="W133" s="1"/>
      <c r="Y133" s="16"/>
      <c r="AA133" s="16"/>
      <c r="AC133" s="1"/>
      <c r="AE133" s="16"/>
      <c r="AG133" s="16"/>
      <c r="AI133" s="1"/>
    </row>
    <row r="134" spans="4:35" s="62" customFormat="1" ht="15">
      <c r="D134" s="1"/>
      <c r="E134" s="1"/>
      <c r="F134" s="1"/>
      <c r="G134" s="1"/>
      <c r="H134" s="1"/>
      <c r="I134" s="1"/>
      <c r="K134" s="1"/>
      <c r="M134" s="16"/>
      <c r="O134" s="16"/>
      <c r="Q134" s="1"/>
      <c r="S134" s="16"/>
      <c r="U134" s="16"/>
      <c r="W134" s="1"/>
      <c r="Y134" s="16"/>
      <c r="AA134" s="16"/>
      <c r="AC134" s="1"/>
      <c r="AE134" s="16"/>
      <c r="AG134" s="16"/>
      <c r="AI134" s="1"/>
    </row>
    <row r="135" spans="4:35" s="62" customFormat="1" ht="15">
      <c r="D135" s="1"/>
      <c r="E135" s="1"/>
      <c r="F135" s="1"/>
      <c r="G135" s="1"/>
      <c r="H135" s="1"/>
      <c r="I135" s="1"/>
      <c r="K135" s="1"/>
      <c r="M135" s="16"/>
      <c r="O135" s="16"/>
      <c r="Q135" s="1"/>
      <c r="S135" s="16"/>
      <c r="U135" s="16"/>
      <c r="W135" s="1"/>
      <c r="Y135" s="16"/>
      <c r="AA135" s="16"/>
      <c r="AC135" s="1"/>
      <c r="AE135" s="16"/>
      <c r="AG135" s="16"/>
      <c r="AI135" s="1"/>
    </row>
    <row r="136" spans="4:35" s="62" customFormat="1" ht="15">
      <c r="D136" s="1"/>
      <c r="E136" s="1"/>
      <c r="F136" s="1"/>
      <c r="G136" s="1"/>
      <c r="H136" s="1"/>
      <c r="I136" s="1"/>
      <c r="K136" s="1"/>
      <c r="M136" s="16"/>
      <c r="O136" s="16"/>
      <c r="Q136" s="1"/>
      <c r="S136" s="16"/>
      <c r="U136" s="16"/>
      <c r="W136" s="1"/>
      <c r="Y136" s="16"/>
      <c r="AA136" s="16"/>
      <c r="AC136" s="1"/>
      <c r="AE136" s="16"/>
      <c r="AG136" s="16"/>
      <c r="AI136" s="1"/>
    </row>
    <row r="137" spans="4:35" s="62" customFormat="1" ht="15">
      <c r="D137" s="1"/>
      <c r="E137" s="1"/>
      <c r="F137" s="1"/>
      <c r="G137" s="1"/>
      <c r="H137" s="1"/>
      <c r="I137" s="1"/>
      <c r="K137" s="1"/>
      <c r="M137" s="16"/>
      <c r="O137" s="16"/>
      <c r="Q137" s="1"/>
      <c r="S137" s="16"/>
      <c r="U137" s="16"/>
      <c r="W137" s="1"/>
      <c r="Y137" s="16"/>
      <c r="AA137" s="16"/>
      <c r="AC137" s="1"/>
      <c r="AE137" s="16"/>
      <c r="AG137" s="16"/>
      <c r="AI137" s="1"/>
    </row>
    <row r="138" spans="4:35" s="62" customFormat="1" ht="15">
      <c r="D138" s="1"/>
      <c r="E138" s="1"/>
      <c r="F138" s="1"/>
      <c r="G138" s="1"/>
      <c r="H138" s="1"/>
      <c r="I138" s="1"/>
      <c r="K138" s="1"/>
      <c r="M138" s="16"/>
      <c r="O138" s="16"/>
      <c r="Q138" s="1"/>
      <c r="S138" s="16"/>
      <c r="U138" s="16"/>
      <c r="W138" s="1"/>
      <c r="Y138" s="16"/>
      <c r="AA138" s="16"/>
      <c r="AC138" s="1"/>
      <c r="AE138" s="16"/>
      <c r="AG138" s="16"/>
      <c r="AI138" s="1"/>
    </row>
    <row r="139" spans="4:35" s="62" customFormat="1" ht="15">
      <c r="D139" s="1"/>
      <c r="E139" s="1"/>
      <c r="F139" s="1"/>
      <c r="G139" s="1"/>
      <c r="H139" s="1"/>
      <c r="I139" s="1"/>
      <c r="K139" s="1"/>
      <c r="M139" s="16"/>
      <c r="O139" s="16"/>
      <c r="Q139" s="1"/>
      <c r="S139" s="16"/>
      <c r="U139" s="16"/>
      <c r="W139" s="1"/>
      <c r="Y139" s="16"/>
      <c r="AA139" s="16"/>
      <c r="AC139" s="1"/>
      <c r="AE139" s="16"/>
      <c r="AG139" s="16"/>
      <c r="AI139" s="1"/>
    </row>
    <row r="140" spans="4:35" s="62" customFormat="1" ht="15">
      <c r="D140" s="1"/>
      <c r="E140" s="1"/>
      <c r="F140" s="1"/>
      <c r="G140" s="1"/>
      <c r="H140" s="1"/>
      <c r="I140" s="1"/>
      <c r="K140" s="1"/>
      <c r="M140" s="16"/>
      <c r="O140" s="16"/>
      <c r="Q140" s="1"/>
      <c r="S140" s="16"/>
      <c r="U140" s="16"/>
      <c r="W140" s="1"/>
      <c r="Y140" s="16"/>
      <c r="AA140" s="16"/>
      <c r="AC140" s="1"/>
      <c r="AE140" s="16"/>
      <c r="AG140" s="16"/>
      <c r="AI140" s="1"/>
    </row>
    <row r="141" spans="4:35" s="62" customFormat="1" ht="15">
      <c r="D141" s="1"/>
      <c r="E141" s="1"/>
      <c r="F141" s="1"/>
      <c r="G141" s="1"/>
      <c r="H141" s="1"/>
      <c r="I141" s="1"/>
      <c r="K141" s="1"/>
      <c r="M141" s="16"/>
      <c r="O141" s="16"/>
      <c r="Q141" s="1"/>
      <c r="S141" s="16"/>
      <c r="U141" s="16"/>
      <c r="W141" s="1"/>
      <c r="Y141" s="16"/>
      <c r="AA141" s="16"/>
      <c r="AC141" s="1"/>
      <c r="AE141" s="16"/>
      <c r="AG141" s="16"/>
      <c r="AI141" s="1"/>
    </row>
    <row r="142" spans="4:35" s="62" customFormat="1" ht="15">
      <c r="D142" s="1"/>
      <c r="E142" s="1"/>
      <c r="F142" s="1"/>
      <c r="G142" s="1"/>
      <c r="H142" s="1"/>
      <c r="I142" s="1"/>
      <c r="K142" s="1"/>
      <c r="M142" s="16"/>
      <c r="O142" s="16"/>
      <c r="Q142" s="1"/>
      <c r="S142" s="16"/>
      <c r="U142" s="16"/>
      <c r="W142" s="1"/>
      <c r="Y142" s="16"/>
      <c r="AA142" s="16"/>
      <c r="AC142" s="1"/>
      <c r="AE142" s="16"/>
      <c r="AG142" s="16"/>
      <c r="AI142" s="1"/>
    </row>
    <row r="143" spans="4:35" s="62" customFormat="1" ht="15">
      <c r="D143" s="1"/>
      <c r="E143" s="1"/>
      <c r="F143" s="1"/>
      <c r="G143" s="1"/>
      <c r="H143" s="1"/>
      <c r="I143" s="1"/>
      <c r="K143" s="1"/>
      <c r="M143" s="16"/>
      <c r="O143" s="16"/>
      <c r="Q143" s="1"/>
      <c r="S143" s="16"/>
      <c r="U143" s="16"/>
      <c r="W143" s="1"/>
      <c r="Y143" s="16"/>
      <c r="AA143" s="16"/>
      <c r="AC143" s="1"/>
      <c r="AE143" s="16"/>
      <c r="AG143" s="16"/>
      <c r="AI143" s="1"/>
    </row>
    <row r="144" spans="4:35" s="62" customFormat="1" ht="15">
      <c r="D144" s="1"/>
      <c r="E144" s="1"/>
      <c r="F144" s="1"/>
      <c r="G144" s="1"/>
      <c r="H144" s="1"/>
      <c r="I144" s="1"/>
      <c r="K144" s="1"/>
      <c r="M144" s="16"/>
      <c r="O144" s="16"/>
      <c r="Q144" s="1"/>
      <c r="S144" s="16"/>
      <c r="U144" s="16"/>
      <c r="W144" s="1"/>
      <c r="Y144" s="16"/>
      <c r="AA144" s="16"/>
      <c r="AC144" s="1"/>
      <c r="AE144" s="16"/>
      <c r="AG144" s="16"/>
      <c r="AI144" s="1"/>
    </row>
    <row r="145" spans="4:35" s="62" customFormat="1" ht="15">
      <c r="D145" s="1"/>
      <c r="E145" s="1"/>
      <c r="F145" s="1"/>
      <c r="G145" s="1"/>
      <c r="H145" s="1"/>
      <c r="I145" s="1"/>
      <c r="K145" s="1"/>
      <c r="M145" s="16"/>
      <c r="O145" s="16"/>
      <c r="Q145" s="1"/>
      <c r="S145" s="16"/>
      <c r="U145" s="16"/>
      <c r="W145" s="1"/>
      <c r="Y145" s="16"/>
      <c r="AA145" s="16"/>
      <c r="AC145" s="1"/>
      <c r="AE145" s="16"/>
      <c r="AG145" s="16"/>
      <c r="AI145" s="1"/>
    </row>
    <row r="146" spans="4:35" s="62" customFormat="1" ht="15">
      <c r="D146" s="1"/>
      <c r="E146" s="1"/>
      <c r="F146" s="1"/>
      <c r="G146" s="1"/>
      <c r="H146" s="1"/>
      <c r="I146" s="1"/>
      <c r="K146" s="1"/>
      <c r="M146" s="16"/>
      <c r="O146" s="16"/>
      <c r="Q146" s="1"/>
      <c r="S146" s="16"/>
      <c r="U146" s="16"/>
      <c r="W146" s="1"/>
      <c r="Y146" s="16"/>
      <c r="AA146" s="16"/>
      <c r="AC146" s="1"/>
      <c r="AE146" s="16"/>
      <c r="AG146" s="16"/>
      <c r="AI146" s="1"/>
    </row>
    <row r="147" spans="4:35" s="62" customFormat="1" ht="15">
      <c r="D147" s="1"/>
      <c r="E147" s="1"/>
      <c r="F147" s="1"/>
      <c r="G147" s="1"/>
      <c r="H147" s="1"/>
      <c r="I147" s="1"/>
      <c r="K147" s="1"/>
      <c r="M147" s="16"/>
      <c r="O147" s="16"/>
      <c r="Q147" s="1"/>
      <c r="S147" s="16"/>
      <c r="U147" s="16"/>
      <c r="W147" s="1"/>
      <c r="Y147" s="16"/>
      <c r="AA147" s="16"/>
      <c r="AC147" s="1"/>
      <c r="AE147" s="16"/>
      <c r="AG147" s="16"/>
      <c r="AI147" s="1"/>
    </row>
    <row r="148" spans="4:35" s="62" customFormat="1" ht="15">
      <c r="D148" s="1"/>
      <c r="E148" s="1"/>
      <c r="F148" s="1"/>
      <c r="G148" s="1"/>
      <c r="H148" s="1"/>
      <c r="I148" s="1"/>
      <c r="K148" s="1"/>
      <c r="M148" s="16"/>
      <c r="O148" s="16"/>
      <c r="Q148" s="1"/>
      <c r="S148" s="16"/>
      <c r="U148" s="16"/>
      <c r="W148" s="1"/>
      <c r="Y148" s="16"/>
      <c r="AA148" s="16"/>
      <c r="AC148" s="1"/>
      <c r="AE148" s="16"/>
      <c r="AG148" s="16"/>
      <c r="AI148" s="1"/>
    </row>
    <row r="149" spans="4:35" s="62" customFormat="1" ht="15">
      <c r="D149" s="1"/>
      <c r="E149" s="1"/>
      <c r="F149" s="1"/>
      <c r="G149" s="1"/>
      <c r="H149" s="1"/>
      <c r="I149" s="1"/>
      <c r="K149" s="1"/>
      <c r="M149" s="16"/>
      <c r="O149" s="16"/>
      <c r="Q149" s="1"/>
      <c r="S149" s="16"/>
      <c r="U149" s="16"/>
      <c r="W149" s="1"/>
      <c r="Y149" s="16"/>
      <c r="AA149" s="16"/>
      <c r="AC149" s="1"/>
      <c r="AE149" s="16"/>
      <c r="AG149" s="16"/>
      <c r="AI149" s="1"/>
    </row>
    <row r="150" spans="4:35" s="62" customFormat="1" ht="15">
      <c r="D150" s="1"/>
      <c r="E150" s="1"/>
      <c r="F150" s="1"/>
      <c r="G150" s="1"/>
      <c r="H150" s="1"/>
      <c r="I150" s="1"/>
      <c r="K150" s="1"/>
      <c r="M150" s="16"/>
      <c r="O150" s="16"/>
      <c r="Q150" s="1"/>
      <c r="S150" s="16"/>
      <c r="U150" s="16"/>
      <c r="W150" s="1"/>
      <c r="Y150" s="16"/>
      <c r="AA150" s="16"/>
      <c r="AC150" s="1"/>
      <c r="AE150" s="16"/>
      <c r="AG150" s="16"/>
      <c r="AI150" s="1"/>
    </row>
    <row r="151" spans="4:35" s="62" customFormat="1" ht="15">
      <c r="D151" s="1"/>
      <c r="E151" s="1"/>
      <c r="F151" s="1"/>
      <c r="G151" s="1"/>
      <c r="H151" s="1"/>
      <c r="I151" s="1"/>
      <c r="K151" s="1"/>
      <c r="M151" s="16"/>
      <c r="O151" s="16"/>
      <c r="Q151" s="1"/>
      <c r="S151" s="16"/>
      <c r="U151" s="16"/>
      <c r="W151" s="1"/>
      <c r="Y151" s="16"/>
      <c r="AA151" s="16"/>
      <c r="AC151" s="1"/>
      <c r="AE151" s="16"/>
      <c r="AG151" s="16"/>
      <c r="AI151" s="1"/>
    </row>
    <row r="152" spans="4:35" s="62" customFormat="1" ht="15">
      <c r="D152" s="1"/>
      <c r="E152" s="1"/>
      <c r="F152" s="1"/>
      <c r="G152" s="1"/>
      <c r="H152" s="1"/>
      <c r="I152" s="1"/>
      <c r="K152" s="1"/>
      <c r="M152" s="16"/>
      <c r="O152" s="16"/>
      <c r="Q152" s="1"/>
      <c r="S152" s="16"/>
      <c r="U152" s="16"/>
      <c r="W152" s="1"/>
      <c r="Y152" s="16"/>
      <c r="AA152" s="16"/>
      <c r="AC152" s="1"/>
      <c r="AE152" s="16"/>
      <c r="AG152" s="16"/>
      <c r="AI152" s="1"/>
    </row>
    <row r="153" spans="4:35" s="62" customFormat="1" ht="15">
      <c r="D153" s="1"/>
      <c r="E153" s="1"/>
      <c r="F153" s="1"/>
      <c r="G153" s="1"/>
      <c r="H153" s="1"/>
      <c r="I153" s="1"/>
      <c r="K153" s="1"/>
      <c r="M153" s="16"/>
      <c r="O153" s="16"/>
      <c r="Q153" s="1"/>
      <c r="S153" s="16"/>
      <c r="U153" s="16"/>
      <c r="W153" s="1"/>
      <c r="Y153" s="16"/>
      <c r="AA153" s="16"/>
      <c r="AC153" s="1"/>
      <c r="AE153" s="16"/>
      <c r="AG153" s="16"/>
      <c r="AI153" s="1"/>
    </row>
    <row r="154" spans="4:35" s="62" customFormat="1" ht="15">
      <c r="D154" s="1"/>
      <c r="E154" s="1"/>
      <c r="F154" s="1"/>
      <c r="G154" s="1"/>
      <c r="H154" s="1"/>
      <c r="I154" s="1"/>
      <c r="K154" s="1"/>
      <c r="M154" s="16"/>
      <c r="O154" s="16"/>
      <c r="Q154" s="1"/>
      <c r="S154" s="16"/>
      <c r="U154" s="16"/>
      <c r="W154" s="1"/>
      <c r="Y154" s="16"/>
      <c r="AA154" s="16"/>
      <c r="AC154" s="1"/>
      <c r="AE154" s="16"/>
      <c r="AG154" s="16"/>
      <c r="AI154" s="1"/>
    </row>
    <row r="155" spans="4:35" s="62" customFormat="1" ht="15">
      <c r="D155" s="1"/>
      <c r="E155" s="1"/>
      <c r="F155" s="1"/>
      <c r="G155" s="1"/>
      <c r="H155" s="1"/>
      <c r="I155" s="1"/>
      <c r="K155" s="1"/>
      <c r="M155" s="16"/>
      <c r="O155" s="16"/>
      <c r="Q155" s="1"/>
      <c r="S155" s="16"/>
      <c r="U155" s="16"/>
      <c r="W155" s="1"/>
      <c r="Y155" s="16"/>
      <c r="AA155" s="16"/>
      <c r="AC155" s="1"/>
      <c r="AE155" s="16"/>
      <c r="AG155" s="16"/>
      <c r="AI155" s="1"/>
    </row>
    <row r="156" spans="4:35" s="62" customFormat="1" ht="15">
      <c r="D156" s="1"/>
      <c r="E156" s="1"/>
      <c r="F156" s="1"/>
      <c r="G156" s="1"/>
      <c r="H156" s="1"/>
      <c r="I156" s="1"/>
      <c r="K156" s="1"/>
      <c r="M156" s="16"/>
      <c r="O156" s="16"/>
      <c r="Q156" s="1"/>
      <c r="S156" s="16"/>
      <c r="U156" s="16"/>
      <c r="W156" s="1"/>
      <c r="Y156" s="16"/>
      <c r="AA156" s="16"/>
      <c r="AC156" s="1"/>
      <c r="AE156" s="16"/>
      <c r="AG156" s="16"/>
      <c r="AI156" s="1"/>
    </row>
    <row r="157" spans="4:35" s="62" customFormat="1" ht="15">
      <c r="D157" s="1"/>
      <c r="E157" s="1"/>
      <c r="F157" s="1"/>
      <c r="G157" s="1"/>
      <c r="H157" s="1"/>
      <c r="I157" s="1"/>
      <c r="K157" s="1"/>
      <c r="M157" s="16"/>
      <c r="O157" s="16"/>
      <c r="Q157" s="1"/>
      <c r="S157" s="16"/>
      <c r="U157" s="16"/>
      <c r="W157" s="1"/>
      <c r="Y157" s="16"/>
      <c r="AA157" s="16"/>
      <c r="AC157" s="1"/>
      <c r="AE157" s="16"/>
      <c r="AG157" s="16"/>
      <c r="AI157" s="1"/>
    </row>
    <row r="158" spans="4:35" s="62" customFormat="1" ht="15">
      <c r="D158" s="1"/>
      <c r="E158" s="1"/>
      <c r="F158" s="1"/>
      <c r="G158" s="1"/>
      <c r="H158" s="1"/>
      <c r="I158" s="1"/>
      <c r="K158" s="1"/>
      <c r="M158" s="16"/>
      <c r="O158" s="16"/>
      <c r="Q158" s="1"/>
      <c r="S158" s="16"/>
      <c r="U158" s="16"/>
      <c r="W158" s="1"/>
      <c r="Y158" s="16"/>
      <c r="AA158" s="16"/>
      <c r="AC158" s="1"/>
      <c r="AE158" s="16"/>
      <c r="AG158" s="16"/>
      <c r="AI158" s="1"/>
    </row>
    <row r="159" spans="4:35" s="62" customFormat="1" ht="15">
      <c r="D159" s="1"/>
      <c r="E159" s="1"/>
      <c r="F159" s="1"/>
      <c r="G159" s="1"/>
      <c r="H159" s="1"/>
      <c r="I159" s="1"/>
      <c r="K159" s="1"/>
      <c r="M159" s="16"/>
      <c r="O159" s="16"/>
      <c r="Q159" s="1"/>
      <c r="S159" s="16"/>
      <c r="U159" s="16"/>
      <c r="W159" s="1"/>
      <c r="Y159" s="16"/>
      <c r="AA159" s="16"/>
      <c r="AC159" s="1"/>
      <c r="AE159" s="16"/>
      <c r="AG159" s="16"/>
      <c r="AI159" s="1"/>
    </row>
    <row r="160" spans="4:35" s="62" customFormat="1" ht="15">
      <c r="D160" s="1"/>
      <c r="E160" s="1"/>
      <c r="F160" s="1"/>
      <c r="G160" s="1"/>
      <c r="H160" s="1"/>
      <c r="I160" s="1"/>
      <c r="K160" s="1"/>
      <c r="M160" s="16"/>
      <c r="O160" s="16"/>
      <c r="Q160" s="1"/>
      <c r="S160" s="16"/>
      <c r="U160" s="16"/>
      <c r="W160" s="1"/>
      <c r="Y160" s="16"/>
      <c r="AA160" s="16"/>
      <c r="AC160" s="1"/>
      <c r="AE160" s="16"/>
      <c r="AG160" s="16"/>
      <c r="AI160" s="1"/>
    </row>
    <row r="161" spans="4:35" s="62" customFormat="1" ht="15">
      <c r="D161" s="1"/>
      <c r="E161" s="1"/>
      <c r="F161" s="1"/>
      <c r="G161" s="1"/>
      <c r="H161" s="1"/>
      <c r="I161" s="1"/>
      <c r="K161" s="1"/>
      <c r="M161" s="16"/>
      <c r="O161" s="16"/>
      <c r="Q161" s="1"/>
      <c r="S161" s="16"/>
      <c r="U161" s="16"/>
      <c r="W161" s="1"/>
      <c r="Y161" s="16"/>
      <c r="AA161" s="16"/>
      <c r="AC161" s="1"/>
      <c r="AE161" s="16"/>
      <c r="AG161" s="16"/>
      <c r="AI161" s="1"/>
    </row>
    <row r="162" spans="4:35" s="62" customFormat="1" ht="15">
      <c r="D162" s="1"/>
      <c r="E162" s="1"/>
      <c r="F162" s="1"/>
      <c r="G162" s="1"/>
      <c r="H162" s="1"/>
      <c r="I162" s="1"/>
      <c r="K162" s="1"/>
      <c r="M162" s="16"/>
      <c r="O162" s="16"/>
      <c r="Q162" s="1"/>
      <c r="S162" s="16"/>
      <c r="U162" s="16"/>
      <c r="W162" s="1"/>
      <c r="Y162" s="16"/>
      <c r="AA162" s="16"/>
      <c r="AC162" s="1"/>
      <c r="AE162" s="16"/>
      <c r="AG162" s="16"/>
      <c r="AI162" s="1"/>
    </row>
    <row r="163" spans="4:35" s="62" customFormat="1" ht="15">
      <c r="D163" s="1"/>
      <c r="E163" s="1"/>
      <c r="F163" s="1"/>
      <c r="G163" s="1"/>
      <c r="H163" s="1"/>
      <c r="I163" s="1"/>
      <c r="K163" s="1"/>
      <c r="M163" s="16"/>
      <c r="O163" s="16"/>
      <c r="Q163" s="1"/>
      <c r="S163" s="16"/>
      <c r="U163" s="16"/>
      <c r="W163" s="1"/>
      <c r="Y163" s="16"/>
      <c r="AA163" s="16"/>
      <c r="AC163" s="1"/>
      <c r="AE163" s="16"/>
      <c r="AG163" s="16"/>
      <c r="AI163" s="1"/>
    </row>
    <row r="164" spans="4:35" s="62" customFormat="1" ht="15">
      <c r="D164" s="1"/>
      <c r="E164" s="1"/>
      <c r="F164" s="1"/>
      <c r="G164" s="1"/>
      <c r="H164" s="1"/>
      <c r="I164" s="1"/>
      <c r="K164" s="1"/>
      <c r="M164" s="16"/>
      <c r="O164" s="16"/>
      <c r="Q164" s="1"/>
      <c r="S164" s="16"/>
      <c r="U164" s="16"/>
      <c r="W164" s="1"/>
      <c r="Y164" s="16"/>
      <c r="AA164" s="16"/>
      <c r="AC164" s="1"/>
      <c r="AE164" s="16"/>
      <c r="AG164" s="16"/>
      <c r="AI164" s="1"/>
    </row>
    <row r="165" spans="4:35" s="62" customFormat="1" ht="15">
      <c r="D165" s="1"/>
      <c r="E165" s="1"/>
      <c r="F165" s="1"/>
      <c r="G165" s="1"/>
      <c r="H165" s="1"/>
      <c r="I165" s="1"/>
      <c r="K165" s="1"/>
      <c r="M165" s="16"/>
      <c r="O165" s="16"/>
      <c r="Q165" s="1"/>
      <c r="S165" s="16"/>
      <c r="U165" s="16"/>
      <c r="W165" s="1"/>
      <c r="Y165" s="16"/>
      <c r="AA165" s="16"/>
      <c r="AC165" s="1"/>
      <c r="AE165" s="16"/>
      <c r="AG165" s="16"/>
      <c r="AI165" s="1"/>
    </row>
    <row r="166" spans="4:35" s="62" customFormat="1" ht="15">
      <c r="D166" s="1"/>
      <c r="E166" s="1"/>
      <c r="F166" s="1"/>
      <c r="G166" s="1"/>
      <c r="H166" s="1"/>
      <c r="I166" s="1"/>
      <c r="K166" s="1"/>
      <c r="M166" s="16"/>
      <c r="O166" s="16"/>
      <c r="Q166" s="1"/>
      <c r="S166" s="16"/>
      <c r="U166" s="16"/>
      <c r="W166" s="1"/>
      <c r="Y166" s="16"/>
      <c r="AA166" s="16"/>
      <c r="AC166" s="1"/>
      <c r="AE166" s="16"/>
      <c r="AG166" s="16"/>
      <c r="AI166" s="1"/>
    </row>
    <row r="167" spans="4:35" s="62" customFormat="1" ht="15">
      <c r="D167" s="1"/>
      <c r="E167" s="1"/>
      <c r="F167" s="1"/>
      <c r="G167" s="1"/>
      <c r="H167" s="1"/>
      <c r="I167" s="1"/>
      <c r="K167" s="1"/>
      <c r="M167" s="16"/>
      <c r="O167" s="16"/>
      <c r="Q167" s="1"/>
      <c r="S167" s="16"/>
      <c r="U167" s="16"/>
      <c r="W167" s="1"/>
      <c r="Y167" s="16"/>
      <c r="AA167" s="16"/>
      <c r="AC167" s="1"/>
      <c r="AE167" s="16"/>
      <c r="AG167" s="16"/>
      <c r="AI167" s="1"/>
    </row>
    <row r="168" spans="4:35" s="62" customFormat="1" ht="15">
      <c r="D168" s="1"/>
      <c r="E168" s="1"/>
      <c r="F168" s="1"/>
      <c r="G168" s="1"/>
      <c r="H168" s="1"/>
      <c r="I168" s="1"/>
      <c r="K168" s="1"/>
      <c r="M168" s="16"/>
      <c r="O168" s="16"/>
      <c r="Q168" s="1"/>
      <c r="S168" s="16"/>
      <c r="U168" s="16"/>
      <c r="W168" s="1"/>
      <c r="Y168" s="16"/>
      <c r="AA168" s="16"/>
      <c r="AC168" s="1"/>
      <c r="AE168" s="16"/>
      <c r="AG168" s="16"/>
      <c r="AI168" s="1"/>
    </row>
    <row r="169" spans="4:35" s="62" customFormat="1" ht="15">
      <c r="D169" s="1"/>
      <c r="E169" s="1"/>
      <c r="F169" s="1"/>
      <c r="G169" s="1"/>
      <c r="H169" s="1"/>
      <c r="I169" s="1"/>
      <c r="K169" s="1"/>
      <c r="M169" s="16"/>
      <c r="O169" s="16"/>
      <c r="Q169" s="1"/>
      <c r="S169" s="16"/>
      <c r="U169" s="16"/>
      <c r="W169" s="1"/>
      <c r="Y169" s="16"/>
      <c r="AA169" s="16"/>
      <c r="AC169" s="1"/>
      <c r="AE169" s="16"/>
      <c r="AG169" s="16"/>
      <c r="AI169" s="1"/>
    </row>
    <row r="170" spans="4:35" s="62" customFormat="1" ht="15">
      <c r="D170" s="1"/>
      <c r="E170" s="1"/>
      <c r="F170" s="1"/>
      <c r="G170" s="1"/>
      <c r="H170" s="1"/>
      <c r="I170" s="1"/>
      <c r="K170" s="1"/>
      <c r="M170" s="16"/>
      <c r="O170" s="16"/>
      <c r="Q170" s="1"/>
      <c r="S170" s="16"/>
      <c r="U170" s="16"/>
      <c r="W170" s="1"/>
      <c r="Y170" s="16"/>
      <c r="AA170" s="16"/>
      <c r="AC170" s="1"/>
      <c r="AE170" s="16"/>
      <c r="AG170" s="16"/>
      <c r="AI170" s="1"/>
    </row>
    <row r="171" spans="4:35" s="62" customFormat="1" ht="15">
      <c r="D171" s="1"/>
      <c r="E171" s="1"/>
      <c r="F171" s="1"/>
      <c r="G171" s="1"/>
      <c r="H171" s="1"/>
      <c r="I171" s="1"/>
      <c r="K171" s="1"/>
      <c r="M171" s="16"/>
      <c r="O171" s="16"/>
      <c r="Q171" s="1"/>
      <c r="S171" s="16"/>
      <c r="U171" s="16"/>
      <c r="W171" s="1"/>
      <c r="Y171" s="16"/>
      <c r="AA171" s="16"/>
      <c r="AC171" s="1"/>
      <c r="AE171" s="16"/>
      <c r="AG171" s="16"/>
      <c r="AI171" s="1"/>
    </row>
    <row r="172" spans="4:35" s="62" customFormat="1" ht="15">
      <c r="D172" s="1"/>
      <c r="E172" s="1"/>
      <c r="F172" s="1"/>
      <c r="G172" s="1"/>
      <c r="H172" s="1"/>
      <c r="I172" s="1"/>
      <c r="K172" s="1"/>
      <c r="M172" s="16"/>
      <c r="O172" s="16"/>
      <c r="Q172" s="1"/>
      <c r="S172" s="16"/>
      <c r="U172" s="16"/>
      <c r="W172" s="1"/>
      <c r="Y172" s="16"/>
      <c r="AA172" s="16"/>
      <c r="AC172" s="1"/>
      <c r="AE172" s="16"/>
      <c r="AG172" s="16"/>
      <c r="AI172" s="1"/>
    </row>
    <row r="173" spans="4:35" s="62" customFormat="1" ht="15">
      <c r="D173" s="1"/>
      <c r="E173" s="1"/>
      <c r="F173" s="1"/>
      <c r="G173" s="1"/>
      <c r="H173" s="1"/>
      <c r="I173" s="1"/>
      <c r="K173" s="1"/>
      <c r="M173" s="16"/>
      <c r="O173" s="16"/>
      <c r="Q173" s="1"/>
      <c r="S173" s="16"/>
      <c r="U173" s="16"/>
      <c r="W173" s="1"/>
      <c r="Y173" s="16"/>
      <c r="AA173" s="16"/>
      <c r="AC173" s="1"/>
      <c r="AE173" s="16"/>
      <c r="AG173" s="16"/>
      <c r="AI173" s="1"/>
    </row>
    <row r="174" spans="4:35" s="62" customFormat="1" ht="15">
      <c r="D174" s="1"/>
      <c r="E174" s="1"/>
      <c r="F174" s="1"/>
      <c r="G174" s="1"/>
      <c r="H174" s="1"/>
      <c r="I174" s="1"/>
      <c r="K174" s="1"/>
      <c r="M174" s="16"/>
      <c r="O174" s="16"/>
      <c r="Q174" s="1"/>
      <c r="S174" s="16"/>
      <c r="U174" s="16"/>
      <c r="W174" s="1"/>
      <c r="Y174" s="16"/>
      <c r="AA174" s="16"/>
      <c r="AC174" s="1"/>
      <c r="AE174" s="16"/>
      <c r="AG174" s="16"/>
      <c r="AI174" s="1"/>
    </row>
    <row r="175" spans="4:35" s="62" customFormat="1" ht="15">
      <c r="D175" s="1"/>
      <c r="E175" s="1"/>
      <c r="F175" s="1"/>
      <c r="G175" s="1"/>
      <c r="H175" s="1"/>
      <c r="I175" s="1"/>
      <c r="K175" s="1"/>
      <c r="M175" s="16"/>
      <c r="O175" s="16"/>
      <c r="Q175" s="1"/>
      <c r="S175" s="16"/>
      <c r="U175" s="16"/>
      <c r="W175" s="1"/>
      <c r="Y175" s="16"/>
      <c r="AA175" s="16"/>
      <c r="AC175" s="1"/>
      <c r="AE175" s="16"/>
      <c r="AG175" s="16"/>
      <c r="AI175" s="1"/>
    </row>
    <row r="176" spans="4:35" s="62" customFormat="1" ht="15">
      <c r="D176" s="1"/>
      <c r="E176" s="1"/>
      <c r="F176" s="1"/>
      <c r="G176" s="1"/>
      <c r="H176" s="1"/>
      <c r="I176" s="1"/>
      <c r="K176" s="1"/>
      <c r="M176" s="16"/>
      <c r="O176" s="16"/>
      <c r="Q176" s="1"/>
      <c r="S176" s="16"/>
      <c r="U176" s="16"/>
      <c r="W176" s="1"/>
      <c r="Y176" s="16"/>
      <c r="AA176" s="16"/>
      <c r="AC176" s="1"/>
      <c r="AE176" s="16"/>
      <c r="AG176" s="16"/>
      <c r="AI176" s="1"/>
    </row>
    <row r="177" spans="4:35" s="62" customFormat="1" ht="15">
      <c r="D177" s="1"/>
      <c r="E177" s="1"/>
      <c r="F177" s="1"/>
      <c r="G177" s="1"/>
      <c r="H177" s="1"/>
      <c r="I177" s="1"/>
      <c r="K177" s="1"/>
      <c r="M177" s="16"/>
      <c r="O177" s="16"/>
      <c r="Q177" s="1"/>
      <c r="S177" s="16"/>
      <c r="U177" s="16"/>
      <c r="W177" s="1"/>
      <c r="Y177" s="16"/>
      <c r="AA177" s="16"/>
      <c r="AC177" s="1"/>
      <c r="AE177" s="16"/>
      <c r="AG177" s="16"/>
      <c r="AI177" s="1"/>
    </row>
    <row r="178" spans="4:35" s="62" customFormat="1" ht="15">
      <c r="D178" s="1"/>
      <c r="E178" s="1"/>
      <c r="F178" s="1"/>
      <c r="G178" s="1"/>
      <c r="H178" s="1"/>
      <c r="I178" s="1"/>
      <c r="K178" s="1"/>
      <c r="M178" s="16"/>
      <c r="O178" s="16"/>
      <c r="Q178" s="1"/>
      <c r="S178" s="16"/>
      <c r="U178" s="16"/>
      <c r="W178" s="1"/>
      <c r="Y178" s="16"/>
      <c r="AA178" s="16"/>
      <c r="AC178" s="1"/>
      <c r="AE178" s="16"/>
      <c r="AG178" s="16"/>
      <c r="AI178" s="1"/>
    </row>
    <row r="179" spans="4:35" s="62" customFormat="1" ht="15">
      <c r="D179" s="1"/>
      <c r="E179" s="1"/>
      <c r="F179" s="1"/>
      <c r="G179" s="1"/>
      <c r="H179" s="1"/>
      <c r="I179" s="1"/>
      <c r="K179" s="1"/>
      <c r="M179" s="16"/>
      <c r="O179" s="16"/>
      <c r="Q179" s="1"/>
      <c r="S179" s="16"/>
      <c r="U179" s="16"/>
      <c r="W179" s="1"/>
      <c r="Y179" s="16"/>
      <c r="AA179" s="16"/>
      <c r="AC179" s="1"/>
      <c r="AE179" s="16"/>
      <c r="AG179" s="16"/>
      <c r="AI179" s="1"/>
    </row>
    <row r="180" spans="4:35" s="62" customFormat="1" ht="15">
      <c r="D180" s="1"/>
      <c r="E180" s="1"/>
      <c r="F180" s="1"/>
      <c r="G180" s="1"/>
      <c r="H180" s="1"/>
      <c r="I180" s="1"/>
      <c r="K180" s="1"/>
      <c r="M180" s="16"/>
      <c r="O180" s="16"/>
      <c r="Q180" s="1"/>
      <c r="S180" s="16"/>
      <c r="U180" s="16"/>
      <c r="W180" s="1"/>
      <c r="Y180" s="16"/>
      <c r="AA180" s="16"/>
      <c r="AC180" s="1"/>
      <c r="AE180" s="16"/>
      <c r="AG180" s="16"/>
      <c r="AI180" s="1"/>
    </row>
    <row r="181" spans="4:35" s="62" customFormat="1" ht="15">
      <c r="D181" s="1"/>
      <c r="E181" s="1"/>
      <c r="F181" s="1"/>
      <c r="G181" s="1"/>
      <c r="H181" s="1"/>
      <c r="I181" s="1"/>
      <c r="K181" s="1"/>
      <c r="M181" s="16"/>
      <c r="O181" s="16"/>
      <c r="Q181" s="1"/>
      <c r="S181" s="16"/>
      <c r="U181" s="16"/>
      <c r="W181" s="1"/>
      <c r="Y181" s="16"/>
      <c r="AA181" s="16"/>
      <c r="AC181" s="1"/>
      <c r="AE181" s="16"/>
      <c r="AG181" s="16"/>
      <c r="AI181" s="1"/>
    </row>
    <row r="182" spans="4:35" s="62" customFormat="1" ht="15">
      <c r="D182" s="1"/>
      <c r="E182" s="1"/>
      <c r="F182" s="1"/>
      <c r="G182" s="1"/>
      <c r="H182" s="1"/>
      <c r="I182" s="1"/>
      <c r="K182" s="1"/>
      <c r="M182" s="16"/>
      <c r="O182" s="16"/>
      <c r="Q182" s="1"/>
      <c r="S182" s="16"/>
      <c r="U182" s="16"/>
      <c r="W182" s="1"/>
      <c r="Y182" s="16"/>
      <c r="AA182" s="16"/>
      <c r="AC182" s="1"/>
      <c r="AE182" s="16"/>
      <c r="AG182" s="16"/>
      <c r="AI182" s="1"/>
    </row>
    <row r="183" spans="4:35" s="62" customFormat="1" ht="15">
      <c r="D183" s="1"/>
      <c r="E183" s="1"/>
      <c r="F183" s="1"/>
      <c r="G183" s="1"/>
      <c r="H183" s="1"/>
      <c r="I183" s="1"/>
      <c r="K183" s="1"/>
      <c r="M183" s="16"/>
      <c r="O183" s="16"/>
      <c r="Q183" s="1"/>
      <c r="S183" s="16"/>
      <c r="U183" s="16"/>
      <c r="W183" s="1"/>
      <c r="Y183" s="16"/>
      <c r="AA183" s="16"/>
      <c r="AC183" s="1"/>
      <c r="AE183" s="16"/>
      <c r="AG183" s="16"/>
      <c r="AI183" s="1"/>
    </row>
    <row r="184" spans="4:35" s="62" customFormat="1" ht="15">
      <c r="D184" s="1"/>
      <c r="E184" s="1"/>
      <c r="F184" s="1"/>
      <c r="G184" s="1"/>
      <c r="H184" s="1"/>
      <c r="I184" s="1"/>
      <c r="K184" s="1"/>
      <c r="M184" s="16"/>
      <c r="O184" s="16"/>
      <c r="Q184" s="1"/>
      <c r="S184" s="16"/>
      <c r="U184" s="16"/>
      <c r="W184" s="1"/>
      <c r="Y184" s="16"/>
      <c r="AA184" s="16"/>
      <c r="AC184" s="1"/>
      <c r="AE184" s="16"/>
      <c r="AG184" s="16"/>
      <c r="AI184" s="1"/>
    </row>
    <row r="185" spans="4:35" s="62" customFormat="1" ht="15">
      <c r="D185" s="1"/>
      <c r="E185" s="1"/>
      <c r="F185" s="1"/>
      <c r="G185" s="1"/>
      <c r="H185" s="1"/>
      <c r="I185" s="1"/>
      <c r="K185" s="1"/>
      <c r="M185" s="16"/>
      <c r="O185" s="16"/>
      <c r="Q185" s="1"/>
      <c r="S185" s="16"/>
      <c r="U185" s="16"/>
      <c r="W185" s="1"/>
      <c r="Y185" s="16"/>
      <c r="AA185" s="16"/>
      <c r="AC185" s="1"/>
      <c r="AE185" s="16"/>
      <c r="AG185" s="16"/>
      <c r="AI185" s="1"/>
    </row>
    <row r="186" spans="4:35" s="62" customFormat="1" ht="15">
      <c r="D186" s="1"/>
      <c r="E186" s="1"/>
      <c r="F186" s="1"/>
      <c r="G186" s="1"/>
      <c r="H186" s="1"/>
      <c r="I186" s="1"/>
      <c r="K186" s="1"/>
      <c r="M186" s="16"/>
      <c r="O186" s="16"/>
      <c r="Q186" s="1"/>
      <c r="S186" s="16"/>
      <c r="U186" s="16"/>
      <c r="W186" s="1"/>
      <c r="Y186" s="16"/>
      <c r="AA186" s="16"/>
      <c r="AC186" s="1"/>
      <c r="AE186" s="16"/>
      <c r="AG186" s="16"/>
      <c r="AI186" s="1"/>
    </row>
    <row r="187" spans="4:35" s="62" customFormat="1" ht="15">
      <c r="D187" s="1"/>
      <c r="E187" s="1"/>
      <c r="F187" s="1"/>
      <c r="G187" s="1"/>
      <c r="H187" s="1"/>
      <c r="I187" s="1"/>
      <c r="K187" s="1"/>
      <c r="M187" s="16"/>
      <c r="O187" s="16"/>
      <c r="Q187" s="1"/>
      <c r="S187" s="16"/>
      <c r="U187" s="16"/>
      <c r="W187" s="1"/>
      <c r="Y187" s="16"/>
      <c r="AA187" s="16"/>
      <c r="AC187" s="1"/>
      <c r="AE187" s="16"/>
      <c r="AG187" s="16"/>
      <c r="AI187" s="1"/>
    </row>
    <row r="188" spans="4:35" s="62" customFormat="1" ht="15">
      <c r="D188" s="1"/>
      <c r="E188" s="1"/>
      <c r="F188" s="1"/>
      <c r="G188" s="1"/>
      <c r="H188" s="1"/>
      <c r="I188" s="1"/>
      <c r="K188" s="1"/>
      <c r="M188" s="16"/>
      <c r="O188" s="16"/>
      <c r="Q188" s="1"/>
      <c r="S188" s="16"/>
      <c r="U188" s="16"/>
      <c r="W188" s="1"/>
      <c r="Y188" s="16"/>
      <c r="AA188" s="16"/>
      <c r="AC188" s="1"/>
      <c r="AE188" s="16"/>
      <c r="AG188" s="16"/>
      <c r="AI188" s="1"/>
    </row>
    <row r="189" spans="4:35" s="62" customFormat="1" ht="15">
      <c r="D189" s="1"/>
      <c r="E189" s="1"/>
      <c r="F189" s="1"/>
      <c r="G189" s="1"/>
      <c r="H189" s="1"/>
      <c r="I189" s="1"/>
      <c r="K189" s="1"/>
      <c r="M189" s="16"/>
      <c r="O189" s="16"/>
      <c r="Q189" s="1"/>
      <c r="S189" s="16"/>
      <c r="U189" s="16"/>
      <c r="W189" s="1"/>
      <c r="Y189" s="16"/>
      <c r="AA189" s="16"/>
      <c r="AC189" s="1"/>
      <c r="AE189" s="16"/>
      <c r="AG189" s="16"/>
      <c r="AI189" s="1"/>
    </row>
    <row r="190" spans="4:35" s="62" customFormat="1" ht="15">
      <c r="D190" s="1"/>
      <c r="E190" s="1"/>
      <c r="F190" s="1"/>
      <c r="G190" s="1"/>
      <c r="H190" s="1"/>
      <c r="I190" s="1"/>
      <c r="K190" s="1"/>
      <c r="M190" s="16"/>
      <c r="O190" s="16"/>
      <c r="Q190" s="1"/>
      <c r="S190" s="16"/>
      <c r="U190" s="16"/>
      <c r="W190" s="1"/>
      <c r="Y190" s="16"/>
      <c r="AA190" s="16"/>
      <c r="AC190" s="1"/>
      <c r="AE190" s="16"/>
      <c r="AG190" s="16"/>
      <c r="AI190" s="1"/>
    </row>
    <row r="191" spans="4:35" s="62" customFormat="1" ht="15">
      <c r="D191" s="1"/>
      <c r="E191" s="1"/>
      <c r="F191" s="1"/>
      <c r="G191" s="1"/>
      <c r="H191" s="1"/>
      <c r="I191" s="1"/>
      <c r="K191" s="1"/>
      <c r="M191" s="16"/>
      <c r="O191" s="16"/>
      <c r="Q191" s="1"/>
      <c r="S191" s="16"/>
      <c r="U191" s="16"/>
      <c r="W191" s="1"/>
      <c r="Y191" s="16"/>
      <c r="AA191" s="16"/>
      <c r="AC191" s="1"/>
      <c r="AE191" s="16"/>
      <c r="AG191" s="16"/>
      <c r="AI191" s="1"/>
    </row>
    <row r="192" spans="4:35" s="62" customFormat="1" ht="15">
      <c r="D192" s="1"/>
      <c r="E192" s="1"/>
      <c r="F192" s="1"/>
      <c r="G192" s="1"/>
      <c r="H192" s="1"/>
      <c r="I192" s="1"/>
      <c r="K192" s="1"/>
      <c r="M192" s="16"/>
      <c r="O192" s="16"/>
      <c r="Q192" s="1"/>
      <c r="S192" s="16"/>
      <c r="U192" s="16"/>
      <c r="W192" s="1"/>
      <c r="Y192" s="16"/>
      <c r="AA192" s="16"/>
      <c r="AC192" s="1"/>
      <c r="AE192" s="16"/>
      <c r="AG192" s="16"/>
      <c r="AI192" s="1"/>
    </row>
    <row r="193" spans="4:35" s="62" customFormat="1" ht="15">
      <c r="D193" s="1"/>
      <c r="E193" s="1"/>
      <c r="F193" s="1"/>
      <c r="G193" s="1"/>
      <c r="H193" s="1"/>
      <c r="I193" s="1"/>
      <c r="K193" s="1"/>
      <c r="M193" s="16"/>
      <c r="O193" s="16"/>
      <c r="Q193" s="1"/>
      <c r="S193" s="16"/>
      <c r="U193" s="16"/>
      <c r="W193" s="1"/>
      <c r="Y193" s="16"/>
      <c r="AA193" s="16"/>
      <c r="AC193" s="1"/>
      <c r="AE193" s="16"/>
      <c r="AG193" s="16"/>
      <c r="AI193" s="1"/>
    </row>
    <row r="194" spans="4:35" s="62" customFormat="1" ht="15">
      <c r="D194" s="1"/>
      <c r="E194" s="1"/>
      <c r="F194" s="1"/>
      <c r="G194" s="1"/>
      <c r="H194" s="1"/>
      <c r="I194" s="1"/>
      <c r="K194" s="1"/>
      <c r="M194" s="16"/>
      <c r="O194" s="16"/>
      <c r="Q194" s="1"/>
      <c r="S194" s="16"/>
      <c r="U194" s="16"/>
      <c r="W194" s="1"/>
      <c r="Y194" s="16"/>
      <c r="AA194" s="16"/>
      <c r="AC194" s="1"/>
      <c r="AE194" s="16"/>
      <c r="AG194" s="16"/>
      <c r="AI194" s="1"/>
    </row>
    <row r="195" spans="4:35" s="62" customFormat="1" ht="15">
      <c r="D195" s="1"/>
      <c r="E195" s="1"/>
      <c r="F195" s="1"/>
      <c r="G195" s="1"/>
      <c r="H195" s="1"/>
      <c r="I195" s="1"/>
      <c r="K195" s="1"/>
      <c r="M195" s="16"/>
      <c r="O195" s="16"/>
      <c r="Q195" s="1"/>
      <c r="S195" s="16"/>
      <c r="U195" s="16"/>
      <c r="W195" s="1"/>
      <c r="Y195" s="16"/>
      <c r="AA195" s="16"/>
      <c r="AC195" s="1"/>
      <c r="AE195" s="16"/>
      <c r="AG195" s="16"/>
      <c r="AI195" s="1"/>
    </row>
    <row r="196" spans="4:35" s="62" customFormat="1" ht="15">
      <c r="D196" s="1"/>
      <c r="E196" s="1"/>
      <c r="F196" s="1"/>
      <c r="G196" s="1"/>
      <c r="H196" s="1"/>
      <c r="I196" s="1"/>
      <c r="K196" s="1"/>
      <c r="M196" s="16"/>
      <c r="O196" s="16"/>
      <c r="Q196" s="1"/>
      <c r="S196" s="16"/>
      <c r="U196" s="16"/>
      <c r="W196" s="1"/>
      <c r="Y196" s="16"/>
      <c r="AA196" s="16"/>
      <c r="AC196" s="1"/>
      <c r="AE196" s="16"/>
      <c r="AG196" s="16"/>
      <c r="AI196" s="1"/>
    </row>
    <row r="197" spans="4:35" s="62" customFormat="1" ht="15">
      <c r="D197" s="1"/>
      <c r="E197" s="1"/>
      <c r="F197" s="1"/>
      <c r="G197" s="1"/>
      <c r="H197" s="1"/>
      <c r="I197" s="1"/>
      <c r="K197" s="1"/>
      <c r="M197" s="16"/>
      <c r="O197" s="16"/>
      <c r="Q197" s="1"/>
      <c r="S197" s="16"/>
      <c r="U197" s="16"/>
      <c r="W197" s="1"/>
      <c r="Y197" s="16"/>
      <c r="AA197" s="16"/>
      <c r="AC197" s="1"/>
      <c r="AE197" s="16"/>
      <c r="AG197" s="16"/>
      <c r="AI197" s="1"/>
    </row>
    <row r="198" spans="4:35" s="62" customFormat="1" ht="15">
      <c r="D198" s="1"/>
      <c r="E198" s="1"/>
      <c r="F198" s="1"/>
      <c r="G198" s="1"/>
      <c r="H198" s="1"/>
      <c r="I198" s="1"/>
      <c r="K198" s="1"/>
      <c r="M198" s="16"/>
      <c r="O198" s="16"/>
      <c r="Q198" s="1"/>
      <c r="S198" s="16"/>
      <c r="U198" s="16"/>
      <c r="W198" s="1"/>
      <c r="Y198" s="16"/>
      <c r="AA198" s="16"/>
      <c r="AC198" s="1"/>
      <c r="AE198" s="16"/>
      <c r="AG198" s="16"/>
      <c r="AI198" s="1"/>
    </row>
    <row r="199" spans="4:35" s="62" customFormat="1" ht="15">
      <c r="D199" s="1"/>
      <c r="E199" s="1"/>
      <c r="F199" s="1"/>
      <c r="G199" s="1"/>
      <c r="H199" s="1"/>
      <c r="I199" s="1"/>
      <c r="K199" s="1"/>
      <c r="M199" s="16"/>
      <c r="O199" s="16"/>
      <c r="Q199" s="1"/>
      <c r="S199" s="16"/>
      <c r="U199" s="16"/>
      <c r="W199" s="1"/>
      <c r="Y199" s="16"/>
      <c r="AA199" s="16"/>
      <c r="AC199" s="1"/>
      <c r="AE199" s="16"/>
      <c r="AG199" s="16"/>
      <c r="AI199" s="1"/>
    </row>
    <row r="200" spans="4:35" s="62" customFormat="1" ht="15">
      <c r="D200" s="1"/>
      <c r="E200" s="1"/>
      <c r="F200" s="1"/>
      <c r="G200" s="1"/>
      <c r="H200" s="1"/>
      <c r="I200" s="1"/>
      <c r="K200" s="1"/>
      <c r="M200" s="16"/>
      <c r="O200" s="16"/>
      <c r="Q200" s="1"/>
      <c r="S200" s="16"/>
      <c r="U200" s="16"/>
      <c r="W200" s="1"/>
      <c r="Y200" s="16"/>
      <c r="AA200" s="16"/>
      <c r="AC200" s="1"/>
      <c r="AE200" s="16"/>
      <c r="AG200" s="16"/>
      <c r="AI200" s="1"/>
    </row>
    <row r="201" spans="4:35" s="62" customFormat="1" ht="15">
      <c r="D201" s="1"/>
      <c r="E201" s="1"/>
      <c r="F201" s="1"/>
      <c r="G201" s="1"/>
      <c r="H201" s="1"/>
      <c r="I201" s="1"/>
      <c r="K201" s="1"/>
      <c r="M201" s="16"/>
      <c r="O201" s="16"/>
      <c r="Q201" s="1"/>
      <c r="S201" s="16"/>
      <c r="U201" s="16"/>
      <c r="W201" s="1"/>
      <c r="Y201" s="16"/>
      <c r="AA201" s="16"/>
      <c r="AC201" s="1"/>
      <c r="AE201" s="16"/>
      <c r="AG201" s="16"/>
      <c r="AI201" s="1"/>
    </row>
    <row r="202" spans="4:35" s="62" customFormat="1" ht="15">
      <c r="D202" s="1"/>
      <c r="E202" s="1"/>
      <c r="F202" s="1"/>
      <c r="G202" s="1"/>
      <c r="H202" s="1"/>
      <c r="I202" s="1"/>
      <c r="K202" s="1"/>
      <c r="M202" s="16"/>
      <c r="O202" s="16"/>
      <c r="Q202" s="1"/>
      <c r="S202" s="16"/>
      <c r="U202" s="16"/>
      <c r="W202" s="1"/>
      <c r="Y202" s="16"/>
      <c r="AA202" s="16"/>
      <c r="AC202" s="1"/>
      <c r="AE202" s="16"/>
      <c r="AG202" s="16"/>
      <c r="AI202" s="1"/>
    </row>
    <row r="203" spans="4:35" s="62" customFormat="1" ht="15">
      <c r="D203" s="1"/>
      <c r="E203" s="1"/>
      <c r="F203" s="1"/>
      <c r="G203" s="1"/>
      <c r="H203" s="1"/>
      <c r="I203" s="1"/>
      <c r="K203" s="1"/>
      <c r="M203" s="16"/>
      <c r="O203" s="16"/>
      <c r="Q203" s="1"/>
      <c r="S203" s="16"/>
      <c r="U203" s="16"/>
      <c r="W203" s="1"/>
      <c r="Y203" s="16"/>
      <c r="AA203" s="16"/>
      <c r="AC203" s="1"/>
      <c r="AE203" s="16"/>
      <c r="AG203" s="16"/>
      <c r="AI203" s="1"/>
    </row>
    <row r="204" spans="4:35" s="62" customFormat="1" ht="15">
      <c r="D204" s="1"/>
      <c r="E204" s="1"/>
      <c r="F204" s="1"/>
      <c r="G204" s="1"/>
      <c r="H204" s="1"/>
      <c r="I204" s="1"/>
      <c r="K204" s="1"/>
      <c r="M204" s="16"/>
      <c r="O204" s="16"/>
      <c r="Q204" s="1"/>
      <c r="S204" s="16"/>
      <c r="U204" s="16"/>
      <c r="W204" s="1"/>
      <c r="Y204" s="16"/>
      <c r="AA204" s="16"/>
      <c r="AC204" s="1"/>
      <c r="AE204" s="16"/>
      <c r="AG204" s="16"/>
      <c r="AI204" s="1"/>
    </row>
    <row r="205" spans="4:35" s="62" customFormat="1" ht="15">
      <c r="D205" s="1"/>
      <c r="E205" s="1"/>
      <c r="F205" s="1"/>
      <c r="G205" s="1"/>
      <c r="H205" s="1"/>
      <c r="I205" s="1"/>
      <c r="K205" s="1"/>
      <c r="M205" s="16"/>
      <c r="O205" s="16"/>
      <c r="Q205" s="1"/>
      <c r="S205" s="16"/>
      <c r="U205" s="16"/>
      <c r="W205" s="1"/>
      <c r="Y205" s="16"/>
      <c r="AA205" s="16"/>
      <c r="AC205" s="1"/>
      <c r="AE205" s="16"/>
      <c r="AG205" s="16"/>
      <c r="AI205" s="1"/>
    </row>
    <row r="206" spans="4:35" s="62" customFormat="1" ht="15">
      <c r="D206" s="1"/>
      <c r="E206" s="1"/>
      <c r="F206" s="1"/>
      <c r="G206" s="1"/>
      <c r="H206" s="1"/>
      <c r="I206" s="1"/>
      <c r="K206" s="1"/>
      <c r="M206" s="16"/>
      <c r="O206" s="16"/>
      <c r="Q206" s="1"/>
      <c r="S206" s="16"/>
      <c r="U206" s="16"/>
      <c r="W206" s="1"/>
      <c r="Y206" s="16"/>
      <c r="AA206" s="16"/>
      <c r="AC206" s="1"/>
      <c r="AE206" s="16"/>
      <c r="AG206" s="16"/>
      <c r="AI206" s="1"/>
    </row>
    <row r="207" spans="4:35" s="62" customFormat="1" ht="15">
      <c r="D207" s="1"/>
      <c r="E207" s="1"/>
      <c r="F207" s="1"/>
      <c r="G207" s="1"/>
      <c r="H207" s="1"/>
      <c r="I207" s="1"/>
      <c r="K207" s="1"/>
      <c r="M207" s="16"/>
      <c r="O207" s="16"/>
      <c r="Q207" s="1"/>
      <c r="S207" s="16"/>
      <c r="U207" s="16"/>
      <c r="W207" s="1"/>
      <c r="Y207" s="16"/>
      <c r="AA207" s="16"/>
      <c r="AC207" s="1"/>
      <c r="AE207" s="16"/>
      <c r="AG207" s="16"/>
      <c r="AI207" s="1"/>
    </row>
    <row r="208" spans="4:35" s="62" customFormat="1" ht="15">
      <c r="D208" s="1"/>
      <c r="E208" s="1"/>
      <c r="F208" s="1"/>
      <c r="G208" s="1"/>
      <c r="H208" s="1"/>
      <c r="I208" s="1"/>
      <c r="K208" s="1"/>
      <c r="M208" s="16"/>
      <c r="O208" s="16"/>
      <c r="Q208" s="1"/>
      <c r="S208" s="16"/>
      <c r="U208" s="16"/>
      <c r="W208" s="1"/>
      <c r="Y208" s="16"/>
      <c r="AA208" s="16"/>
      <c r="AC208" s="1"/>
      <c r="AE208" s="16"/>
      <c r="AG208" s="16"/>
      <c r="AI208" s="1"/>
    </row>
    <row r="209" spans="1:35" s="62" customFormat="1" ht="15">
      <c r="D209" s="1"/>
      <c r="E209" s="1"/>
      <c r="F209" s="1"/>
      <c r="G209" s="1"/>
      <c r="H209" s="1"/>
      <c r="I209" s="1"/>
      <c r="K209" s="1"/>
      <c r="M209" s="16"/>
      <c r="O209" s="16"/>
      <c r="Q209" s="1"/>
      <c r="S209" s="16"/>
      <c r="U209" s="16"/>
      <c r="W209" s="1"/>
      <c r="Y209" s="16"/>
      <c r="AA209" s="16"/>
      <c r="AC209" s="1"/>
      <c r="AE209" s="16"/>
      <c r="AG209" s="16"/>
      <c r="AI209" s="1"/>
    </row>
    <row r="210" spans="1:35" s="62" customFormat="1" ht="15">
      <c r="D210" s="1"/>
      <c r="E210" s="1"/>
      <c r="F210" s="1"/>
      <c r="G210" s="1"/>
      <c r="H210" s="1"/>
      <c r="I210" s="1"/>
      <c r="K210" s="1"/>
      <c r="M210" s="16"/>
      <c r="O210" s="16"/>
      <c r="Q210" s="1"/>
      <c r="S210" s="16"/>
      <c r="U210" s="16"/>
      <c r="W210" s="1"/>
      <c r="Y210" s="16"/>
      <c r="AA210" s="16"/>
      <c r="AC210" s="1"/>
      <c r="AE210" s="16"/>
      <c r="AG210" s="16"/>
      <c r="AI210" s="1"/>
    </row>
    <row r="211" spans="1:35" s="62" customFormat="1" ht="15">
      <c r="D211" s="1"/>
      <c r="E211" s="1"/>
      <c r="F211" s="1"/>
      <c r="G211" s="1"/>
      <c r="H211" s="1"/>
      <c r="I211" s="1"/>
      <c r="K211" s="1"/>
      <c r="M211" s="16"/>
      <c r="O211" s="16"/>
      <c r="Q211" s="1"/>
      <c r="S211" s="16"/>
      <c r="U211" s="16"/>
      <c r="W211" s="1"/>
      <c r="Y211" s="16"/>
      <c r="AA211" s="16"/>
      <c r="AC211" s="1"/>
      <c r="AE211" s="16"/>
      <c r="AG211" s="16"/>
      <c r="AI211" s="1"/>
    </row>
    <row r="212" spans="1:35" s="62" customFormat="1" ht="15">
      <c r="D212" s="1"/>
      <c r="E212" s="1"/>
      <c r="F212" s="1"/>
      <c r="G212" s="1"/>
      <c r="H212" s="1"/>
      <c r="I212" s="1"/>
      <c r="K212" s="1"/>
      <c r="M212" s="16"/>
      <c r="O212" s="16"/>
      <c r="Q212" s="1"/>
      <c r="S212" s="16"/>
      <c r="U212" s="16"/>
      <c r="W212" s="1"/>
      <c r="Y212" s="16"/>
      <c r="AA212" s="16"/>
      <c r="AC212" s="1"/>
      <c r="AE212" s="16"/>
      <c r="AG212" s="16"/>
      <c r="AI212" s="1"/>
    </row>
    <row r="213" spans="1:35" s="62" customFormat="1" ht="15">
      <c r="D213" s="1"/>
      <c r="E213" s="1"/>
      <c r="F213" s="1"/>
      <c r="G213" s="1"/>
      <c r="H213" s="1"/>
      <c r="I213" s="1"/>
      <c r="K213" s="1"/>
      <c r="M213" s="16"/>
      <c r="O213" s="16"/>
      <c r="Q213" s="1"/>
      <c r="S213" s="16"/>
      <c r="U213" s="16"/>
      <c r="W213" s="1"/>
      <c r="Y213" s="16"/>
      <c r="AA213" s="16"/>
      <c r="AC213" s="1"/>
      <c r="AE213" s="16"/>
      <c r="AG213" s="16"/>
      <c r="AI213" s="1"/>
    </row>
    <row r="214" spans="1:35" s="62" customFormat="1" ht="15">
      <c r="D214" s="1"/>
      <c r="E214" s="1"/>
      <c r="F214" s="1"/>
      <c r="G214" s="1"/>
      <c r="H214" s="1"/>
      <c r="I214" s="1"/>
      <c r="K214" s="1"/>
      <c r="M214" s="16"/>
      <c r="O214" s="16"/>
      <c r="Q214" s="1"/>
      <c r="S214" s="16"/>
      <c r="U214" s="16"/>
      <c r="W214" s="1"/>
      <c r="Y214" s="16"/>
      <c r="AA214" s="16"/>
      <c r="AC214" s="1"/>
      <c r="AE214" s="16"/>
      <c r="AG214" s="16"/>
      <c r="AI214" s="1"/>
    </row>
    <row r="215" spans="1:35" s="62" customFormat="1" ht="15">
      <c r="D215" s="1"/>
      <c r="E215" s="1"/>
      <c r="F215" s="1"/>
      <c r="G215" s="1"/>
      <c r="H215" s="1"/>
      <c r="I215" s="1"/>
      <c r="K215" s="1"/>
      <c r="M215" s="16"/>
      <c r="O215" s="16"/>
      <c r="Q215" s="1"/>
      <c r="S215" s="16"/>
      <c r="U215" s="16"/>
      <c r="W215" s="1"/>
      <c r="Y215" s="16"/>
      <c r="AA215" s="16"/>
      <c r="AC215" s="1"/>
      <c r="AE215" s="16"/>
      <c r="AG215" s="16"/>
      <c r="AI215" s="1"/>
    </row>
    <row r="216" spans="1:35" s="62" customFormat="1" ht="15">
      <c r="D216" s="1"/>
      <c r="E216" s="1"/>
      <c r="F216" s="1"/>
      <c r="G216" s="1"/>
      <c r="H216" s="1"/>
      <c r="I216" s="1"/>
      <c r="K216" s="1"/>
      <c r="M216" s="16"/>
      <c r="O216" s="16"/>
      <c r="Q216" s="1"/>
      <c r="S216" s="16"/>
      <c r="U216" s="16"/>
      <c r="W216" s="1"/>
      <c r="Y216" s="16"/>
      <c r="AA216" s="16"/>
      <c r="AC216" s="1"/>
      <c r="AE216" s="16"/>
      <c r="AG216" s="16"/>
      <c r="AI216" s="1"/>
    </row>
    <row r="217" spans="1:35" s="62" customFormat="1" ht="15">
      <c r="D217" s="1"/>
      <c r="E217" s="1"/>
      <c r="F217" s="1"/>
      <c r="G217" s="1"/>
      <c r="H217" s="1"/>
      <c r="I217" s="1"/>
      <c r="K217" s="1"/>
      <c r="M217" s="16"/>
      <c r="O217" s="16"/>
      <c r="Q217" s="1"/>
      <c r="S217" s="16"/>
      <c r="U217" s="16"/>
      <c r="W217" s="1"/>
      <c r="Y217" s="16"/>
      <c r="AA217" s="16"/>
      <c r="AC217" s="1"/>
      <c r="AE217" s="16"/>
      <c r="AG217" s="16"/>
      <c r="AI217" s="1"/>
    </row>
    <row r="218" spans="1:35" s="62" customFormat="1" ht="15">
      <c r="D218" s="1"/>
      <c r="E218" s="1"/>
      <c r="F218" s="1"/>
      <c r="G218" s="1"/>
      <c r="H218" s="1"/>
      <c r="I218" s="1"/>
      <c r="K218" s="1"/>
      <c r="M218" s="16"/>
      <c r="O218" s="16"/>
      <c r="Q218" s="1"/>
      <c r="S218" s="16"/>
      <c r="U218" s="16"/>
      <c r="W218" s="1"/>
      <c r="Y218" s="16"/>
      <c r="AA218" s="16"/>
      <c r="AC218" s="1"/>
      <c r="AE218" s="16"/>
      <c r="AG218" s="16"/>
      <c r="AI218" s="1"/>
    </row>
    <row r="219" spans="1:35" s="62" customFormat="1" ht="15">
      <c r="D219" s="1"/>
      <c r="E219" s="1"/>
      <c r="F219" s="1"/>
      <c r="G219" s="1"/>
      <c r="H219" s="1"/>
      <c r="I219" s="1"/>
      <c r="K219" s="1"/>
      <c r="M219" s="16"/>
      <c r="O219" s="16"/>
      <c r="Q219" s="1"/>
      <c r="S219" s="16"/>
      <c r="U219" s="16"/>
      <c r="W219" s="1"/>
      <c r="Y219" s="16"/>
      <c r="AA219" s="16"/>
      <c r="AC219" s="1"/>
      <c r="AE219" s="16"/>
      <c r="AG219" s="16"/>
      <c r="AI219" s="1"/>
    </row>
    <row r="220" spans="1:35" s="62" customFormat="1" ht="15">
      <c r="D220" s="1"/>
      <c r="E220" s="1"/>
      <c r="F220" s="1"/>
      <c r="G220" s="1"/>
      <c r="H220" s="1"/>
      <c r="I220" s="1"/>
      <c r="K220" s="1"/>
      <c r="M220" s="16"/>
      <c r="O220" s="16"/>
      <c r="Q220" s="1"/>
      <c r="S220" s="16"/>
      <c r="U220" s="16"/>
      <c r="W220" s="1"/>
      <c r="Y220" s="16"/>
      <c r="AA220" s="16"/>
      <c r="AC220" s="1"/>
      <c r="AE220" s="16"/>
      <c r="AG220" s="16"/>
      <c r="AI220" s="1"/>
    </row>
    <row r="221" spans="1:35" s="62" customFormat="1">
      <c r="A221" s="1"/>
      <c r="C221" s="1"/>
      <c r="D221" s="1"/>
      <c r="E221" s="1"/>
      <c r="F221" s="1"/>
      <c r="G221" s="1"/>
      <c r="H221" s="1"/>
      <c r="I221" s="1"/>
      <c r="K221" s="1"/>
      <c r="M221" s="1"/>
      <c r="O221" s="1"/>
      <c r="Q221" s="1"/>
      <c r="S221" s="1"/>
      <c r="U221" s="1"/>
      <c r="W221" s="1"/>
      <c r="Y221" s="1"/>
      <c r="AA221" s="1"/>
      <c r="AC221" s="1"/>
      <c r="AE221" s="1"/>
      <c r="AG221" s="1"/>
      <c r="AI221" s="1"/>
    </row>
    <row r="222" spans="1:35" s="62" customFormat="1">
      <c r="A222" s="1"/>
      <c r="C222" s="1"/>
      <c r="D222" s="1"/>
      <c r="E222" s="1"/>
      <c r="F222" s="1"/>
      <c r="G222" s="1"/>
      <c r="H222" s="1"/>
      <c r="I222" s="1"/>
      <c r="K222" s="1"/>
      <c r="M222" s="1"/>
      <c r="O222" s="1"/>
      <c r="Q222" s="1"/>
      <c r="S222" s="1"/>
      <c r="U222" s="1"/>
      <c r="W222" s="1"/>
      <c r="Y222" s="1"/>
      <c r="AA222" s="1"/>
      <c r="AC222" s="1"/>
      <c r="AE222" s="1"/>
      <c r="AG222" s="1"/>
      <c r="AI222" s="1"/>
    </row>
    <row r="223" spans="1:35" s="62" customFormat="1">
      <c r="A223" s="1"/>
      <c r="C223" s="1"/>
      <c r="D223" s="1"/>
      <c r="E223" s="1"/>
      <c r="F223" s="1"/>
      <c r="G223" s="1"/>
      <c r="H223" s="1"/>
      <c r="I223" s="1"/>
      <c r="K223" s="1"/>
      <c r="M223" s="1"/>
      <c r="O223" s="1"/>
      <c r="Q223" s="1"/>
      <c r="S223" s="1"/>
      <c r="U223" s="1"/>
      <c r="W223" s="1"/>
      <c r="Y223" s="1"/>
      <c r="AA223" s="1"/>
      <c r="AC223" s="1"/>
      <c r="AE223" s="1"/>
      <c r="AG223" s="1"/>
      <c r="AI223" s="1"/>
    </row>
    <row r="224" spans="1:35" s="62" customFormat="1">
      <c r="A224" s="1"/>
      <c r="C224" s="1"/>
      <c r="D224" s="1"/>
      <c r="E224" s="1"/>
      <c r="F224" s="1"/>
      <c r="G224" s="1"/>
      <c r="H224" s="1"/>
      <c r="I224" s="1"/>
      <c r="K224" s="1"/>
      <c r="M224" s="1"/>
      <c r="O224" s="1"/>
      <c r="Q224" s="1"/>
      <c r="S224" s="1"/>
      <c r="U224" s="1"/>
      <c r="W224" s="1"/>
      <c r="Y224" s="1"/>
      <c r="AA224" s="1"/>
      <c r="AC224" s="1"/>
      <c r="AE224" s="1"/>
      <c r="AG224" s="1"/>
      <c r="AI224" s="1"/>
    </row>
    <row r="225" spans="1:39" s="62" customFormat="1">
      <c r="A225" s="1"/>
      <c r="C225" s="1"/>
      <c r="D225" s="1"/>
      <c r="E225" s="1"/>
      <c r="F225" s="1"/>
      <c r="G225" s="1"/>
      <c r="H225" s="1"/>
      <c r="I225" s="1"/>
      <c r="K225" s="1"/>
      <c r="M225" s="1"/>
      <c r="O225" s="1"/>
      <c r="Q225" s="1"/>
      <c r="S225" s="1"/>
      <c r="U225" s="1"/>
      <c r="W225" s="1"/>
      <c r="Y225" s="1"/>
      <c r="AA225" s="1"/>
      <c r="AC225" s="1"/>
      <c r="AE225" s="1"/>
      <c r="AG225" s="1"/>
      <c r="AI225" s="1"/>
    </row>
    <row r="226" spans="1:39" s="62" customFormat="1">
      <c r="A226" s="1"/>
      <c r="C226" s="1"/>
      <c r="D226" s="1"/>
      <c r="E226" s="1"/>
      <c r="F226" s="1"/>
      <c r="G226" s="1"/>
      <c r="H226" s="1"/>
      <c r="I226" s="1"/>
      <c r="K226" s="1"/>
      <c r="M226" s="1"/>
      <c r="O226" s="1"/>
      <c r="Q226" s="1"/>
      <c r="S226" s="1"/>
      <c r="U226" s="1"/>
      <c r="W226" s="1"/>
      <c r="Y226" s="1"/>
      <c r="AA226" s="1"/>
      <c r="AC226" s="1"/>
      <c r="AE226" s="1"/>
      <c r="AG226" s="1"/>
      <c r="AI226" s="1"/>
    </row>
    <row r="227" spans="1:39" s="62" customFormat="1">
      <c r="A227" s="1"/>
      <c r="C227" s="1"/>
      <c r="D227" s="1"/>
      <c r="E227" s="1"/>
      <c r="F227" s="1"/>
      <c r="G227" s="1"/>
      <c r="H227" s="1"/>
      <c r="I227" s="1"/>
      <c r="K227" s="1"/>
      <c r="M227" s="1"/>
      <c r="O227" s="1"/>
      <c r="Q227" s="1"/>
      <c r="S227" s="1"/>
      <c r="U227" s="1"/>
      <c r="W227" s="1"/>
      <c r="Y227" s="1"/>
      <c r="AA227" s="1"/>
      <c r="AC227" s="1"/>
      <c r="AE227" s="1"/>
      <c r="AG227" s="1"/>
      <c r="AI227" s="1"/>
    </row>
    <row r="228" spans="1:39" s="62" customFormat="1">
      <c r="A228" s="1"/>
      <c r="C228" s="1"/>
      <c r="D228" s="1"/>
      <c r="E228" s="1"/>
      <c r="F228" s="1"/>
      <c r="G228" s="1"/>
      <c r="H228" s="1"/>
      <c r="I228" s="1"/>
      <c r="K228" s="1"/>
      <c r="M228" s="1"/>
      <c r="O228" s="1"/>
      <c r="Q228" s="1"/>
      <c r="S228" s="1"/>
      <c r="U228" s="1"/>
      <c r="W228" s="1"/>
      <c r="Y228" s="1"/>
      <c r="AA228" s="1"/>
      <c r="AC228" s="1"/>
      <c r="AE228" s="1"/>
      <c r="AG228" s="1"/>
      <c r="AI228" s="1"/>
    </row>
    <row r="229" spans="1:39" s="62" customFormat="1">
      <c r="A229" s="1"/>
      <c r="C229" s="1"/>
      <c r="D229" s="1"/>
      <c r="E229" s="1"/>
      <c r="F229" s="1"/>
      <c r="G229" s="1"/>
      <c r="H229" s="1"/>
      <c r="I229" s="1"/>
      <c r="K229" s="1"/>
      <c r="M229" s="1"/>
      <c r="O229" s="1"/>
      <c r="Q229" s="1"/>
      <c r="S229" s="1"/>
      <c r="U229" s="1"/>
      <c r="W229" s="1"/>
      <c r="Y229" s="1"/>
      <c r="AA229" s="1"/>
      <c r="AC229" s="1"/>
      <c r="AE229" s="1"/>
      <c r="AG229" s="1"/>
      <c r="AI229" s="1"/>
    </row>
    <row r="230" spans="1:39" s="62" customFormat="1">
      <c r="A230" s="1"/>
      <c r="C230" s="1"/>
      <c r="D230" s="1"/>
      <c r="E230" s="1"/>
      <c r="F230" s="1"/>
      <c r="G230" s="1"/>
      <c r="H230" s="1"/>
      <c r="I230" s="1"/>
      <c r="K230" s="1"/>
      <c r="M230" s="1"/>
      <c r="O230" s="1"/>
      <c r="Q230" s="1"/>
      <c r="S230" s="1"/>
      <c r="U230" s="1"/>
      <c r="W230" s="1"/>
      <c r="Y230" s="1"/>
      <c r="AA230" s="1"/>
      <c r="AC230" s="1"/>
      <c r="AE230" s="1"/>
      <c r="AG230" s="1"/>
      <c r="AI230" s="1"/>
    </row>
    <row r="231" spans="1:39" s="62" customFormat="1">
      <c r="A231" s="1"/>
      <c r="C231" s="1"/>
      <c r="D231" s="1"/>
      <c r="E231" s="1"/>
      <c r="F231" s="1"/>
      <c r="G231" s="1"/>
      <c r="H231" s="1"/>
      <c r="I231" s="1"/>
      <c r="K231" s="1"/>
      <c r="M231" s="1"/>
      <c r="O231" s="1"/>
      <c r="Q231" s="1"/>
      <c r="S231" s="1"/>
      <c r="U231" s="1"/>
      <c r="W231" s="1"/>
      <c r="Y231" s="1"/>
      <c r="AA231" s="1"/>
      <c r="AC231" s="1"/>
      <c r="AE231" s="1"/>
      <c r="AG231" s="1"/>
      <c r="AI231" s="1"/>
      <c r="AJ231" s="1"/>
      <c r="AK231" s="1"/>
      <c r="AL231" s="1"/>
      <c r="AM231" s="1"/>
    </row>
    <row r="232" spans="1:39" s="62" customFormat="1">
      <c r="A232" s="1"/>
      <c r="C232" s="1"/>
      <c r="D232" s="1"/>
      <c r="E232" s="1"/>
      <c r="F232" s="1"/>
      <c r="G232" s="1"/>
      <c r="H232" s="1"/>
      <c r="I232" s="1"/>
      <c r="K232" s="1"/>
      <c r="M232" s="1"/>
      <c r="O232" s="1"/>
      <c r="Q232" s="1"/>
      <c r="S232" s="1"/>
      <c r="U232" s="1"/>
      <c r="W232" s="1"/>
      <c r="Y232" s="1"/>
      <c r="AA232" s="1"/>
      <c r="AC232" s="1"/>
      <c r="AE232" s="1"/>
      <c r="AG232" s="1"/>
      <c r="AI232" s="1"/>
      <c r="AJ232" s="1"/>
      <c r="AK232" s="1"/>
      <c r="AL232" s="1"/>
      <c r="AM232" s="1"/>
    </row>
    <row r="233" spans="1:39" s="62" customFormat="1">
      <c r="A233" s="1"/>
      <c r="C233" s="1"/>
      <c r="D233" s="1"/>
      <c r="E233" s="1"/>
      <c r="F233" s="1"/>
      <c r="G233" s="1"/>
      <c r="H233" s="1"/>
      <c r="I233" s="1"/>
      <c r="K233" s="1"/>
      <c r="M233" s="1"/>
      <c r="O233" s="1"/>
      <c r="Q233" s="1"/>
      <c r="S233" s="1"/>
      <c r="U233" s="1"/>
      <c r="W233" s="1"/>
      <c r="Y233" s="1"/>
      <c r="AA233" s="1"/>
      <c r="AC233" s="1"/>
      <c r="AE233" s="1"/>
      <c r="AG233" s="1"/>
      <c r="AI233" s="1"/>
      <c r="AJ233" s="1"/>
      <c r="AK233" s="1"/>
      <c r="AL233" s="1"/>
      <c r="AM233" s="1"/>
    </row>
    <row r="234" spans="1:39" s="62" customFormat="1">
      <c r="A234" s="1"/>
      <c r="C234" s="1"/>
      <c r="D234" s="1"/>
      <c r="E234" s="1"/>
      <c r="F234" s="1"/>
      <c r="G234" s="1"/>
      <c r="H234" s="1"/>
      <c r="I234" s="1"/>
      <c r="K234" s="1"/>
      <c r="M234" s="1"/>
      <c r="O234" s="1"/>
      <c r="Q234" s="1"/>
      <c r="S234" s="1"/>
      <c r="U234" s="1"/>
      <c r="W234" s="1"/>
      <c r="Y234" s="1"/>
      <c r="AA234" s="1"/>
      <c r="AC234" s="1"/>
      <c r="AE234" s="1"/>
      <c r="AG234" s="1"/>
      <c r="AI234" s="1"/>
      <c r="AJ234" s="1"/>
      <c r="AK234" s="1"/>
      <c r="AL234" s="1"/>
      <c r="AM234" s="1"/>
    </row>
    <row r="235" spans="1:39" s="62" customFormat="1">
      <c r="A235" s="1"/>
      <c r="C235" s="1"/>
      <c r="D235" s="1"/>
      <c r="E235" s="1"/>
      <c r="F235" s="1"/>
      <c r="G235" s="1"/>
      <c r="H235" s="1"/>
      <c r="I235" s="1"/>
      <c r="K235" s="1"/>
      <c r="M235" s="1"/>
      <c r="O235" s="1"/>
      <c r="Q235" s="1"/>
      <c r="S235" s="1"/>
      <c r="U235" s="1"/>
      <c r="W235" s="1"/>
      <c r="Y235" s="1"/>
      <c r="AA235" s="1"/>
      <c r="AC235" s="1"/>
      <c r="AE235" s="1"/>
      <c r="AG235" s="1"/>
      <c r="AI235" s="1"/>
      <c r="AJ235" s="1"/>
      <c r="AK235" s="1"/>
      <c r="AL235" s="1"/>
      <c r="AM235" s="1"/>
    </row>
    <row r="236" spans="1:39">
      <c r="B236" s="62"/>
    </row>
    <row r="237" spans="1:39">
      <c r="B237" s="62"/>
    </row>
    <row r="238" spans="1:39">
      <c r="B238" s="62"/>
    </row>
    <row r="239" spans="1:39">
      <c r="B239" s="62"/>
    </row>
    <row r="240" spans="1:39">
      <c r="B240" s="62"/>
    </row>
    <row r="241" spans="2:2">
      <c r="B241" s="62"/>
    </row>
    <row r="242" spans="2:2">
      <c r="B242" s="62"/>
    </row>
    <row r="243" spans="2:2">
      <c r="B243" s="62"/>
    </row>
    <row r="244" spans="2:2">
      <c r="B244" s="62"/>
    </row>
    <row r="245" spans="2:2">
      <c r="B245" s="62"/>
    </row>
    <row r="246" spans="2:2">
      <c r="B246" s="62"/>
    </row>
    <row r="247" spans="2:2">
      <c r="B247" s="62"/>
    </row>
    <row r="248" spans="2:2">
      <c r="B248" s="62"/>
    </row>
    <row r="249" spans="2:2">
      <c r="B249" s="62"/>
    </row>
    <row r="250" spans="2:2">
      <c r="B250" s="62"/>
    </row>
    <row r="251" spans="2:2">
      <c r="B251" s="62"/>
    </row>
    <row r="252" spans="2:2">
      <c r="B252" s="62"/>
    </row>
    <row r="253" spans="2:2">
      <c r="B253" s="62"/>
    </row>
    <row r="254" spans="2:2">
      <c r="B254" s="62"/>
    </row>
    <row r="255" spans="2:2">
      <c r="B255" s="62"/>
    </row>
  </sheetData>
  <pageMargins left="0.25" right="0.25" top="0.27" bottom="0.4" header="0.18" footer="0.25"/>
  <pageSetup scale="42" fitToHeight="0" orientation="landscape" errors="blank" r:id="rId1"/>
  <headerFooter alignWithMargins="0">
    <oddFooter xml:space="preserve">&amp;L&amp;F - &amp;A
&amp;RPage &amp;P of &amp;N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95"/>
  <sheetViews>
    <sheetView view="pageBreakPreview" topLeftCell="A59" zoomScaleNormal="100" zoomScaleSheetLayoutView="100" workbookViewId="0">
      <selection activeCell="AI26" sqref="AI26"/>
    </sheetView>
  </sheetViews>
  <sheetFormatPr defaultRowHeight="15" outlineLevelRow="1"/>
  <cols>
    <col min="1" max="1" width="9.140625" style="95"/>
    <col min="2" max="2" width="36.140625" style="95" bestFit="1" customWidth="1"/>
    <col min="3" max="4" width="18" style="95" bestFit="1" customWidth="1"/>
    <col min="5" max="5" width="16.42578125" style="95" customWidth="1"/>
    <col min="6" max="6" width="34.42578125" style="95" customWidth="1"/>
    <col min="7" max="7" width="10.85546875" style="95" customWidth="1"/>
    <col min="8" max="257" width="9.140625" style="95"/>
    <col min="258" max="258" width="36.140625" style="95" bestFit="1" customWidth="1"/>
    <col min="259" max="260" width="18" style="95" bestFit="1" customWidth="1"/>
    <col min="261" max="261" width="13.5703125" style="95" customWidth="1"/>
    <col min="262" max="513" width="9.140625" style="95"/>
    <col min="514" max="514" width="36.140625" style="95" bestFit="1" customWidth="1"/>
    <col min="515" max="516" width="18" style="95" bestFit="1" customWidth="1"/>
    <col min="517" max="517" width="13.5703125" style="95" customWidth="1"/>
    <col min="518" max="769" width="9.140625" style="95"/>
    <col min="770" max="770" width="36.140625" style="95" bestFit="1" customWidth="1"/>
    <col min="771" max="772" width="18" style="95" bestFit="1" customWidth="1"/>
    <col min="773" max="773" width="13.5703125" style="95" customWidth="1"/>
    <col min="774" max="1025" width="9.140625" style="95"/>
    <col min="1026" max="1026" width="36.140625" style="95" bestFit="1" customWidth="1"/>
    <col min="1027" max="1028" width="18" style="95" bestFit="1" customWidth="1"/>
    <col min="1029" max="1029" width="13.5703125" style="95" customWidth="1"/>
    <col min="1030" max="1281" width="9.140625" style="95"/>
    <col min="1282" max="1282" width="36.140625" style="95" bestFit="1" customWidth="1"/>
    <col min="1283" max="1284" width="18" style="95" bestFit="1" customWidth="1"/>
    <col min="1285" max="1285" width="13.5703125" style="95" customWidth="1"/>
    <col min="1286" max="1537" width="9.140625" style="95"/>
    <col min="1538" max="1538" width="36.140625" style="95" bestFit="1" customWidth="1"/>
    <col min="1539" max="1540" width="18" style="95" bestFit="1" customWidth="1"/>
    <col min="1541" max="1541" width="13.5703125" style="95" customWidth="1"/>
    <col min="1542" max="1793" width="9.140625" style="95"/>
    <col min="1794" max="1794" width="36.140625" style="95" bestFit="1" customWidth="1"/>
    <col min="1795" max="1796" width="18" style="95" bestFit="1" customWidth="1"/>
    <col min="1797" max="1797" width="13.5703125" style="95" customWidth="1"/>
    <col min="1798" max="2049" width="9.140625" style="95"/>
    <col min="2050" max="2050" width="36.140625" style="95" bestFit="1" customWidth="1"/>
    <col min="2051" max="2052" width="18" style="95" bestFit="1" customWidth="1"/>
    <col min="2053" max="2053" width="13.5703125" style="95" customWidth="1"/>
    <col min="2054" max="2305" width="9.140625" style="95"/>
    <col min="2306" max="2306" width="36.140625" style="95" bestFit="1" customWidth="1"/>
    <col min="2307" max="2308" width="18" style="95" bestFit="1" customWidth="1"/>
    <col min="2309" max="2309" width="13.5703125" style="95" customWidth="1"/>
    <col min="2310" max="2561" width="9.140625" style="95"/>
    <col min="2562" max="2562" width="36.140625" style="95" bestFit="1" customWidth="1"/>
    <col min="2563" max="2564" width="18" style="95" bestFit="1" customWidth="1"/>
    <col min="2565" max="2565" width="13.5703125" style="95" customWidth="1"/>
    <col min="2566" max="2817" width="9.140625" style="95"/>
    <col min="2818" max="2818" width="36.140625" style="95" bestFit="1" customWidth="1"/>
    <col min="2819" max="2820" width="18" style="95" bestFit="1" customWidth="1"/>
    <col min="2821" max="2821" width="13.5703125" style="95" customWidth="1"/>
    <col min="2822" max="3073" width="9.140625" style="95"/>
    <col min="3074" max="3074" width="36.140625" style="95" bestFit="1" customWidth="1"/>
    <col min="3075" max="3076" width="18" style="95" bestFit="1" customWidth="1"/>
    <col min="3077" max="3077" width="13.5703125" style="95" customWidth="1"/>
    <col min="3078" max="3329" width="9.140625" style="95"/>
    <col min="3330" max="3330" width="36.140625" style="95" bestFit="1" customWidth="1"/>
    <col min="3331" max="3332" width="18" style="95" bestFit="1" customWidth="1"/>
    <col min="3333" max="3333" width="13.5703125" style="95" customWidth="1"/>
    <col min="3334" max="3585" width="9.140625" style="95"/>
    <col min="3586" max="3586" width="36.140625" style="95" bestFit="1" customWidth="1"/>
    <col min="3587" max="3588" width="18" style="95" bestFit="1" customWidth="1"/>
    <col min="3589" max="3589" width="13.5703125" style="95" customWidth="1"/>
    <col min="3590" max="3841" width="9.140625" style="95"/>
    <col min="3842" max="3842" width="36.140625" style="95" bestFit="1" customWidth="1"/>
    <col min="3843" max="3844" width="18" style="95" bestFit="1" customWidth="1"/>
    <col min="3845" max="3845" width="13.5703125" style="95" customWidth="1"/>
    <col min="3846" max="4097" width="9.140625" style="95"/>
    <col min="4098" max="4098" width="36.140625" style="95" bestFit="1" customWidth="1"/>
    <col min="4099" max="4100" width="18" style="95" bestFit="1" customWidth="1"/>
    <col min="4101" max="4101" width="13.5703125" style="95" customWidth="1"/>
    <col min="4102" max="4353" width="9.140625" style="95"/>
    <col min="4354" max="4354" width="36.140625" style="95" bestFit="1" customWidth="1"/>
    <col min="4355" max="4356" width="18" style="95" bestFit="1" customWidth="1"/>
    <col min="4357" max="4357" width="13.5703125" style="95" customWidth="1"/>
    <col min="4358" max="4609" width="9.140625" style="95"/>
    <col min="4610" max="4610" width="36.140625" style="95" bestFit="1" customWidth="1"/>
    <col min="4611" max="4612" width="18" style="95" bestFit="1" customWidth="1"/>
    <col min="4613" max="4613" width="13.5703125" style="95" customWidth="1"/>
    <col min="4614" max="4865" width="9.140625" style="95"/>
    <col min="4866" max="4866" width="36.140625" style="95" bestFit="1" customWidth="1"/>
    <col min="4867" max="4868" width="18" style="95" bestFit="1" customWidth="1"/>
    <col min="4869" max="4869" width="13.5703125" style="95" customWidth="1"/>
    <col min="4870" max="5121" width="9.140625" style="95"/>
    <col min="5122" max="5122" width="36.140625" style="95" bestFit="1" customWidth="1"/>
    <col min="5123" max="5124" width="18" style="95" bestFit="1" customWidth="1"/>
    <col min="5125" max="5125" width="13.5703125" style="95" customWidth="1"/>
    <col min="5126" max="5377" width="9.140625" style="95"/>
    <col min="5378" max="5378" width="36.140625" style="95" bestFit="1" customWidth="1"/>
    <col min="5379" max="5380" width="18" style="95" bestFit="1" customWidth="1"/>
    <col min="5381" max="5381" width="13.5703125" style="95" customWidth="1"/>
    <col min="5382" max="5633" width="9.140625" style="95"/>
    <col min="5634" max="5634" width="36.140625" style="95" bestFit="1" customWidth="1"/>
    <col min="5635" max="5636" width="18" style="95" bestFit="1" customWidth="1"/>
    <col min="5637" max="5637" width="13.5703125" style="95" customWidth="1"/>
    <col min="5638" max="5889" width="9.140625" style="95"/>
    <col min="5890" max="5890" width="36.140625" style="95" bestFit="1" customWidth="1"/>
    <col min="5891" max="5892" width="18" style="95" bestFit="1" customWidth="1"/>
    <col min="5893" max="5893" width="13.5703125" style="95" customWidth="1"/>
    <col min="5894" max="6145" width="9.140625" style="95"/>
    <col min="6146" max="6146" width="36.140625" style="95" bestFit="1" customWidth="1"/>
    <col min="6147" max="6148" width="18" style="95" bestFit="1" customWidth="1"/>
    <col min="6149" max="6149" width="13.5703125" style="95" customWidth="1"/>
    <col min="6150" max="6401" width="9.140625" style="95"/>
    <col min="6402" max="6402" width="36.140625" style="95" bestFit="1" customWidth="1"/>
    <col min="6403" max="6404" width="18" style="95" bestFit="1" customWidth="1"/>
    <col min="6405" max="6405" width="13.5703125" style="95" customWidth="1"/>
    <col min="6406" max="6657" width="9.140625" style="95"/>
    <col min="6658" max="6658" width="36.140625" style="95" bestFit="1" customWidth="1"/>
    <col min="6659" max="6660" width="18" style="95" bestFit="1" customWidth="1"/>
    <col min="6661" max="6661" width="13.5703125" style="95" customWidth="1"/>
    <col min="6662" max="6913" width="9.140625" style="95"/>
    <col min="6914" max="6914" width="36.140625" style="95" bestFit="1" customWidth="1"/>
    <col min="6915" max="6916" width="18" style="95" bestFit="1" customWidth="1"/>
    <col min="6917" max="6917" width="13.5703125" style="95" customWidth="1"/>
    <col min="6918" max="7169" width="9.140625" style="95"/>
    <col min="7170" max="7170" width="36.140625" style="95" bestFit="1" customWidth="1"/>
    <col min="7171" max="7172" width="18" style="95" bestFit="1" customWidth="1"/>
    <col min="7173" max="7173" width="13.5703125" style="95" customWidth="1"/>
    <col min="7174" max="7425" width="9.140625" style="95"/>
    <col min="7426" max="7426" width="36.140625" style="95" bestFit="1" customWidth="1"/>
    <col min="7427" max="7428" width="18" style="95" bestFit="1" customWidth="1"/>
    <col min="7429" max="7429" width="13.5703125" style="95" customWidth="1"/>
    <col min="7430" max="7681" width="9.140625" style="95"/>
    <col min="7682" max="7682" width="36.140625" style="95" bestFit="1" customWidth="1"/>
    <col min="7683" max="7684" width="18" style="95" bestFit="1" customWidth="1"/>
    <col min="7685" max="7685" width="13.5703125" style="95" customWidth="1"/>
    <col min="7686" max="7937" width="9.140625" style="95"/>
    <col min="7938" max="7938" width="36.140625" style="95" bestFit="1" customWidth="1"/>
    <col min="7939" max="7940" width="18" style="95" bestFit="1" customWidth="1"/>
    <col min="7941" max="7941" width="13.5703125" style="95" customWidth="1"/>
    <col min="7942" max="8193" width="9.140625" style="95"/>
    <col min="8194" max="8194" width="36.140625" style="95" bestFit="1" customWidth="1"/>
    <col min="8195" max="8196" width="18" style="95" bestFit="1" customWidth="1"/>
    <col min="8197" max="8197" width="13.5703125" style="95" customWidth="1"/>
    <col min="8198" max="8449" width="9.140625" style="95"/>
    <col min="8450" max="8450" width="36.140625" style="95" bestFit="1" customWidth="1"/>
    <col min="8451" max="8452" width="18" style="95" bestFit="1" customWidth="1"/>
    <col min="8453" max="8453" width="13.5703125" style="95" customWidth="1"/>
    <col min="8454" max="8705" width="9.140625" style="95"/>
    <col min="8706" max="8706" width="36.140625" style="95" bestFit="1" customWidth="1"/>
    <col min="8707" max="8708" width="18" style="95" bestFit="1" customWidth="1"/>
    <col min="8709" max="8709" width="13.5703125" style="95" customWidth="1"/>
    <col min="8710" max="8961" width="9.140625" style="95"/>
    <col min="8962" max="8962" width="36.140625" style="95" bestFit="1" customWidth="1"/>
    <col min="8963" max="8964" width="18" style="95" bestFit="1" customWidth="1"/>
    <col min="8965" max="8965" width="13.5703125" style="95" customWidth="1"/>
    <col min="8966" max="9217" width="9.140625" style="95"/>
    <col min="9218" max="9218" width="36.140625" style="95" bestFit="1" customWidth="1"/>
    <col min="9219" max="9220" width="18" style="95" bestFit="1" customWidth="1"/>
    <col min="9221" max="9221" width="13.5703125" style="95" customWidth="1"/>
    <col min="9222" max="9473" width="9.140625" style="95"/>
    <col min="9474" max="9474" width="36.140625" style="95" bestFit="1" customWidth="1"/>
    <col min="9475" max="9476" width="18" style="95" bestFit="1" customWidth="1"/>
    <col min="9477" max="9477" width="13.5703125" style="95" customWidth="1"/>
    <col min="9478" max="9729" width="9.140625" style="95"/>
    <col min="9730" max="9730" width="36.140625" style="95" bestFit="1" customWidth="1"/>
    <col min="9731" max="9732" width="18" style="95" bestFit="1" customWidth="1"/>
    <col min="9733" max="9733" width="13.5703125" style="95" customWidth="1"/>
    <col min="9734" max="9985" width="9.140625" style="95"/>
    <col min="9986" max="9986" width="36.140625" style="95" bestFit="1" customWidth="1"/>
    <col min="9987" max="9988" width="18" style="95" bestFit="1" customWidth="1"/>
    <col min="9989" max="9989" width="13.5703125" style="95" customWidth="1"/>
    <col min="9990" max="10241" width="9.140625" style="95"/>
    <col min="10242" max="10242" width="36.140625" style="95" bestFit="1" customWidth="1"/>
    <col min="10243" max="10244" width="18" style="95" bestFit="1" customWidth="1"/>
    <col min="10245" max="10245" width="13.5703125" style="95" customWidth="1"/>
    <col min="10246" max="10497" width="9.140625" style="95"/>
    <col min="10498" max="10498" width="36.140625" style="95" bestFit="1" customWidth="1"/>
    <col min="10499" max="10500" width="18" style="95" bestFit="1" customWidth="1"/>
    <col min="10501" max="10501" width="13.5703125" style="95" customWidth="1"/>
    <col min="10502" max="10753" width="9.140625" style="95"/>
    <col min="10754" max="10754" width="36.140625" style="95" bestFit="1" customWidth="1"/>
    <col min="10755" max="10756" width="18" style="95" bestFit="1" customWidth="1"/>
    <col min="10757" max="10757" width="13.5703125" style="95" customWidth="1"/>
    <col min="10758" max="11009" width="9.140625" style="95"/>
    <col min="11010" max="11010" width="36.140625" style="95" bestFit="1" customWidth="1"/>
    <col min="11011" max="11012" width="18" style="95" bestFit="1" customWidth="1"/>
    <col min="11013" max="11013" width="13.5703125" style="95" customWidth="1"/>
    <col min="11014" max="11265" width="9.140625" style="95"/>
    <col min="11266" max="11266" width="36.140625" style="95" bestFit="1" customWidth="1"/>
    <col min="11267" max="11268" width="18" style="95" bestFit="1" customWidth="1"/>
    <col min="11269" max="11269" width="13.5703125" style="95" customWidth="1"/>
    <col min="11270" max="11521" width="9.140625" style="95"/>
    <col min="11522" max="11522" width="36.140625" style="95" bestFit="1" customWidth="1"/>
    <col min="11523" max="11524" width="18" style="95" bestFit="1" customWidth="1"/>
    <col min="11525" max="11525" width="13.5703125" style="95" customWidth="1"/>
    <col min="11526" max="11777" width="9.140625" style="95"/>
    <col min="11778" max="11778" width="36.140625" style="95" bestFit="1" customWidth="1"/>
    <col min="11779" max="11780" width="18" style="95" bestFit="1" customWidth="1"/>
    <col min="11781" max="11781" width="13.5703125" style="95" customWidth="1"/>
    <col min="11782" max="12033" width="9.140625" style="95"/>
    <col min="12034" max="12034" width="36.140625" style="95" bestFit="1" customWidth="1"/>
    <col min="12035" max="12036" width="18" style="95" bestFit="1" customWidth="1"/>
    <col min="12037" max="12037" width="13.5703125" style="95" customWidth="1"/>
    <col min="12038" max="12289" width="9.140625" style="95"/>
    <col min="12290" max="12290" width="36.140625" style="95" bestFit="1" customWidth="1"/>
    <col min="12291" max="12292" width="18" style="95" bestFit="1" customWidth="1"/>
    <col min="12293" max="12293" width="13.5703125" style="95" customWidth="1"/>
    <col min="12294" max="12545" width="9.140625" style="95"/>
    <col min="12546" max="12546" width="36.140625" style="95" bestFit="1" customWidth="1"/>
    <col min="12547" max="12548" width="18" style="95" bestFit="1" customWidth="1"/>
    <col min="12549" max="12549" width="13.5703125" style="95" customWidth="1"/>
    <col min="12550" max="12801" width="9.140625" style="95"/>
    <col min="12802" max="12802" width="36.140625" style="95" bestFit="1" customWidth="1"/>
    <col min="12803" max="12804" width="18" style="95" bestFit="1" customWidth="1"/>
    <col min="12805" max="12805" width="13.5703125" style="95" customWidth="1"/>
    <col min="12806" max="13057" width="9.140625" style="95"/>
    <col min="13058" max="13058" width="36.140625" style="95" bestFit="1" customWidth="1"/>
    <col min="13059" max="13060" width="18" style="95" bestFit="1" customWidth="1"/>
    <col min="13061" max="13061" width="13.5703125" style="95" customWidth="1"/>
    <col min="13062" max="13313" width="9.140625" style="95"/>
    <col min="13314" max="13314" width="36.140625" style="95" bestFit="1" customWidth="1"/>
    <col min="13315" max="13316" width="18" style="95" bestFit="1" customWidth="1"/>
    <col min="13317" max="13317" width="13.5703125" style="95" customWidth="1"/>
    <col min="13318" max="13569" width="9.140625" style="95"/>
    <col min="13570" max="13570" width="36.140625" style="95" bestFit="1" customWidth="1"/>
    <col min="13571" max="13572" width="18" style="95" bestFit="1" customWidth="1"/>
    <col min="13573" max="13573" width="13.5703125" style="95" customWidth="1"/>
    <col min="13574" max="13825" width="9.140625" style="95"/>
    <col min="13826" max="13826" width="36.140625" style="95" bestFit="1" customWidth="1"/>
    <col min="13827" max="13828" width="18" style="95" bestFit="1" customWidth="1"/>
    <col min="13829" max="13829" width="13.5703125" style="95" customWidth="1"/>
    <col min="13830" max="14081" width="9.140625" style="95"/>
    <col min="14082" max="14082" width="36.140625" style="95" bestFit="1" customWidth="1"/>
    <col min="14083" max="14084" width="18" style="95" bestFit="1" customWidth="1"/>
    <col min="14085" max="14085" width="13.5703125" style="95" customWidth="1"/>
    <col min="14086" max="14337" width="9.140625" style="95"/>
    <col min="14338" max="14338" width="36.140625" style="95" bestFit="1" customWidth="1"/>
    <col min="14339" max="14340" width="18" style="95" bestFit="1" customWidth="1"/>
    <col min="14341" max="14341" width="13.5703125" style="95" customWidth="1"/>
    <col min="14342" max="14593" width="9.140625" style="95"/>
    <col min="14594" max="14594" width="36.140625" style="95" bestFit="1" customWidth="1"/>
    <col min="14595" max="14596" width="18" style="95" bestFit="1" customWidth="1"/>
    <col min="14597" max="14597" width="13.5703125" style="95" customWidth="1"/>
    <col min="14598" max="14849" width="9.140625" style="95"/>
    <col min="14850" max="14850" width="36.140625" style="95" bestFit="1" customWidth="1"/>
    <col min="14851" max="14852" width="18" style="95" bestFit="1" customWidth="1"/>
    <col min="14853" max="14853" width="13.5703125" style="95" customWidth="1"/>
    <col min="14854" max="15105" width="9.140625" style="95"/>
    <col min="15106" max="15106" width="36.140625" style="95" bestFit="1" customWidth="1"/>
    <col min="15107" max="15108" width="18" style="95" bestFit="1" customWidth="1"/>
    <col min="15109" max="15109" width="13.5703125" style="95" customWidth="1"/>
    <col min="15110" max="15361" width="9.140625" style="95"/>
    <col min="15362" max="15362" width="36.140625" style="95" bestFit="1" customWidth="1"/>
    <col min="15363" max="15364" width="18" style="95" bestFit="1" customWidth="1"/>
    <col min="15365" max="15365" width="13.5703125" style="95" customWidth="1"/>
    <col min="15366" max="15617" width="9.140625" style="95"/>
    <col min="15618" max="15618" width="36.140625" style="95" bestFit="1" customWidth="1"/>
    <col min="15619" max="15620" width="18" style="95" bestFit="1" customWidth="1"/>
    <col min="15621" max="15621" width="13.5703125" style="95" customWidth="1"/>
    <col min="15622" max="15873" width="9.140625" style="95"/>
    <col min="15874" max="15874" width="36.140625" style="95" bestFit="1" customWidth="1"/>
    <col min="15875" max="15876" width="18" style="95" bestFit="1" customWidth="1"/>
    <col min="15877" max="15877" width="13.5703125" style="95" customWidth="1"/>
    <col min="15878" max="16129" width="9.140625" style="95"/>
    <col min="16130" max="16130" width="36.140625" style="95" bestFit="1" customWidth="1"/>
    <col min="16131" max="16132" width="18" style="95" bestFit="1" customWidth="1"/>
    <col min="16133" max="16133" width="13.5703125" style="95" customWidth="1"/>
    <col min="16134" max="16384" width="9.140625" style="95"/>
  </cols>
  <sheetData>
    <row r="1" spans="1:6" hidden="1" outlineLevel="1">
      <c r="C1" t="s">
        <v>384</v>
      </c>
      <c r="D1"/>
    </row>
    <row r="2" spans="1:6" hidden="1" outlineLevel="1">
      <c r="C2" t="s">
        <v>383</v>
      </c>
      <c r="D2" t="s">
        <v>17</v>
      </c>
    </row>
    <row r="3" spans="1:6" hidden="1" outlineLevel="1">
      <c r="C3" t="s">
        <v>383</v>
      </c>
      <c r="D3"/>
    </row>
    <row r="4" spans="1:6" hidden="1" outlineLevel="1">
      <c r="C4" t="s">
        <v>382</v>
      </c>
      <c r="D4"/>
    </row>
    <row r="5" spans="1:6" collapsed="1">
      <c r="A5" s="119" t="s">
        <v>212</v>
      </c>
      <c r="B5" s="122"/>
      <c r="C5" s="121"/>
      <c r="D5" s="121"/>
    </row>
    <row r="6" spans="1:6">
      <c r="A6" s="119" t="s">
        <v>381</v>
      </c>
      <c r="B6" s="116"/>
      <c r="C6" s="116"/>
    </row>
    <row r="7" spans="1:6">
      <c r="A7" s="119"/>
      <c r="B7" s="116"/>
      <c r="C7" s="116"/>
      <c r="D7" s="716" t="s">
        <v>1417</v>
      </c>
      <c r="E7" s="117" t="s">
        <v>380</v>
      </c>
    </row>
    <row r="8" spans="1:6">
      <c r="A8" s="119"/>
      <c r="B8" s="116"/>
      <c r="C8" s="120" t="s">
        <v>379</v>
      </c>
      <c r="D8" s="716" t="s">
        <v>1416</v>
      </c>
      <c r="E8" s="117" t="s">
        <v>378</v>
      </c>
    </row>
    <row r="9" spans="1:6">
      <c r="A9" s="119"/>
      <c r="B9" s="116"/>
      <c r="C9" s="118" t="s">
        <v>356</v>
      </c>
      <c r="D9" s="118" t="s">
        <v>350</v>
      </c>
      <c r="E9" s="117" t="s">
        <v>377</v>
      </c>
    </row>
    <row r="10" spans="1:6">
      <c r="A10" s="116"/>
      <c r="B10" s="116"/>
      <c r="C10" s="115" t="s">
        <v>17</v>
      </c>
      <c r="D10" s="114" t="s">
        <v>376</v>
      </c>
      <c r="E10" s="113">
        <v>42735</v>
      </c>
    </row>
    <row r="11" spans="1:6" s="97" customFormat="1">
      <c r="A11" s="110">
        <v>50086</v>
      </c>
      <c r="B11" s="100" t="s">
        <v>263</v>
      </c>
      <c r="C11" s="103">
        <v>137975.42000000001</v>
      </c>
      <c r="D11" s="108"/>
      <c r="E11" s="107">
        <f t="shared" ref="E11:E42" si="0">C11+D11</f>
        <v>137975.42000000001</v>
      </c>
    </row>
    <row r="12" spans="1:6" s="97" customFormat="1" ht="30.75" customHeight="1">
      <c r="A12" s="110">
        <v>51260</v>
      </c>
      <c r="B12" s="100" t="s">
        <v>316</v>
      </c>
      <c r="C12" s="109">
        <v>480760.54</v>
      </c>
      <c r="D12" s="108">
        <v>-437090</v>
      </c>
      <c r="E12" s="107">
        <f t="shared" si="0"/>
        <v>43670.539999999979</v>
      </c>
      <c r="F12" s="1389" t="s">
        <v>375</v>
      </c>
    </row>
    <row r="13" spans="1:6" s="97" customFormat="1">
      <c r="A13" s="110">
        <v>52090</v>
      </c>
      <c r="B13" s="100" t="s">
        <v>57</v>
      </c>
      <c r="C13" s="109">
        <v>0</v>
      </c>
      <c r="D13" s="108"/>
      <c r="E13" s="107">
        <f t="shared" si="0"/>
        <v>0</v>
      </c>
    </row>
    <row r="14" spans="1:6" s="97" customFormat="1">
      <c r="A14" s="110">
        <v>52120</v>
      </c>
      <c r="B14" s="100" t="s">
        <v>270</v>
      </c>
      <c r="C14" s="109">
        <v>-55112.39</v>
      </c>
      <c r="D14" s="108"/>
      <c r="E14" s="107">
        <f t="shared" si="0"/>
        <v>-55112.39</v>
      </c>
    </row>
    <row r="15" spans="1:6" s="97" customFormat="1">
      <c r="A15" s="110">
        <v>56037</v>
      </c>
      <c r="B15" s="100" t="s">
        <v>370</v>
      </c>
      <c r="C15" s="109">
        <v>0</v>
      </c>
      <c r="D15" s="108"/>
      <c r="E15" s="107">
        <f t="shared" si="0"/>
        <v>0</v>
      </c>
    </row>
    <row r="16" spans="1:6" s="97" customFormat="1">
      <c r="A16" s="110">
        <v>57255</v>
      </c>
      <c r="B16" s="100" t="s">
        <v>86</v>
      </c>
      <c r="C16" s="109">
        <v>0</v>
      </c>
      <c r="D16" s="108"/>
      <c r="E16" s="107">
        <f t="shared" si="0"/>
        <v>0</v>
      </c>
    </row>
    <row r="17" spans="1:7" s="97" customFormat="1" ht="45">
      <c r="A17" s="110">
        <v>57260</v>
      </c>
      <c r="B17" s="100" t="s">
        <v>316</v>
      </c>
      <c r="C17" s="109">
        <v>516362.17</v>
      </c>
      <c r="D17" s="108">
        <f>-4570.95</f>
        <v>-4570.95</v>
      </c>
      <c r="E17" s="107">
        <f t="shared" si="0"/>
        <v>511791.22</v>
      </c>
      <c r="F17" s="1389" t="s">
        <v>374</v>
      </c>
    </row>
    <row r="18" spans="1:7" s="97" customFormat="1">
      <c r="A18" s="110">
        <v>59271</v>
      </c>
      <c r="B18" s="100" t="s">
        <v>362</v>
      </c>
      <c r="C18" s="109">
        <v>0</v>
      </c>
      <c r="D18" s="108"/>
      <c r="E18" s="107">
        <f t="shared" si="0"/>
        <v>0</v>
      </c>
    </row>
    <row r="19" spans="1:7" s="97" customFormat="1">
      <c r="A19" s="110">
        <v>59331</v>
      </c>
      <c r="B19" s="100" t="s">
        <v>373</v>
      </c>
      <c r="C19" s="109">
        <v>1072196.8700000001</v>
      </c>
      <c r="D19" s="108"/>
      <c r="E19" s="107">
        <f t="shared" si="0"/>
        <v>1072196.8700000001</v>
      </c>
    </row>
    <row r="20" spans="1:7" s="97" customFormat="1">
      <c r="A20" s="110">
        <v>59340</v>
      </c>
      <c r="B20" s="100" t="s">
        <v>102</v>
      </c>
      <c r="C20" s="109">
        <v>-60120</v>
      </c>
      <c r="D20" s="108"/>
      <c r="E20" s="107">
        <f t="shared" si="0"/>
        <v>-60120</v>
      </c>
    </row>
    <row r="21" spans="1:7" s="97" customFormat="1">
      <c r="A21" s="110">
        <v>70010</v>
      </c>
      <c r="B21" s="100" t="s">
        <v>33</v>
      </c>
      <c r="C21" s="109">
        <v>36426734.509999998</v>
      </c>
      <c r="D21" s="108"/>
      <c r="E21" s="107">
        <f t="shared" si="0"/>
        <v>36426734.509999998</v>
      </c>
    </row>
    <row r="22" spans="1:7" s="97" customFormat="1">
      <c r="A22" s="110">
        <v>70015</v>
      </c>
      <c r="B22" s="100" t="s">
        <v>372</v>
      </c>
      <c r="C22" s="109">
        <v>1174036.3899999999</v>
      </c>
      <c r="D22" s="108"/>
      <c r="E22" s="107">
        <f t="shared" si="0"/>
        <v>1174036.3899999999</v>
      </c>
    </row>
    <row r="23" spans="1:7" s="97" customFormat="1">
      <c r="A23" s="110">
        <v>70020</v>
      </c>
      <c r="B23" s="100" t="s">
        <v>42</v>
      </c>
      <c r="C23" s="109">
        <v>951107.51</v>
      </c>
      <c r="D23" s="108"/>
      <c r="E23" s="107">
        <f t="shared" si="0"/>
        <v>951107.51</v>
      </c>
    </row>
    <row r="24" spans="1:7" s="97" customFormat="1">
      <c r="A24" s="110">
        <v>70025</v>
      </c>
      <c r="B24" s="100" t="s">
        <v>43</v>
      </c>
      <c r="C24" s="109">
        <v>117670.29</v>
      </c>
      <c r="D24" s="108"/>
      <c r="E24" s="107">
        <f t="shared" si="0"/>
        <v>117670.29</v>
      </c>
    </row>
    <row r="25" spans="1:7" s="97" customFormat="1">
      <c r="A25" s="110">
        <v>70030</v>
      </c>
      <c r="B25" s="100" t="s">
        <v>371</v>
      </c>
      <c r="C25" s="109">
        <v>26829667.879999999</v>
      </c>
      <c r="D25" s="108">
        <f>-C25</f>
        <v>-26829667.879999999</v>
      </c>
      <c r="E25" s="107">
        <f t="shared" si="0"/>
        <v>0</v>
      </c>
    </row>
    <row r="26" spans="1:7" s="97" customFormat="1">
      <c r="A26" s="110">
        <v>70036</v>
      </c>
      <c r="B26" s="100" t="s">
        <v>45</v>
      </c>
      <c r="C26" s="109">
        <v>195541.07</v>
      </c>
      <c r="D26" s="108">
        <f>-C26</f>
        <v>-195541.07</v>
      </c>
      <c r="E26" s="107">
        <f t="shared" si="0"/>
        <v>0</v>
      </c>
    </row>
    <row r="27" spans="1:7" s="97" customFormat="1">
      <c r="A27" s="110">
        <v>70037</v>
      </c>
      <c r="B27" s="100" t="s">
        <v>370</v>
      </c>
      <c r="C27" s="109">
        <v>219093.16</v>
      </c>
      <c r="D27" s="108">
        <f>-C27</f>
        <v>-219093.16</v>
      </c>
      <c r="E27" s="107">
        <f t="shared" si="0"/>
        <v>0</v>
      </c>
    </row>
    <row r="28" spans="1:7" s="97" customFormat="1">
      <c r="A28" s="110">
        <v>70045</v>
      </c>
      <c r="B28" s="100" t="s">
        <v>56</v>
      </c>
      <c r="C28" s="109">
        <v>918125.96</v>
      </c>
      <c r="D28" s="108"/>
      <c r="E28" s="107">
        <f t="shared" si="0"/>
        <v>918125.96</v>
      </c>
    </row>
    <row r="29" spans="1:7" s="97" customFormat="1">
      <c r="A29" s="110">
        <v>70050</v>
      </c>
      <c r="B29" s="100" t="s">
        <v>190</v>
      </c>
      <c r="C29" s="109">
        <v>2437473.69</v>
      </c>
      <c r="D29" s="108">
        <f>SUM(D25:D27)*F29</f>
        <v>-1005584.3805685312</v>
      </c>
      <c r="E29" s="107">
        <f t="shared" si="0"/>
        <v>1431889.3094314686</v>
      </c>
      <c r="F29" s="112">
        <f>C29/SUM(C21:C27,C31:C32)</f>
        <v>3.690989684773141E-2</v>
      </c>
      <c r="G29" s="97" t="s">
        <v>369</v>
      </c>
    </row>
    <row r="30" spans="1:7" s="97" customFormat="1">
      <c r="A30" s="110">
        <v>70060</v>
      </c>
      <c r="B30" s="100" t="s">
        <v>138</v>
      </c>
      <c r="C30" s="109">
        <v>973470.95</v>
      </c>
      <c r="D30" s="108"/>
      <c r="E30" s="107">
        <f t="shared" si="0"/>
        <v>973470.95</v>
      </c>
    </row>
    <row r="31" spans="1:7" s="97" customFormat="1">
      <c r="A31" s="110">
        <v>70065</v>
      </c>
      <c r="B31" s="100" t="s">
        <v>39</v>
      </c>
      <c r="C31" s="109">
        <v>109763.79</v>
      </c>
      <c r="D31" s="108"/>
      <c r="E31" s="107">
        <f t="shared" si="0"/>
        <v>109763.79</v>
      </c>
    </row>
    <row r="32" spans="1:7" s="97" customFormat="1">
      <c r="A32" s="110">
        <v>70070</v>
      </c>
      <c r="B32" s="100" t="s">
        <v>40</v>
      </c>
      <c r="C32" s="109">
        <v>14870.96</v>
      </c>
      <c r="D32" s="108"/>
      <c r="E32" s="107">
        <f t="shared" si="0"/>
        <v>14870.96</v>
      </c>
    </row>
    <row r="33" spans="1:5" s="97" customFormat="1">
      <c r="A33" s="110">
        <v>70086</v>
      </c>
      <c r="B33" s="100" t="s">
        <v>263</v>
      </c>
      <c r="C33" s="109">
        <v>326544.23</v>
      </c>
      <c r="D33" s="108"/>
      <c r="E33" s="107">
        <f t="shared" si="0"/>
        <v>326544.23</v>
      </c>
    </row>
    <row r="34" spans="1:5" s="97" customFormat="1">
      <c r="A34" s="110">
        <v>70090</v>
      </c>
      <c r="B34" s="100" t="s">
        <v>148</v>
      </c>
      <c r="C34" s="109">
        <v>1202194.48</v>
      </c>
      <c r="D34" s="108"/>
      <c r="E34" s="107">
        <f t="shared" si="0"/>
        <v>1202194.48</v>
      </c>
    </row>
    <row r="35" spans="1:5" s="97" customFormat="1">
      <c r="A35" s="110">
        <v>70095</v>
      </c>
      <c r="B35" s="100" t="s">
        <v>145</v>
      </c>
      <c r="C35" s="109">
        <v>586005.43000000005</v>
      </c>
      <c r="D35" s="108">
        <f>-C35</f>
        <v>-586005.43000000005</v>
      </c>
      <c r="E35" s="107">
        <f t="shared" si="0"/>
        <v>0</v>
      </c>
    </row>
    <row r="36" spans="1:5" s="97" customFormat="1">
      <c r="A36" s="110">
        <v>70105</v>
      </c>
      <c r="B36" s="100" t="s">
        <v>149</v>
      </c>
      <c r="C36" s="109">
        <v>1123873.01</v>
      </c>
      <c r="D36" s="108">
        <f>-C36</f>
        <v>-1123873.01</v>
      </c>
      <c r="E36" s="107">
        <f t="shared" si="0"/>
        <v>0</v>
      </c>
    </row>
    <row r="37" spans="1:5" s="97" customFormat="1">
      <c r="A37" s="110">
        <v>70106</v>
      </c>
      <c r="B37" s="100" t="s">
        <v>368</v>
      </c>
      <c r="C37" s="109">
        <v>33779643.979999997</v>
      </c>
      <c r="D37" s="108">
        <f>-C37</f>
        <v>-33779643.979999997</v>
      </c>
      <c r="E37" s="107">
        <f t="shared" si="0"/>
        <v>0</v>
      </c>
    </row>
    <row r="38" spans="1:5" s="97" customFormat="1">
      <c r="A38" s="110">
        <v>70110</v>
      </c>
      <c r="B38" s="100" t="s">
        <v>150</v>
      </c>
      <c r="C38" s="109">
        <v>247397</v>
      </c>
      <c r="D38" s="108">
        <f>-C38</f>
        <v>-247397</v>
      </c>
      <c r="E38" s="107">
        <f t="shared" si="0"/>
        <v>0</v>
      </c>
    </row>
    <row r="39" spans="1:5" s="97" customFormat="1">
      <c r="A39" s="110">
        <v>70112</v>
      </c>
      <c r="B39" s="100" t="s">
        <v>301</v>
      </c>
      <c r="C39" s="109">
        <v>15000</v>
      </c>
      <c r="D39" s="108">
        <f>-C39</f>
        <v>-15000</v>
      </c>
      <c r="E39" s="107">
        <f t="shared" si="0"/>
        <v>0</v>
      </c>
    </row>
    <row r="40" spans="1:5" s="97" customFormat="1">
      <c r="A40" s="110">
        <v>70116</v>
      </c>
      <c r="B40" s="100" t="s">
        <v>265</v>
      </c>
      <c r="C40" s="109">
        <v>178092.35</v>
      </c>
      <c r="D40" s="108"/>
      <c r="E40" s="107">
        <f t="shared" si="0"/>
        <v>178092.35</v>
      </c>
    </row>
    <row r="41" spans="1:5" s="97" customFormat="1">
      <c r="A41" s="110">
        <v>70120</v>
      </c>
      <c r="B41" s="100" t="s">
        <v>367</v>
      </c>
      <c r="C41" s="109">
        <v>92694.42</v>
      </c>
      <c r="D41" s="108">
        <f>-C41</f>
        <v>-92694.42</v>
      </c>
      <c r="E41" s="107">
        <f t="shared" si="0"/>
        <v>0</v>
      </c>
    </row>
    <row r="42" spans="1:5" s="97" customFormat="1">
      <c r="A42" s="110">
        <v>70142</v>
      </c>
      <c r="B42" s="100" t="s">
        <v>77</v>
      </c>
      <c r="C42" s="109">
        <v>327232.68</v>
      </c>
      <c r="D42" s="108"/>
      <c r="E42" s="107">
        <f t="shared" si="0"/>
        <v>327232.68</v>
      </c>
    </row>
    <row r="43" spans="1:5" s="97" customFormat="1">
      <c r="A43" s="110">
        <v>70145</v>
      </c>
      <c r="B43" s="100" t="s">
        <v>66</v>
      </c>
      <c r="C43" s="109">
        <v>297500.31</v>
      </c>
      <c r="D43" s="108"/>
      <c r="E43" s="107">
        <f t="shared" ref="E43:E74" si="1">C43+D43</f>
        <v>297500.31</v>
      </c>
    </row>
    <row r="44" spans="1:5" s="97" customFormat="1">
      <c r="A44" s="110">
        <v>70146</v>
      </c>
      <c r="B44" s="100" t="s">
        <v>366</v>
      </c>
      <c r="C44" s="109">
        <v>4132.8900000000003</v>
      </c>
      <c r="D44" s="108">
        <f>-C44</f>
        <v>-4132.8900000000003</v>
      </c>
      <c r="E44" s="107">
        <f t="shared" si="1"/>
        <v>0</v>
      </c>
    </row>
    <row r="45" spans="1:5" s="97" customFormat="1">
      <c r="A45" s="110">
        <v>70147</v>
      </c>
      <c r="B45" s="100" t="s">
        <v>123</v>
      </c>
      <c r="C45" s="109">
        <v>15236.37</v>
      </c>
      <c r="D45" s="108"/>
      <c r="E45" s="107">
        <f t="shared" si="1"/>
        <v>15236.37</v>
      </c>
    </row>
    <row r="46" spans="1:5" s="97" customFormat="1">
      <c r="A46" s="110">
        <v>70165</v>
      </c>
      <c r="B46" s="100" t="s">
        <v>58</v>
      </c>
      <c r="C46" s="109">
        <v>554489.85</v>
      </c>
      <c r="D46" s="108"/>
      <c r="E46" s="107">
        <f t="shared" si="1"/>
        <v>554489.85</v>
      </c>
    </row>
    <row r="47" spans="1:5" s="97" customFormat="1">
      <c r="A47" s="110">
        <v>70167</v>
      </c>
      <c r="B47" s="100" t="s">
        <v>302</v>
      </c>
      <c r="C47" s="109">
        <v>41909.86</v>
      </c>
      <c r="D47" s="108"/>
      <c r="E47" s="107">
        <f t="shared" si="1"/>
        <v>41909.86</v>
      </c>
    </row>
    <row r="48" spans="1:5" s="97" customFormat="1">
      <c r="A48" s="110">
        <v>70170</v>
      </c>
      <c r="B48" s="100" t="s">
        <v>281</v>
      </c>
      <c r="C48" s="109">
        <v>1178313.82</v>
      </c>
      <c r="D48" s="108"/>
      <c r="E48" s="107">
        <f t="shared" si="1"/>
        <v>1178313.82</v>
      </c>
    </row>
    <row r="49" spans="1:5" s="97" customFormat="1">
      <c r="A49" s="110">
        <v>70175</v>
      </c>
      <c r="B49" s="100" t="s">
        <v>59</v>
      </c>
      <c r="C49" s="109">
        <v>551338.06000000006</v>
      </c>
      <c r="D49" s="108"/>
      <c r="E49" s="107">
        <f t="shared" si="1"/>
        <v>551338.06000000006</v>
      </c>
    </row>
    <row r="50" spans="1:5" s="97" customFormat="1">
      <c r="A50" s="110">
        <v>70185</v>
      </c>
      <c r="B50" s="100" t="s">
        <v>120</v>
      </c>
      <c r="C50" s="109">
        <v>404429.3</v>
      </c>
      <c r="D50" s="108"/>
      <c r="E50" s="107">
        <f t="shared" si="1"/>
        <v>404429.3</v>
      </c>
    </row>
    <row r="51" spans="1:5" s="97" customFormat="1">
      <c r="A51" s="110">
        <v>70190</v>
      </c>
      <c r="B51" s="100" t="s">
        <v>304</v>
      </c>
      <c r="C51" s="109">
        <v>410220.09</v>
      </c>
      <c r="D51" s="108">
        <f>-C51</f>
        <v>-410220.09</v>
      </c>
      <c r="E51" s="107">
        <f t="shared" si="1"/>
        <v>0</v>
      </c>
    </row>
    <row r="52" spans="1:5" s="97" customFormat="1">
      <c r="A52" s="110">
        <v>70195</v>
      </c>
      <c r="B52" s="100" t="s">
        <v>305</v>
      </c>
      <c r="C52" s="109">
        <v>1678472.33</v>
      </c>
      <c r="D52" s="108">
        <v>-302125</v>
      </c>
      <c r="E52" s="107">
        <f t="shared" si="1"/>
        <v>1376347.33</v>
      </c>
    </row>
    <row r="53" spans="1:5" s="97" customFormat="1">
      <c r="A53" s="110">
        <v>70196</v>
      </c>
      <c r="B53" s="100" t="s">
        <v>155</v>
      </c>
      <c r="C53" s="109">
        <v>61101.41</v>
      </c>
      <c r="D53" s="108">
        <f>-C53</f>
        <v>-61101.41</v>
      </c>
      <c r="E53" s="107">
        <f t="shared" si="1"/>
        <v>0</v>
      </c>
    </row>
    <row r="54" spans="1:5" s="97" customFormat="1">
      <c r="A54" s="110">
        <v>70200</v>
      </c>
      <c r="B54" s="100" t="s">
        <v>61</v>
      </c>
      <c r="C54" s="109">
        <v>837320.83</v>
      </c>
      <c r="D54" s="108"/>
      <c r="E54" s="107">
        <f t="shared" si="1"/>
        <v>837320.83</v>
      </c>
    </row>
    <row r="55" spans="1:5" s="97" customFormat="1">
      <c r="A55" s="110">
        <v>70201</v>
      </c>
      <c r="B55" s="100" t="s">
        <v>156</v>
      </c>
      <c r="C55" s="109">
        <v>511871.88</v>
      </c>
      <c r="D55" s="108">
        <f>-C55</f>
        <v>-511871.88</v>
      </c>
      <c r="E55" s="107">
        <f t="shared" si="1"/>
        <v>0</v>
      </c>
    </row>
    <row r="56" spans="1:5" s="97" customFormat="1">
      <c r="A56" s="110">
        <v>70202</v>
      </c>
      <c r="B56" s="100" t="s">
        <v>306</v>
      </c>
      <c r="C56" s="109">
        <v>2115061.9700000002</v>
      </c>
      <c r="D56" s="108">
        <v>-667062</v>
      </c>
      <c r="E56" s="107">
        <f t="shared" si="1"/>
        <v>1447999.9700000002</v>
      </c>
    </row>
    <row r="57" spans="1:5" s="97" customFormat="1">
      <c r="A57" s="110">
        <v>70203</v>
      </c>
      <c r="B57" s="100" t="s">
        <v>158</v>
      </c>
      <c r="C57" s="109">
        <v>530479.63</v>
      </c>
      <c r="D57" s="108"/>
      <c r="E57" s="107">
        <f t="shared" si="1"/>
        <v>530479.63</v>
      </c>
    </row>
    <row r="58" spans="1:5" s="97" customFormat="1">
      <c r="A58" s="110">
        <v>70205</v>
      </c>
      <c r="B58" s="100" t="s">
        <v>299</v>
      </c>
      <c r="C58" s="109">
        <v>313623.40999999997</v>
      </c>
      <c r="D58" s="108"/>
      <c r="E58" s="107">
        <f t="shared" si="1"/>
        <v>313623.40999999997</v>
      </c>
    </row>
    <row r="59" spans="1:5" s="97" customFormat="1">
      <c r="A59" s="110">
        <v>70206</v>
      </c>
      <c r="B59" s="100" t="s">
        <v>160</v>
      </c>
      <c r="C59" s="109">
        <v>282265.96999999997</v>
      </c>
      <c r="D59" s="108"/>
      <c r="E59" s="107">
        <f t="shared" si="1"/>
        <v>282265.96999999997</v>
      </c>
    </row>
    <row r="60" spans="1:5" s="97" customFormat="1">
      <c r="A60" s="110">
        <v>70210</v>
      </c>
      <c r="B60" s="100" t="s">
        <v>119</v>
      </c>
      <c r="C60" s="109">
        <v>334659.73</v>
      </c>
      <c r="D60" s="108"/>
      <c r="E60" s="107">
        <f t="shared" si="1"/>
        <v>334659.73</v>
      </c>
    </row>
    <row r="61" spans="1:5" s="97" customFormat="1">
      <c r="A61" s="110">
        <v>70214</v>
      </c>
      <c r="B61" s="100" t="s">
        <v>162</v>
      </c>
      <c r="C61" s="109">
        <v>39741.54</v>
      </c>
      <c r="D61" s="108"/>
      <c r="E61" s="107">
        <f t="shared" si="1"/>
        <v>39741.54</v>
      </c>
    </row>
    <row r="62" spans="1:5" s="97" customFormat="1">
      <c r="A62" s="110">
        <v>70215</v>
      </c>
      <c r="B62" s="100" t="s">
        <v>125</v>
      </c>
      <c r="C62" s="109">
        <v>2569730.54</v>
      </c>
      <c r="D62" s="108"/>
      <c r="E62" s="107">
        <f t="shared" si="1"/>
        <v>2569730.54</v>
      </c>
    </row>
    <row r="63" spans="1:5" s="97" customFormat="1">
      <c r="A63" s="110">
        <v>70216</v>
      </c>
      <c r="B63" s="100" t="s">
        <v>365</v>
      </c>
      <c r="C63" s="109">
        <v>101210.63</v>
      </c>
      <c r="D63" s="108"/>
      <c r="E63" s="107">
        <f t="shared" si="1"/>
        <v>101210.63</v>
      </c>
    </row>
    <row r="64" spans="1:5" s="97" customFormat="1">
      <c r="A64" s="110">
        <v>70230</v>
      </c>
      <c r="B64" s="100" t="s">
        <v>163</v>
      </c>
      <c r="C64" s="109">
        <v>316490.03999999998</v>
      </c>
      <c r="D64" s="108"/>
      <c r="E64" s="107">
        <f t="shared" si="1"/>
        <v>316490.03999999998</v>
      </c>
    </row>
    <row r="65" spans="1:5" s="97" customFormat="1">
      <c r="A65" s="110">
        <v>70231</v>
      </c>
      <c r="B65" s="100" t="s">
        <v>164</v>
      </c>
      <c r="C65" s="109">
        <v>432959.75</v>
      </c>
      <c r="D65" s="108"/>
      <c r="E65" s="107">
        <f t="shared" si="1"/>
        <v>432959.75</v>
      </c>
    </row>
    <row r="66" spans="1:5" s="97" customFormat="1">
      <c r="A66" s="110">
        <v>70232</v>
      </c>
      <c r="B66" s="100" t="s">
        <v>165</v>
      </c>
      <c r="C66" s="109">
        <v>10176.040000000001</v>
      </c>
      <c r="D66" s="108"/>
      <c r="E66" s="107">
        <f t="shared" si="1"/>
        <v>10176.040000000001</v>
      </c>
    </row>
    <row r="67" spans="1:5" s="97" customFormat="1">
      <c r="A67" s="110">
        <v>70235</v>
      </c>
      <c r="B67" s="100" t="s">
        <v>133</v>
      </c>
      <c r="C67" s="109">
        <v>6999776.4299999997</v>
      </c>
      <c r="D67" s="108">
        <f>-C67</f>
        <v>-6999776.4299999997</v>
      </c>
      <c r="E67" s="107">
        <f t="shared" si="1"/>
        <v>0</v>
      </c>
    </row>
    <row r="68" spans="1:5" s="97" customFormat="1">
      <c r="A68" s="110">
        <v>70240</v>
      </c>
      <c r="B68" s="100" t="s">
        <v>364</v>
      </c>
      <c r="C68" s="109">
        <v>3231428.53</v>
      </c>
      <c r="D68" s="108"/>
      <c r="E68" s="107">
        <f t="shared" si="1"/>
        <v>3231428.53</v>
      </c>
    </row>
    <row r="69" spans="1:5" s="97" customFormat="1">
      <c r="A69" s="110">
        <v>70245</v>
      </c>
      <c r="B69" s="100" t="s">
        <v>308</v>
      </c>
      <c r="C69" s="109">
        <v>741467.98</v>
      </c>
      <c r="D69" s="108"/>
      <c r="E69" s="107">
        <f t="shared" si="1"/>
        <v>741467.98</v>
      </c>
    </row>
    <row r="70" spans="1:5" s="97" customFormat="1">
      <c r="A70" s="110">
        <v>70250</v>
      </c>
      <c r="B70" s="100" t="s">
        <v>363</v>
      </c>
      <c r="C70" s="109">
        <v>1842708.18</v>
      </c>
      <c r="D70" s="108">
        <f>-C70</f>
        <v>-1842708.18</v>
      </c>
      <c r="E70" s="107">
        <f t="shared" si="1"/>
        <v>0</v>
      </c>
    </row>
    <row r="71" spans="1:5" s="97" customFormat="1">
      <c r="A71" s="110">
        <v>70255</v>
      </c>
      <c r="B71" s="100" t="s">
        <v>86</v>
      </c>
      <c r="C71" s="109">
        <v>2151631</v>
      </c>
      <c r="D71" s="108"/>
      <c r="E71" s="107">
        <f t="shared" si="1"/>
        <v>2151631</v>
      </c>
    </row>
    <row r="72" spans="1:5" s="97" customFormat="1">
      <c r="A72" s="110">
        <v>70260</v>
      </c>
      <c r="B72" s="100" t="s">
        <v>316</v>
      </c>
      <c r="C72" s="109">
        <v>2959060.72</v>
      </c>
      <c r="D72" s="108">
        <v>-63927</v>
      </c>
      <c r="E72" s="107">
        <f t="shared" si="1"/>
        <v>2895133.72</v>
      </c>
    </row>
    <row r="73" spans="1:5" s="97" customFormat="1">
      <c r="A73" s="110">
        <v>70271</v>
      </c>
      <c r="B73" s="100" t="s">
        <v>362</v>
      </c>
      <c r="C73" s="109">
        <v>634265.86</v>
      </c>
      <c r="D73" s="108"/>
      <c r="E73" s="107">
        <f t="shared" si="1"/>
        <v>634265.86</v>
      </c>
    </row>
    <row r="74" spans="1:5" s="97" customFormat="1">
      <c r="A74" s="110">
        <v>70273</v>
      </c>
      <c r="B74" s="100" t="s">
        <v>361</v>
      </c>
      <c r="C74" s="109">
        <v>246292.15</v>
      </c>
      <c r="D74" s="108">
        <f>-C74</f>
        <v>-246292.15</v>
      </c>
      <c r="E74" s="107">
        <f t="shared" si="1"/>
        <v>0</v>
      </c>
    </row>
    <row r="75" spans="1:5" s="97" customFormat="1">
      <c r="A75" s="110">
        <v>70275</v>
      </c>
      <c r="B75" s="100" t="s">
        <v>309</v>
      </c>
      <c r="C75" s="109">
        <v>261474.24</v>
      </c>
      <c r="D75" s="108"/>
      <c r="E75" s="107">
        <f t="shared" ref="E75:E84" si="2">C75+D75</f>
        <v>261474.24</v>
      </c>
    </row>
    <row r="76" spans="1:5" s="97" customFormat="1">
      <c r="A76" s="110">
        <v>70300</v>
      </c>
      <c r="B76" s="100" t="s">
        <v>127</v>
      </c>
      <c r="C76" s="109">
        <v>-89465.86</v>
      </c>
      <c r="D76" s="108"/>
      <c r="E76" s="107">
        <f t="shared" si="2"/>
        <v>-89465.86</v>
      </c>
    </row>
    <row r="77" spans="1:5" s="97" customFormat="1">
      <c r="A77" s="110">
        <v>70301</v>
      </c>
      <c r="B77" s="100" t="s">
        <v>167</v>
      </c>
      <c r="C77" s="109">
        <v>22183.66</v>
      </c>
      <c r="D77" s="108"/>
      <c r="E77" s="107">
        <f t="shared" si="2"/>
        <v>22183.66</v>
      </c>
    </row>
    <row r="78" spans="1:5">
      <c r="A78" s="110">
        <v>70302</v>
      </c>
      <c r="B78" s="100" t="s">
        <v>129</v>
      </c>
      <c r="C78" s="109">
        <v>59108.66</v>
      </c>
      <c r="D78" s="108"/>
      <c r="E78" s="107">
        <f t="shared" si="2"/>
        <v>59108.66</v>
      </c>
    </row>
    <row r="79" spans="1:5">
      <c r="A79" s="110">
        <v>70324</v>
      </c>
      <c r="B79" s="100" t="s">
        <v>283</v>
      </c>
      <c r="C79" s="109">
        <v>12869.67</v>
      </c>
      <c r="D79" s="108">
        <f>-C79</f>
        <v>-12869.67</v>
      </c>
      <c r="E79" s="107">
        <f t="shared" si="2"/>
        <v>0</v>
      </c>
    </row>
    <row r="80" spans="1:5">
      <c r="A80" s="110">
        <v>70345</v>
      </c>
      <c r="B80" s="100" t="s">
        <v>121</v>
      </c>
      <c r="C80" s="109">
        <v>0</v>
      </c>
      <c r="D80" s="108"/>
      <c r="E80" s="107">
        <f t="shared" si="2"/>
        <v>0</v>
      </c>
    </row>
    <row r="81" spans="1:6">
      <c r="A81" s="110">
        <v>70357</v>
      </c>
      <c r="B81" s="100" t="s">
        <v>169</v>
      </c>
      <c r="C81" s="109">
        <v>0</v>
      </c>
      <c r="D81" s="111"/>
      <c r="E81" s="107">
        <f t="shared" si="2"/>
        <v>0</v>
      </c>
      <c r="F81" s="97"/>
    </row>
    <row r="82" spans="1:6">
      <c r="A82" s="110">
        <v>70371</v>
      </c>
      <c r="B82" s="100" t="s">
        <v>360</v>
      </c>
      <c r="C82" s="109">
        <v>137499.95000000001</v>
      </c>
      <c r="D82" s="108">
        <f>-C82</f>
        <v>-137499.95000000001</v>
      </c>
      <c r="E82" s="107">
        <f t="shared" si="2"/>
        <v>0</v>
      </c>
      <c r="F82" s="97"/>
    </row>
    <row r="83" spans="1:6">
      <c r="A83" s="110">
        <v>70372</v>
      </c>
      <c r="B83" s="100" t="s">
        <v>359</v>
      </c>
      <c r="C83" s="109">
        <v>28627.02</v>
      </c>
      <c r="D83" s="108">
        <f>-C83</f>
        <v>-28627.02</v>
      </c>
      <c r="E83" s="107">
        <f t="shared" si="2"/>
        <v>0</v>
      </c>
      <c r="F83" s="97"/>
    </row>
    <row r="84" spans="1:6">
      <c r="A84" s="110">
        <v>70475</v>
      </c>
      <c r="B84" s="100" t="s">
        <v>170</v>
      </c>
      <c r="C84" s="109">
        <v>812769.26</v>
      </c>
      <c r="D84" s="108">
        <f>-C84</f>
        <v>-812769.26</v>
      </c>
      <c r="E84" s="107">
        <f t="shared" si="2"/>
        <v>0</v>
      </c>
      <c r="F84" s="97"/>
    </row>
    <row r="85" spans="1:6">
      <c r="A85" s="100"/>
      <c r="B85" s="100" t="s">
        <v>358</v>
      </c>
      <c r="C85" s="106">
        <f>SUM(C11:C84)</f>
        <v>143982730.04999998</v>
      </c>
      <c r="D85" s="106">
        <f>SUM(D11:D84)</f>
        <v>-76637144.210568547</v>
      </c>
      <c r="E85" s="106">
        <f>SUM(E11:E84)</f>
        <v>67345585.83943145</v>
      </c>
      <c r="F85" s="97"/>
    </row>
    <row r="86" spans="1:6">
      <c r="A86" s="100"/>
      <c r="B86" s="100"/>
      <c r="C86" s="103"/>
      <c r="D86" s="105"/>
      <c r="E86" s="96"/>
    </row>
    <row r="87" spans="1:6">
      <c r="A87" s="100"/>
      <c r="B87" s="104" t="s">
        <v>357</v>
      </c>
      <c r="C87" s="103">
        <v>2968002284.0900002</v>
      </c>
      <c r="D87" s="102"/>
      <c r="E87" s="101">
        <f>C87</f>
        <v>2968002284.0900002</v>
      </c>
    </row>
    <row r="88" spans="1:6" ht="15.75" thickBot="1">
      <c r="A88" s="100"/>
      <c r="B88" s="100"/>
      <c r="C88" s="98">
        <f>+C85/C87</f>
        <v>4.8511664166102753E-2</v>
      </c>
      <c r="D88" s="99"/>
      <c r="E88" s="98">
        <f>+E85/E87</f>
        <v>2.2690543804645299E-2</v>
      </c>
    </row>
    <row r="89" spans="1:6">
      <c r="B89" s="97"/>
      <c r="C89" s="97"/>
      <c r="D89" s="97"/>
    </row>
    <row r="94" spans="1:6">
      <c r="E94" s="96"/>
    </row>
    <row r="95" spans="1:6">
      <c r="E95" s="717"/>
    </row>
  </sheetData>
  <pageMargins left="0.7" right="0.7" top="0.75" bottom="0.75" header="0.3" footer="0.3"/>
  <pageSetup scale="63" fitToHeight="6" orientation="portrait" r:id="rId1"/>
  <headerFooter>
    <oddFooter xml:space="preserve">&amp;L&amp;F - &amp;A
&amp;RPage &amp;P of &amp;N
</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266"/>
  <sheetViews>
    <sheetView showGridLines="0" view="pageBreakPreview" zoomScale="60" zoomScaleNormal="75" workbookViewId="0">
      <selection activeCell="AI26" sqref="AI26"/>
    </sheetView>
  </sheetViews>
  <sheetFormatPr defaultColWidth="13.85546875" defaultRowHeight="12.75" outlineLevelRow="1"/>
  <cols>
    <col min="1" max="1" width="116.7109375" style="1" customWidth="1"/>
    <col min="2" max="2" width="16.5703125" style="1" customWidth="1"/>
    <col min="3" max="3" width="12.42578125" style="1" customWidth="1"/>
    <col min="4" max="4" width="6.85546875" style="1" customWidth="1"/>
    <col min="5" max="6" width="2.28515625" style="1" customWidth="1"/>
    <col min="7" max="7" width="25.5703125" style="1" customWidth="1"/>
    <col min="8" max="8" width="3.85546875" style="1" customWidth="1"/>
    <col min="9" max="9" width="2" style="1" customWidth="1"/>
    <col min="10" max="10" width="15.5703125" style="1" customWidth="1"/>
    <col min="11" max="11" width="1.85546875" style="1" customWidth="1"/>
    <col min="12" max="12" width="15.5703125" style="1" customWidth="1"/>
    <col min="13" max="13" width="1.85546875" style="1" customWidth="1"/>
    <col min="14" max="14" width="15.5703125" style="1" customWidth="1"/>
    <col min="15" max="15" width="1.85546875" style="1" customWidth="1"/>
    <col min="16" max="16" width="15.5703125" style="1" customWidth="1"/>
    <col min="17" max="17" width="3.140625" style="1" customWidth="1"/>
    <col min="18" max="20" width="16.28515625" style="1" bestFit="1" customWidth="1"/>
    <col min="21" max="21" width="1.85546875" style="1" customWidth="1"/>
    <col min="22" max="22" width="15.5703125" style="1" customWidth="1"/>
    <col min="23" max="23" width="2.85546875" style="1" customWidth="1"/>
    <col min="24" max="16384" width="13.85546875" style="1"/>
  </cols>
  <sheetData>
    <row r="1" spans="1:25">
      <c r="D1" s="1" t="s">
        <v>198</v>
      </c>
      <c r="E1" s="1" t="s">
        <v>199</v>
      </c>
      <c r="F1" s="2"/>
      <c r="G1" s="3"/>
      <c r="J1" s="1" t="s">
        <v>211</v>
      </c>
      <c r="L1" s="1" t="s">
        <v>1747</v>
      </c>
      <c r="N1" s="1" t="s">
        <v>1748</v>
      </c>
      <c r="R1" s="971" t="s">
        <v>209</v>
      </c>
      <c r="S1" s="971" t="s">
        <v>210</v>
      </c>
    </row>
    <row r="2" spans="1:25" s="979" customFormat="1" outlineLevel="1">
      <c r="A2" s="972"/>
      <c r="B2" s="973"/>
      <c r="C2" s="974"/>
      <c r="D2" s="975"/>
      <c r="E2" s="975"/>
      <c r="F2" s="976"/>
      <c r="G2" s="976"/>
      <c r="H2" s="972"/>
      <c r="I2" s="972"/>
      <c r="J2" s="977">
        <v>0</v>
      </c>
      <c r="K2" s="972"/>
      <c r="L2" s="977">
        <v>0</v>
      </c>
      <c r="M2" s="972"/>
      <c r="N2" s="978">
        <v>0</v>
      </c>
      <c r="O2" s="972"/>
      <c r="P2" s="977">
        <f>J2+L2+N2</f>
        <v>0</v>
      </c>
      <c r="Q2" s="972"/>
      <c r="R2" s="977">
        <v>0</v>
      </c>
      <c r="S2" s="977">
        <v>0</v>
      </c>
      <c r="T2" s="977">
        <f>P2</f>
        <v>0</v>
      </c>
      <c r="U2" s="972"/>
      <c r="V2" s="978">
        <f>T2-S2</f>
        <v>0</v>
      </c>
      <c r="W2" s="972"/>
      <c r="X2" s="972"/>
    </row>
    <row r="3" spans="1:25">
      <c r="G3" s="3"/>
      <c r="J3" s="1" t="str">
        <f>D9</f>
        <v>2017-09</v>
      </c>
      <c r="L3" s="1" t="str">
        <f>D9</f>
        <v>2017-09</v>
      </c>
      <c r="N3" s="1" t="str">
        <f>YearMonth</f>
        <v>2017-09</v>
      </c>
      <c r="P3" s="1" t="str">
        <f>D9</f>
        <v>2017-09</v>
      </c>
      <c r="R3" s="1" t="str">
        <f>IFERROR(TEXT(EDATE($B$7,MID(LEFT(R1,FIND(")",R1)-1),FIND("(",R1)+1,LEN(R1))),"yyyy-mm"),"")</f>
        <v>2017-07</v>
      </c>
      <c r="S3" s="1" t="str">
        <f>IFERROR(TEXT(EDATE($B$7,MID(LEFT(S1,FIND(")",S1)-1),FIND("(",S1)+1,LEN(S1))),"yyyy-mm"),"")</f>
        <v>2017-08</v>
      </c>
      <c r="T3" s="1" t="str">
        <f>D9</f>
        <v>2017-09</v>
      </c>
    </row>
    <row r="4" spans="1:25">
      <c r="A4" s="1" t="str">
        <f>_xll.jBinder("MarkerCell")</f>
        <v>jBinderOption{MarkerCell}: This cell will be used to note the tab was created from the binder.</v>
      </c>
      <c r="B4" s="1" t="str">
        <f ca="1">_xll.ReportVariable("FinCube",B11:B266,A1:Y1,A2:Y2,_xll.Param("BS"&amp;IF(ExcludeIC=TRUE,",!Eliminated",""),District,System,,,,"*",,RIGHT(YearMonth,2),LEFT(YearMonth,4),,,1,,FALSE))</f>
        <v>OK!: ReportVariable Formula OK [jAction{}]</v>
      </c>
      <c r="G4" s="3"/>
      <c r="J4" s="1" t="s">
        <v>1749</v>
      </c>
      <c r="L4" s="1" t="s">
        <v>1750</v>
      </c>
      <c r="N4" s="1" t="s">
        <v>1748</v>
      </c>
      <c r="P4" s="1" t="s">
        <v>1566</v>
      </c>
      <c r="R4" s="1" t="s">
        <v>1566</v>
      </c>
      <c r="S4" s="1" t="s">
        <v>1566</v>
      </c>
      <c r="T4" s="1" t="s">
        <v>1566</v>
      </c>
    </row>
    <row r="5" spans="1:25">
      <c r="A5" s="1" t="str">
        <f>_xll.jBinder("ChooseSegmentListtoIterateThru","Dist")</f>
        <v>jBinderOption{ChooseSegmentListtoIterateThru|Dist}: Option "ChooseSegmentListtoIterateThru" has value "Dist"</v>
      </c>
      <c r="B5" s="1" t="str">
        <f ca="1">_xll.ReportDrill(,"JEQuery_WithStaged",_xll.PairGroup(_xll.PairExt("C:d","Accounts"),_xll.PairExt(System,"Systems","N"),_xll.PairExt("R:3","DateFrom","Y"),_xll.PairExt("R:3","DateTo","Y"),_xll.PairExt(District,"Districts"),_xll.PairExt("","SubSystems","n"),_xll.PairExt("","VendorCode","n"),_xll.PairExt("","AmountFrom","N"),_xll.PairExt("","AmountTo","n"),_xll.PairExt("R:4","Posting","Y")),"Drill To JEQuery")</f>
        <v>OK!: ReportDrill 'Drill To JEQuery' Formula OK [jAction{}]</v>
      </c>
    </row>
    <row r="6" spans="1:25">
      <c r="A6" s="1" t="str">
        <f>_xll.jBinder("CreateSummaryTab","False")</f>
        <v>jBinderOption{CreateSummaryTab|False}: Option "CreateSummaryTab" has value "False"</v>
      </c>
      <c r="B6" s="1" t="str">
        <f ca="1">_xll.ReportDrill(,"JEQuery_WithStaged",_xll.PairGroup(_xll.PairExt("C:a","Accounts"),_xll.PairExt(System,"Systems","N"),_xll.PairExt("R:3","DateFrom","Y"),_xll.PairExt("R:3","DateTo","Y"),_xll.PairExt(District,"Districts"),_xll.PairExt("","SubSystems","n"),_xll.PairExt("","VendorCode","n"),_xll.PairExt("","AmountFrom","N"),_xll.PairExt("","AmountTo","n"),_xll.PairExt("R:4","Posting","Y")),"Drill To JEQuery")</f>
        <v>OK!: ReportDrill 'Drill To JEQuery' Formula OK [jAction{}]</v>
      </c>
    </row>
    <row r="7" spans="1:25" s="982" customFormat="1" ht="15.75">
      <c r="A7" s="1" t="str">
        <f ca="1">_xll.jBinder("Dist",District)</f>
        <v>jBinderOption{Dist||N7}: "Dist" can iterate on cell "N7"</v>
      </c>
      <c r="B7" s="980">
        <f>DATEVALUE(RIGHT(YearMonth,2)&amp;"/1/"&amp;LEFT(YearMonth,4))</f>
        <v>42979</v>
      </c>
      <c r="C7" s="1"/>
      <c r="D7" s="981" t="s">
        <v>212</v>
      </c>
      <c r="L7" s="983" t="s">
        <v>213</v>
      </c>
      <c r="N7" s="984">
        <v>2010</v>
      </c>
      <c r="T7" s="983" t="s">
        <v>215</v>
      </c>
      <c r="U7" s="985"/>
      <c r="V7" s="984"/>
      <c r="X7" s="986"/>
    </row>
    <row r="8" spans="1:25" s="982" customFormat="1" ht="15.75">
      <c r="A8" s="982" t="str">
        <f>_xll.jBinder("TabSuffix","_BS")</f>
        <v>jBinderOption{TabSuffix|_BS}: Option "TabSuffix" has value "_BS"</v>
      </c>
      <c r="B8" s="987"/>
      <c r="C8" s="987"/>
      <c r="D8" s="981" t="s">
        <v>1751</v>
      </c>
      <c r="J8" s="988" t="str">
        <f>IF(ISERROR($B$7),"The date cell in D9  must be in YYYY-MM format","")</f>
        <v/>
      </c>
      <c r="N8" s="984"/>
      <c r="T8" s="983" t="s">
        <v>218</v>
      </c>
      <c r="V8" s="989" t="s">
        <v>217</v>
      </c>
    </row>
    <row r="9" spans="1:25" s="982" customFormat="1" ht="15.75">
      <c r="B9" s="987"/>
      <c r="C9" s="987"/>
      <c r="D9" s="990" t="s">
        <v>219</v>
      </c>
      <c r="J9" s="991" t="s">
        <v>1752</v>
      </c>
      <c r="K9" s="992"/>
      <c r="L9" s="991" t="s">
        <v>1752</v>
      </c>
      <c r="M9" s="992"/>
      <c r="N9" s="991" t="s">
        <v>1752</v>
      </c>
      <c r="O9" s="992"/>
      <c r="P9" s="991" t="s">
        <v>1752</v>
      </c>
      <c r="Q9" s="992"/>
      <c r="R9" s="991" t="s">
        <v>1752</v>
      </c>
      <c r="S9" s="991" t="s">
        <v>1752</v>
      </c>
      <c r="T9" s="991" t="s">
        <v>1752</v>
      </c>
    </row>
    <row r="10" spans="1:25" s="982" customFormat="1" ht="15">
      <c r="B10" s="974"/>
      <c r="C10" s="974"/>
      <c r="D10" s="993"/>
      <c r="E10" s="994"/>
      <c r="F10" s="994"/>
      <c r="G10" s="994"/>
      <c r="H10" s="994"/>
      <c r="I10" s="994"/>
      <c r="J10" s="995" t="s">
        <v>1753</v>
      </c>
      <c r="K10" s="995"/>
      <c r="L10" s="995"/>
      <c r="M10" s="995"/>
      <c r="N10" s="995"/>
      <c r="O10" s="995"/>
      <c r="P10" s="995"/>
      <c r="Q10" s="994"/>
      <c r="R10" s="995" t="s">
        <v>1754</v>
      </c>
      <c r="S10" s="995"/>
      <c r="T10" s="995"/>
      <c r="U10" s="994"/>
      <c r="V10" s="994"/>
      <c r="W10" s="994"/>
      <c r="X10" s="994"/>
      <c r="Y10" s="994"/>
    </row>
    <row r="11" spans="1:25" s="996" customFormat="1">
      <c r="B11" s="974"/>
      <c r="C11" s="974"/>
      <c r="D11" s="994"/>
      <c r="E11" s="994"/>
      <c r="F11" s="994"/>
      <c r="G11" s="994"/>
      <c r="H11" s="994"/>
      <c r="I11" s="994"/>
      <c r="J11" s="994"/>
      <c r="K11" s="994"/>
      <c r="L11" s="994"/>
      <c r="M11" s="994"/>
      <c r="N11" s="994"/>
      <c r="O11" s="994"/>
      <c r="P11" s="994"/>
      <c r="Q11" s="994"/>
      <c r="R11" s="994"/>
      <c r="S11" s="994"/>
      <c r="T11" s="997"/>
      <c r="U11" s="994"/>
      <c r="V11" s="994"/>
      <c r="W11" s="994"/>
      <c r="X11" s="994"/>
      <c r="Y11" s="994"/>
    </row>
    <row r="12" spans="1:25" s="996" customFormat="1">
      <c r="B12" s="974"/>
      <c r="C12" s="974"/>
      <c r="D12" s="994"/>
      <c r="E12" s="994"/>
      <c r="F12" s="994"/>
      <c r="G12" s="994"/>
      <c r="H12" s="994"/>
      <c r="I12" s="994"/>
      <c r="J12" s="994"/>
      <c r="K12" s="994"/>
      <c r="L12" s="998" t="s">
        <v>1755</v>
      </c>
      <c r="M12" s="999"/>
      <c r="N12" s="998"/>
      <c r="O12" s="994"/>
      <c r="P12" s="1000"/>
      <c r="Q12" s="994"/>
      <c r="R12" s="1001"/>
      <c r="S12" s="1001"/>
      <c r="T12" s="1002" t="s">
        <v>27</v>
      </c>
      <c r="U12" s="994"/>
      <c r="V12" s="1003" t="s">
        <v>1756</v>
      </c>
      <c r="W12" s="994"/>
      <c r="X12" s="994"/>
      <c r="Y12" s="994"/>
    </row>
    <row r="13" spans="1:25" s="996" customFormat="1" ht="13.5" thickBot="1">
      <c r="B13" s="974"/>
      <c r="C13" s="974"/>
      <c r="D13" s="994"/>
      <c r="E13" s="994"/>
      <c r="F13" s="994"/>
      <c r="G13" s="994"/>
      <c r="H13" s="994"/>
      <c r="I13" s="994"/>
      <c r="J13" s="1004" t="s">
        <v>1749</v>
      </c>
      <c r="K13" s="994"/>
      <c r="L13" s="1004" t="s">
        <v>1750</v>
      </c>
      <c r="M13" s="994"/>
      <c r="N13" s="1005" t="s">
        <v>1748</v>
      </c>
      <c r="O13" s="994"/>
      <c r="P13" s="1004" t="s">
        <v>27</v>
      </c>
      <c r="Q13" s="994"/>
      <c r="R13" s="1006">
        <f>IFERROR(EDATE(S13,-1),"")</f>
        <v>42917</v>
      </c>
      <c r="S13" s="1006">
        <f>IFERROR(EDATE(T13,-1),"")</f>
        <v>42948</v>
      </c>
      <c r="T13" s="1006">
        <f>$B$7</f>
        <v>42979</v>
      </c>
      <c r="U13" s="994"/>
      <c r="V13" s="1005" t="s">
        <v>1757</v>
      </c>
      <c r="W13" s="994"/>
      <c r="X13" s="994"/>
      <c r="Y13" s="994"/>
    </row>
    <row r="14" spans="1:25" s="996" customFormat="1" ht="5.25" customHeight="1">
      <c r="B14" s="974"/>
      <c r="C14" s="974"/>
      <c r="D14" s="994"/>
      <c r="E14" s="994"/>
      <c r="F14" s="1007"/>
      <c r="G14" s="994"/>
      <c r="H14" s="994"/>
      <c r="I14" s="994"/>
      <c r="J14" s="991"/>
      <c r="K14" s="994"/>
      <c r="L14" s="991"/>
      <c r="M14" s="994"/>
      <c r="N14" s="991"/>
      <c r="O14" s="994"/>
      <c r="P14" s="991"/>
      <c r="Q14" s="994"/>
      <c r="R14" s="991"/>
      <c r="S14" s="991"/>
      <c r="T14" s="991"/>
      <c r="U14" s="994"/>
      <c r="V14" s="991"/>
      <c r="W14" s="994"/>
      <c r="X14" s="994"/>
      <c r="Y14" s="994"/>
    </row>
    <row r="15" spans="1:25" s="979" customFormat="1" ht="4.5" customHeight="1">
      <c r="B15" s="974"/>
      <c r="C15" s="974"/>
      <c r="D15" s="972"/>
      <c r="E15" s="972"/>
      <c r="F15" s="972"/>
      <c r="G15" s="972"/>
      <c r="H15" s="972"/>
      <c r="I15" s="972"/>
      <c r="J15" s="972"/>
      <c r="K15" s="972"/>
      <c r="L15" s="972"/>
      <c r="M15" s="972"/>
      <c r="N15" s="972"/>
      <c r="O15" s="972"/>
      <c r="P15" s="972"/>
      <c r="Q15" s="994"/>
      <c r="R15" s="972"/>
      <c r="S15" s="972"/>
      <c r="T15" s="972"/>
      <c r="U15" s="972"/>
      <c r="V15" s="972"/>
      <c r="W15" s="972"/>
      <c r="X15" s="972"/>
      <c r="Y15" s="972"/>
    </row>
    <row r="16" spans="1:25" s="979" customFormat="1" outlineLevel="1">
      <c r="A16" s="972"/>
      <c r="B16" s="973" t="s">
        <v>1128</v>
      </c>
      <c r="C16" s="974"/>
      <c r="D16" s="975">
        <v>10050</v>
      </c>
      <c r="E16" s="975" t="s">
        <v>1758</v>
      </c>
      <c r="F16" s="976"/>
      <c r="G16" s="976"/>
      <c r="H16" s="972"/>
      <c r="I16" s="972"/>
      <c r="J16" s="977">
        <v>28176.01</v>
      </c>
      <c r="K16" s="972"/>
      <c r="L16" s="977">
        <v>0</v>
      </c>
      <c r="M16" s="972"/>
      <c r="N16" s="978">
        <v>0</v>
      </c>
      <c r="O16" s="972"/>
      <c r="P16" s="977">
        <f t="shared" ref="P16:P26" si="0">J16+L16+N16</f>
        <v>28176.01</v>
      </c>
      <c r="Q16" s="972"/>
      <c r="R16" s="977">
        <v>211462.97</v>
      </c>
      <c r="S16" s="977">
        <v>17898.439999999999</v>
      </c>
      <c r="T16" s="977">
        <f t="shared" ref="T16:T26" si="1">P16</f>
        <v>28176.01</v>
      </c>
      <c r="U16" s="972"/>
      <c r="V16" s="978">
        <f t="shared" ref="V16:V26" si="2">T16-S16</f>
        <v>10277.57</v>
      </c>
      <c r="W16" s="972"/>
      <c r="X16" s="972"/>
    </row>
    <row r="17" spans="1:25" s="979" customFormat="1" outlineLevel="1">
      <c r="A17" s="972"/>
      <c r="B17" s="973" t="s">
        <v>223</v>
      </c>
      <c r="C17" s="974"/>
      <c r="D17" s="975">
        <v>10051</v>
      </c>
      <c r="E17" s="975" t="s">
        <v>1759</v>
      </c>
      <c r="F17" s="976"/>
      <c r="G17" s="976"/>
      <c r="H17" s="972"/>
      <c r="I17" s="972"/>
      <c r="J17" s="977">
        <v>1330</v>
      </c>
      <c r="K17" s="972"/>
      <c r="L17" s="977">
        <v>0</v>
      </c>
      <c r="M17" s="972"/>
      <c r="N17" s="978">
        <v>0</v>
      </c>
      <c r="O17" s="972"/>
      <c r="P17" s="977">
        <f t="shared" si="0"/>
        <v>1330</v>
      </c>
      <c r="Q17" s="972"/>
      <c r="R17" s="977">
        <v>1330</v>
      </c>
      <c r="S17" s="977">
        <v>1330</v>
      </c>
      <c r="T17" s="977">
        <f t="shared" si="1"/>
        <v>1330</v>
      </c>
      <c r="U17" s="972"/>
      <c r="V17" s="978">
        <f t="shared" si="2"/>
        <v>0</v>
      </c>
      <c r="W17" s="972"/>
      <c r="X17" s="972"/>
    </row>
    <row r="18" spans="1:25" s="979" customFormat="1" outlineLevel="1">
      <c r="A18" s="972"/>
      <c r="B18" s="973" t="s">
        <v>223</v>
      </c>
      <c r="C18" s="974"/>
      <c r="D18" s="975">
        <v>10070</v>
      </c>
      <c r="E18" s="975" t="s">
        <v>1760</v>
      </c>
      <c r="F18" s="976"/>
      <c r="G18" s="976"/>
      <c r="H18" s="972"/>
      <c r="I18" s="972"/>
      <c r="J18" s="977">
        <v>-206852.7</v>
      </c>
      <c r="K18" s="972"/>
      <c r="L18" s="977">
        <v>0</v>
      </c>
      <c r="M18" s="972"/>
      <c r="N18" s="978">
        <v>0</v>
      </c>
      <c r="O18" s="972"/>
      <c r="P18" s="977">
        <f t="shared" si="0"/>
        <v>-206852.7</v>
      </c>
      <c r="Q18" s="972"/>
      <c r="R18" s="977">
        <v>-206852.7</v>
      </c>
      <c r="S18" s="977">
        <v>-206852.7</v>
      </c>
      <c r="T18" s="977">
        <f t="shared" si="1"/>
        <v>-206852.7</v>
      </c>
      <c r="U18" s="972"/>
      <c r="V18" s="978">
        <f t="shared" si="2"/>
        <v>0</v>
      </c>
      <c r="W18" s="972"/>
      <c r="X18" s="972"/>
    </row>
    <row r="19" spans="1:25" s="979" customFormat="1" outlineLevel="1">
      <c r="A19" s="972"/>
      <c r="B19" s="973" t="s">
        <v>223</v>
      </c>
      <c r="C19" s="974"/>
      <c r="D19" s="975">
        <v>10071</v>
      </c>
      <c r="E19" s="975" t="s">
        <v>1761</v>
      </c>
      <c r="F19" s="976"/>
      <c r="G19" s="976"/>
      <c r="H19" s="972"/>
      <c r="I19" s="972"/>
      <c r="J19" s="977">
        <v>206852.7</v>
      </c>
      <c r="K19" s="972"/>
      <c r="L19" s="977">
        <v>0</v>
      </c>
      <c r="M19" s="972"/>
      <c r="N19" s="978">
        <v>0</v>
      </c>
      <c r="O19" s="972"/>
      <c r="P19" s="977">
        <f t="shared" si="0"/>
        <v>206852.7</v>
      </c>
      <c r="Q19" s="972"/>
      <c r="R19" s="977">
        <v>206852.7</v>
      </c>
      <c r="S19" s="977">
        <v>206852.7</v>
      </c>
      <c r="T19" s="977">
        <f t="shared" si="1"/>
        <v>206852.7</v>
      </c>
      <c r="U19" s="972"/>
      <c r="V19" s="978">
        <f t="shared" si="2"/>
        <v>0</v>
      </c>
      <c r="W19" s="972"/>
      <c r="X19" s="972"/>
    </row>
    <row r="20" spans="1:25" s="979" customFormat="1" outlineLevel="1">
      <c r="A20" s="972"/>
      <c r="B20" s="973" t="s">
        <v>223</v>
      </c>
      <c r="C20" s="974"/>
      <c r="D20" s="975">
        <v>10092</v>
      </c>
      <c r="E20" s="975" t="s">
        <v>1762</v>
      </c>
      <c r="F20" s="976"/>
      <c r="G20" s="976"/>
      <c r="H20" s="972"/>
      <c r="I20" s="972"/>
      <c r="J20" s="977">
        <v>0</v>
      </c>
      <c r="K20" s="972"/>
      <c r="L20" s="977">
        <v>0</v>
      </c>
      <c r="M20" s="972"/>
      <c r="N20" s="978">
        <v>0</v>
      </c>
      <c r="O20" s="972"/>
      <c r="P20" s="977">
        <f t="shared" si="0"/>
        <v>0</v>
      </c>
      <c r="Q20" s="972"/>
      <c r="R20" s="977">
        <v>0</v>
      </c>
      <c r="S20" s="977">
        <v>0</v>
      </c>
      <c r="T20" s="977">
        <f t="shared" si="1"/>
        <v>0</v>
      </c>
      <c r="U20" s="972"/>
      <c r="V20" s="978">
        <f t="shared" si="2"/>
        <v>0</v>
      </c>
      <c r="W20" s="972"/>
      <c r="X20" s="972"/>
    </row>
    <row r="21" spans="1:25" s="979" customFormat="1" outlineLevel="1">
      <c r="A21" s="972"/>
      <c r="B21" s="973" t="s">
        <v>223</v>
      </c>
      <c r="C21" s="974"/>
      <c r="D21" s="975">
        <v>10093</v>
      </c>
      <c r="E21" s="975" t="s">
        <v>1763</v>
      </c>
      <c r="F21" s="976"/>
      <c r="G21" s="976"/>
      <c r="H21" s="972"/>
      <c r="I21" s="972"/>
      <c r="J21" s="977">
        <v>0</v>
      </c>
      <c r="K21" s="972"/>
      <c r="L21" s="977">
        <v>0</v>
      </c>
      <c r="M21" s="972"/>
      <c r="N21" s="978">
        <v>0</v>
      </c>
      <c r="O21" s="972"/>
      <c r="P21" s="977">
        <f t="shared" si="0"/>
        <v>0</v>
      </c>
      <c r="Q21" s="972"/>
      <c r="R21" s="977">
        <v>0</v>
      </c>
      <c r="S21" s="977">
        <v>0</v>
      </c>
      <c r="T21" s="977">
        <f t="shared" si="1"/>
        <v>0</v>
      </c>
      <c r="U21" s="972"/>
      <c r="V21" s="978">
        <f t="shared" si="2"/>
        <v>0</v>
      </c>
      <c r="W21" s="972"/>
      <c r="X21" s="972"/>
    </row>
    <row r="22" spans="1:25" s="979" customFormat="1" outlineLevel="1">
      <c r="A22" s="972"/>
      <c r="B22" s="973" t="s">
        <v>223</v>
      </c>
      <c r="C22" s="974"/>
      <c r="D22" s="975">
        <v>10095</v>
      </c>
      <c r="E22" s="975" t="s">
        <v>1764</v>
      </c>
      <c r="F22" s="976"/>
      <c r="G22" s="976"/>
      <c r="H22" s="972"/>
      <c r="I22" s="972"/>
      <c r="J22" s="977">
        <v>21.16</v>
      </c>
      <c r="K22" s="972"/>
      <c r="L22" s="977">
        <v>0</v>
      </c>
      <c r="M22" s="972"/>
      <c r="N22" s="978">
        <v>0</v>
      </c>
      <c r="O22" s="972"/>
      <c r="P22" s="977">
        <f t="shared" si="0"/>
        <v>21.16</v>
      </c>
      <c r="Q22" s="972"/>
      <c r="R22" s="977">
        <v>0</v>
      </c>
      <c r="S22" s="977">
        <v>0</v>
      </c>
      <c r="T22" s="977">
        <f t="shared" si="1"/>
        <v>21.16</v>
      </c>
      <c r="U22" s="972"/>
      <c r="V22" s="978">
        <f t="shared" si="2"/>
        <v>21.16</v>
      </c>
      <c r="W22" s="972"/>
      <c r="X22" s="972"/>
    </row>
    <row r="23" spans="1:25" s="979" customFormat="1" outlineLevel="1">
      <c r="A23" s="972"/>
      <c r="B23" s="973" t="s">
        <v>223</v>
      </c>
      <c r="C23" s="974"/>
      <c r="D23" s="975">
        <v>10096</v>
      </c>
      <c r="E23" s="975" t="s">
        <v>1765</v>
      </c>
      <c r="F23" s="976"/>
      <c r="G23" s="976"/>
      <c r="H23" s="972"/>
      <c r="I23" s="972"/>
      <c r="J23" s="977">
        <v>0</v>
      </c>
      <c r="K23" s="972"/>
      <c r="L23" s="977">
        <v>0</v>
      </c>
      <c r="M23" s="972"/>
      <c r="N23" s="978">
        <v>0</v>
      </c>
      <c r="O23" s="972"/>
      <c r="P23" s="977">
        <f t="shared" si="0"/>
        <v>0</v>
      </c>
      <c r="Q23" s="972"/>
      <c r="R23" s="977">
        <v>0</v>
      </c>
      <c r="S23" s="977">
        <v>206.36</v>
      </c>
      <c r="T23" s="977">
        <f t="shared" si="1"/>
        <v>0</v>
      </c>
      <c r="U23" s="972"/>
      <c r="V23" s="978">
        <f t="shared" si="2"/>
        <v>-206.36</v>
      </c>
      <c r="W23" s="972"/>
      <c r="X23" s="972"/>
    </row>
    <row r="24" spans="1:25" s="979" customFormat="1" outlineLevel="1">
      <c r="A24" s="972"/>
      <c r="B24" s="973" t="s">
        <v>223</v>
      </c>
      <c r="C24" s="974"/>
      <c r="D24" s="975">
        <v>10097</v>
      </c>
      <c r="E24" s="975" t="s">
        <v>1766</v>
      </c>
      <c r="F24" s="976"/>
      <c r="G24" s="976"/>
      <c r="H24" s="972"/>
      <c r="I24" s="972"/>
      <c r="J24" s="977">
        <v>0</v>
      </c>
      <c r="K24" s="972"/>
      <c r="L24" s="977">
        <v>0</v>
      </c>
      <c r="M24" s="972"/>
      <c r="N24" s="978">
        <v>0</v>
      </c>
      <c r="O24" s="972"/>
      <c r="P24" s="977">
        <f t="shared" si="0"/>
        <v>0</v>
      </c>
      <c r="Q24" s="972"/>
      <c r="R24" s="977">
        <v>0</v>
      </c>
      <c r="S24" s="977">
        <v>0</v>
      </c>
      <c r="T24" s="977">
        <f t="shared" si="1"/>
        <v>0</v>
      </c>
      <c r="U24" s="972"/>
      <c r="V24" s="978">
        <f t="shared" si="2"/>
        <v>0</v>
      </c>
      <c r="W24" s="972"/>
      <c r="X24" s="972"/>
    </row>
    <row r="25" spans="1:25" s="979" customFormat="1" outlineLevel="1">
      <c r="A25" s="972"/>
      <c r="B25" s="973" t="s">
        <v>223</v>
      </c>
      <c r="C25" s="974"/>
      <c r="D25" s="975">
        <v>10098</v>
      </c>
      <c r="E25" s="975" t="s">
        <v>1767</v>
      </c>
      <c r="F25" s="976"/>
      <c r="G25" s="976"/>
      <c r="H25" s="972"/>
      <c r="I25" s="972"/>
      <c r="J25" s="977">
        <v>0</v>
      </c>
      <c r="K25" s="972"/>
      <c r="L25" s="977">
        <v>0</v>
      </c>
      <c r="M25" s="972"/>
      <c r="N25" s="978">
        <v>0</v>
      </c>
      <c r="O25" s="972"/>
      <c r="P25" s="977">
        <f t="shared" si="0"/>
        <v>0</v>
      </c>
      <c r="Q25" s="972"/>
      <c r="R25" s="977">
        <v>0</v>
      </c>
      <c r="S25" s="977">
        <v>0</v>
      </c>
      <c r="T25" s="977">
        <f t="shared" si="1"/>
        <v>0</v>
      </c>
      <c r="U25" s="972"/>
      <c r="V25" s="978">
        <f t="shared" si="2"/>
        <v>0</v>
      </c>
      <c r="W25" s="972"/>
      <c r="X25" s="972"/>
    </row>
    <row r="26" spans="1:25" s="979" customFormat="1" outlineLevel="1">
      <c r="A26" s="972"/>
      <c r="B26" s="973" t="s">
        <v>223</v>
      </c>
      <c r="C26" s="974"/>
      <c r="D26" s="975">
        <v>10099</v>
      </c>
      <c r="E26" s="975" t="s">
        <v>1768</v>
      </c>
      <c r="F26" s="976"/>
      <c r="G26" s="976"/>
      <c r="H26" s="972"/>
      <c r="I26" s="972"/>
      <c r="J26" s="977">
        <v>0</v>
      </c>
      <c r="K26" s="972"/>
      <c r="L26" s="977">
        <v>0</v>
      </c>
      <c r="M26" s="972"/>
      <c r="N26" s="978">
        <v>0</v>
      </c>
      <c r="O26" s="972"/>
      <c r="P26" s="977">
        <f t="shared" si="0"/>
        <v>0</v>
      </c>
      <c r="Q26" s="972"/>
      <c r="R26" s="977">
        <v>0</v>
      </c>
      <c r="S26" s="977">
        <v>0</v>
      </c>
      <c r="T26" s="977">
        <f t="shared" si="1"/>
        <v>0</v>
      </c>
      <c r="U26" s="972"/>
      <c r="V26" s="978">
        <f t="shared" si="2"/>
        <v>0</v>
      </c>
      <c r="W26" s="972"/>
      <c r="X26" s="972"/>
    </row>
    <row r="27" spans="1:25" s="979" customFormat="1" ht="4.5" customHeight="1" outlineLevel="1">
      <c r="A27" s="44"/>
      <c r="B27" s="1008" t="s">
        <v>217</v>
      </c>
      <c r="C27" s="1008"/>
      <c r="D27" s="972"/>
      <c r="E27" s="972"/>
      <c r="F27" s="972"/>
      <c r="G27" s="972"/>
      <c r="H27" s="972"/>
      <c r="I27" s="972"/>
      <c r="J27" s="1009"/>
      <c r="K27" s="972"/>
      <c r="L27" s="1009"/>
      <c r="M27" s="972"/>
      <c r="N27" s="1009"/>
      <c r="O27" s="972"/>
      <c r="P27" s="1009"/>
      <c r="Q27" s="972"/>
      <c r="R27" s="1009"/>
      <c r="S27" s="1009"/>
      <c r="T27" s="1009"/>
      <c r="U27" s="972"/>
      <c r="V27" s="1009"/>
      <c r="W27" s="972"/>
      <c r="X27" s="972"/>
      <c r="Y27" s="972"/>
    </row>
    <row r="28" spans="1:25" s="979" customFormat="1">
      <c r="A28" s="974" t="s">
        <v>1128</v>
      </c>
      <c r="B28" s="974" t="s">
        <v>217</v>
      </c>
      <c r="C28" s="974"/>
      <c r="D28" s="972"/>
      <c r="E28" s="972"/>
      <c r="F28" s="972" t="s">
        <v>1769</v>
      </c>
      <c r="G28" s="972"/>
      <c r="H28" s="972"/>
      <c r="I28" s="972"/>
      <c r="J28" s="1010">
        <f>SUM(J16:J27)</f>
        <v>29527.170000000009</v>
      </c>
      <c r="K28" s="972"/>
      <c r="L28" s="1010">
        <f>SUM(L16:L27)</f>
        <v>0</v>
      </c>
      <c r="M28" s="972"/>
      <c r="N28" s="1011">
        <f>SUM(N16:N27)</f>
        <v>0</v>
      </c>
      <c r="O28" s="972"/>
      <c r="P28" s="1010">
        <f t="shared" ref="P28:P36" si="3">J28+L28+N28</f>
        <v>29527.170000000009</v>
      </c>
      <c r="Q28" s="972"/>
      <c r="R28" s="1010">
        <f>SUM(R16:R27)</f>
        <v>212792.97</v>
      </c>
      <c r="S28" s="1010">
        <f>SUM(S16:S27)</f>
        <v>19434.800000000003</v>
      </c>
      <c r="T28" s="1010">
        <f>SUM(T16:T27)</f>
        <v>29527.170000000009</v>
      </c>
      <c r="U28" s="972"/>
      <c r="V28" s="1011">
        <f>SUM(V16:V27)</f>
        <v>10092.369999999999</v>
      </c>
      <c r="W28" s="972"/>
      <c r="X28" s="972"/>
      <c r="Y28" s="972"/>
    </row>
    <row r="29" spans="1:25" s="979" customFormat="1" outlineLevel="1">
      <c r="A29" s="972"/>
      <c r="B29" s="973" t="s">
        <v>1130</v>
      </c>
      <c r="C29" s="974"/>
      <c r="D29" s="975">
        <v>11501</v>
      </c>
      <c r="E29" s="975" t="s">
        <v>1770</v>
      </c>
      <c r="F29" s="976"/>
      <c r="G29" s="976"/>
      <c r="H29" s="972"/>
      <c r="I29" s="972"/>
      <c r="J29" s="977">
        <v>6752299.0199999996</v>
      </c>
      <c r="K29" s="972"/>
      <c r="L29" s="977">
        <v>0</v>
      </c>
      <c r="M29" s="972"/>
      <c r="N29" s="978">
        <v>0</v>
      </c>
      <c r="O29" s="972"/>
      <c r="P29" s="977">
        <f t="shared" si="3"/>
        <v>6752299.0199999996</v>
      </c>
      <c r="Q29" s="972"/>
      <c r="R29" s="977">
        <v>6574614.5800000001</v>
      </c>
      <c r="S29" s="977">
        <v>6649758.1200000001</v>
      </c>
      <c r="T29" s="977">
        <f t="shared" ref="T29:T36" si="4">P29</f>
        <v>6752299.0199999996</v>
      </c>
      <c r="U29" s="972"/>
      <c r="V29" s="978">
        <f t="shared" ref="V29:V36" si="5">T29-S29</f>
        <v>102540.89999999944</v>
      </c>
      <c r="W29" s="972"/>
      <c r="X29" s="972"/>
    </row>
    <row r="30" spans="1:25" s="979" customFormat="1" outlineLevel="1">
      <c r="A30" s="972"/>
      <c r="B30" s="973" t="s">
        <v>223</v>
      </c>
      <c r="C30" s="974"/>
      <c r="D30" s="975">
        <v>11510</v>
      </c>
      <c r="E30" s="975" t="s">
        <v>1771</v>
      </c>
      <c r="F30" s="976"/>
      <c r="G30" s="976"/>
      <c r="H30" s="972"/>
      <c r="I30" s="972"/>
      <c r="J30" s="977">
        <v>65407.51</v>
      </c>
      <c r="K30" s="972"/>
      <c r="L30" s="977">
        <v>0</v>
      </c>
      <c r="M30" s="972"/>
      <c r="N30" s="978">
        <v>0</v>
      </c>
      <c r="O30" s="972"/>
      <c r="P30" s="977">
        <f t="shared" si="3"/>
        <v>65407.51</v>
      </c>
      <c r="Q30" s="972"/>
      <c r="R30" s="977">
        <v>53209.47</v>
      </c>
      <c r="S30" s="977">
        <v>58524.53</v>
      </c>
      <c r="T30" s="977">
        <f t="shared" si="4"/>
        <v>65407.51</v>
      </c>
      <c r="U30" s="972"/>
      <c r="V30" s="978">
        <f t="shared" si="5"/>
        <v>6882.9800000000032</v>
      </c>
      <c r="W30" s="972"/>
      <c r="X30" s="972"/>
    </row>
    <row r="31" spans="1:25" s="979" customFormat="1" outlineLevel="1">
      <c r="A31" s="972"/>
      <c r="B31" s="973" t="s">
        <v>223</v>
      </c>
      <c r="C31" s="974"/>
      <c r="D31" s="975">
        <v>11511</v>
      </c>
      <c r="E31" s="975" t="s">
        <v>1772</v>
      </c>
      <c r="F31" s="976"/>
      <c r="G31" s="976"/>
      <c r="H31" s="972"/>
      <c r="I31" s="972"/>
      <c r="J31" s="977">
        <v>200322.07</v>
      </c>
      <c r="K31" s="972"/>
      <c r="L31" s="977">
        <v>0</v>
      </c>
      <c r="M31" s="972"/>
      <c r="N31" s="978">
        <v>0</v>
      </c>
      <c r="O31" s="972"/>
      <c r="P31" s="977">
        <f t="shared" si="3"/>
        <v>200322.07</v>
      </c>
      <c r="Q31" s="972"/>
      <c r="R31" s="977">
        <v>201943.99</v>
      </c>
      <c r="S31" s="977">
        <v>219085.65</v>
      </c>
      <c r="T31" s="977">
        <f t="shared" si="4"/>
        <v>200322.07</v>
      </c>
      <c r="U31" s="972"/>
      <c r="V31" s="978">
        <f t="shared" si="5"/>
        <v>-18763.579999999987</v>
      </c>
      <c r="W31" s="972"/>
      <c r="X31" s="972"/>
    </row>
    <row r="32" spans="1:25" s="979" customFormat="1" outlineLevel="1">
      <c r="A32" s="972"/>
      <c r="B32" s="973" t="s">
        <v>223</v>
      </c>
      <c r="C32" s="974"/>
      <c r="D32" s="975">
        <v>11800</v>
      </c>
      <c r="E32" s="975" t="s">
        <v>1773</v>
      </c>
      <c r="F32" s="976"/>
      <c r="G32" s="976"/>
      <c r="H32" s="972"/>
      <c r="I32" s="972"/>
      <c r="J32" s="977">
        <v>28861.35</v>
      </c>
      <c r="K32" s="972"/>
      <c r="L32" s="977">
        <v>0</v>
      </c>
      <c r="M32" s="972"/>
      <c r="N32" s="978">
        <v>0</v>
      </c>
      <c r="O32" s="972"/>
      <c r="P32" s="977">
        <f t="shared" si="3"/>
        <v>28861.35</v>
      </c>
      <c r="Q32" s="972"/>
      <c r="R32" s="977">
        <v>0</v>
      </c>
      <c r="S32" s="977">
        <v>0</v>
      </c>
      <c r="T32" s="977">
        <f t="shared" si="4"/>
        <v>28861.35</v>
      </c>
      <c r="U32" s="972"/>
      <c r="V32" s="978">
        <f t="shared" si="5"/>
        <v>28861.35</v>
      </c>
      <c r="W32" s="972"/>
      <c r="X32" s="972"/>
    </row>
    <row r="33" spans="1:25" s="979" customFormat="1" outlineLevel="1">
      <c r="A33" s="972"/>
      <c r="B33" s="973" t="s">
        <v>223</v>
      </c>
      <c r="C33" s="974"/>
      <c r="D33" s="975">
        <v>11900</v>
      </c>
      <c r="E33" s="975" t="s">
        <v>1774</v>
      </c>
      <c r="F33" s="976"/>
      <c r="G33" s="976"/>
      <c r="H33" s="972"/>
      <c r="I33" s="972"/>
      <c r="J33" s="977">
        <v>-870121.46</v>
      </c>
      <c r="K33" s="972"/>
      <c r="L33" s="977">
        <v>0</v>
      </c>
      <c r="M33" s="972"/>
      <c r="N33" s="978">
        <v>0</v>
      </c>
      <c r="O33" s="972"/>
      <c r="P33" s="977">
        <f t="shared" si="3"/>
        <v>-870121.46</v>
      </c>
      <c r="Q33" s="972"/>
      <c r="R33" s="977">
        <v>-870121.46</v>
      </c>
      <c r="S33" s="977">
        <v>-870121.46</v>
      </c>
      <c r="T33" s="977">
        <f t="shared" si="4"/>
        <v>-870121.46</v>
      </c>
      <c r="U33" s="972"/>
      <c r="V33" s="978">
        <f t="shared" si="5"/>
        <v>0</v>
      </c>
      <c r="W33" s="972"/>
      <c r="X33" s="972"/>
    </row>
    <row r="34" spans="1:25" s="979" customFormat="1" outlineLevel="1">
      <c r="A34" s="972"/>
      <c r="B34" s="973" t="s">
        <v>223</v>
      </c>
      <c r="C34" s="974"/>
      <c r="D34" s="975">
        <v>11901</v>
      </c>
      <c r="E34" s="975" t="s">
        <v>1775</v>
      </c>
      <c r="F34" s="976"/>
      <c r="G34" s="976"/>
      <c r="H34" s="972"/>
      <c r="I34" s="972"/>
      <c r="J34" s="977">
        <v>-2315559.84</v>
      </c>
      <c r="K34" s="972"/>
      <c r="L34" s="977">
        <v>0</v>
      </c>
      <c r="M34" s="972"/>
      <c r="N34" s="978">
        <v>0</v>
      </c>
      <c r="O34" s="972"/>
      <c r="P34" s="977">
        <f t="shared" si="3"/>
        <v>-2315559.84</v>
      </c>
      <c r="Q34" s="972"/>
      <c r="R34" s="977">
        <v>-2301486.91</v>
      </c>
      <c r="S34" s="977">
        <v>-2312622.58</v>
      </c>
      <c r="T34" s="977">
        <f t="shared" si="4"/>
        <v>-2315559.84</v>
      </c>
      <c r="U34" s="972"/>
      <c r="V34" s="978">
        <f t="shared" si="5"/>
        <v>-2937.2599999997765</v>
      </c>
      <c r="W34" s="972"/>
      <c r="X34" s="972"/>
    </row>
    <row r="35" spans="1:25" s="979" customFormat="1" outlineLevel="1">
      <c r="A35" s="972"/>
      <c r="B35" s="973" t="s">
        <v>223</v>
      </c>
      <c r="C35" s="974"/>
      <c r="D35" s="975">
        <v>11902</v>
      </c>
      <c r="E35" s="975" t="s">
        <v>1776</v>
      </c>
      <c r="F35" s="976"/>
      <c r="G35" s="976"/>
      <c r="H35" s="972"/>
      <c r="I35" s="972"/>
      <c r="J35" s="977">
        <v>5023237.24</v>
      </c>
      <c r="K35" s="972"/>
      <c r="L35" s="977">
        <v>0</v>
      </c>
      <c r="M35" s="972"/>
      <c r="N35" s="978">
        <v>0</v>
      </c>
      <c r="O35" s="972"/>
      <c r="P35" s="977">
        <f t="shared" si="3"/>
        <v>5023237.24</v>
      </c>
      <c r="Q35" s="972"/>
      <c r="R35" s="977">
        <v>4982924.57</v>
      </c>
      <c r="S35" s="977">
        <v>5004920.83</v>
      </c>
      <c r="T35" s="977">
        <f t="shared" si="4"/>
        <v>5023237.24</v>
      </c>
      <c r="U35" s="972"/>
      <c r="V35" s="978">
        <f t="shared" si="5"/>
        <v>18316.410000000149</v>
      </c>
      <c r="W35" s="972"/>
      <c r="X35" s="972"/>
    </row>
    <row r="36" spans="1:25" s="979" customFormat="1" outlineLevel="1">
      <c r="A36" s="972"/>
      <c r="B36" s="973" t="s">
        <v>223</v>
      </c>
      <c r="C36" s="974"/>
      <c r="D36" s="975">
        <v>11903</v>
      </c>
      <c r="E36" s="975" t="s">
        <v>1777</v>
      </c>
      <c r="F36" s="976"/>
      <c r="G36" s="976"/>
      <c r="H36" s="972"/>
      <c r="I36" s="972"/>
      <c r="J36" s="977">
        <v>-1905829.67</v>
      </c>
      <c r="K36" s="972"/>
      <c r="L36" s="977">
        <v>0</v>
      </c>
      <c r="M36" s="972"/>
      <c r="N36" s="978">
        <v>0</v>
      </c>
      <c r="O36" s="972"/>
      <c r="P36" s="977">
        <f t="shared" si="3"/>
        <v>-1905829.67</v>
      </c>
      <c r="Q36" s="972"/>
      <c r="R36" s="977">
        <v>-1883114.92</v>
      </c>
      <c r="S36" s="977">
        <v>-1892947.11</v>
      </c>
      <c r="T36" s="977">
        <f t="shared" si="4"/>
        <v>-1905829.67</v>
      </c>
      <c r="U36" s="972"/>
      <c r="V36" s="978">
        <f t="shared" si="5"/>
        <v>-12882.559999999823</v>
      </c>
      <c r="W36" s="972"/>
      <c r="X36" s="972"/>
    </row>
    <row r="37" spans="1:25" s="979" customFormat="1" ht="5.0999999999999996" customHeight="1" outlineLevel="1">
      <c r="A37" s="974" t="s">
        <v>217</v>
      </c>
      <c r="B37" s="1008" t="s">
        <v>217</v>
      </c>
      <c r="C37" s="1008"/>
      <c r="D37" s="976"/>
      <c r="E37" s="976"/>
      <c r="F37" s="976"/>
      <c r="G37" s="976"/>
      <c r="H37" s="972"/>
      <c r="I37" s="972"/>
      <c r="J37" s="1012"/>
      <c r="K37" s="972"/>
      <c r="L37" s="1012"/>
      <c r="M37" s="972"/>
      <c r="N37" s="1013"/>
      <c r="O37" s="972"/>
      <c r="P37" s="1012"/>
      <c r="Q37" s="972"/>
      <c r="R37" s="1012"/>
      <c r="S37" s="1012"/>
      <c r="T37" s="1012"/>
      <c r="U37" s="972"/>
      <c r="V37" s="1013"/>
      <c r="W37" s="972"/>
      <c r="X37" s="972"/>
      <c r="Y37" s="972"/>
    </row>
    <row r="38" spans="1:25" s="979" customFormat="1">
      <c r="A38" s="974" t="s">
        <v>1130</v>
      </c>
      <c r="B38" s="974" t="s">
        <v>217</v>
      </c>
      <c r="C38" s="974"/>
      <c r="D38" s="972"/>
      <c r="E38" s="972"/>
      <c r="F38" s="975" t="s">
        <v>1778</v>
      </c>
      <c r="G38" s="972"/>
      <c r="H38" s="972"/>
      <c r="I38" s="972"/>
      <c r="J38" s="1010">
        <f>SUM(J29:J37)</f>
        <v>6978616.2200000007</v>
      </c>
      <c r="K38" s="972"/>
      <c r="L38" s="1010">
        <f>SUM(L29:L37)</f>
        <v>0</v>
      </c>
      <c r="M38" s="972"/>
      <c r="N38" s="1011">
        <f>SUM(N29:N37)</f>
        <v>0</v>
      </c>
      <c r="O38" s="972"/>
      <c r="P38" s="1010">
        <f t="shared" ref="P38:P43" si="6">J38+L38+N38</f>
        <v>6978616.2200000007</v>
      </c>
      <c r="Q38" s="972"/>
      <c r="R38" s="1010">
        <f>SUM(R29:R37)</f>
        <v>6757969.3200000003</v>
      </c>
      <c r="S38" s="1010">
        <f>SUM(S29:S37)</f>
        <v>6856597.9799999995</v>
      </c>
      <c r="T38" s="1010">
        <f>SUM(T29:T37)</f>
        <v>6978616.2200000007</v>
      </c>
      <c r="U38" s="972"/>
      <c r="V38" s="1011">
        <f>SUM(V29:V37)</f>
        <v>122018.24000000002</v>
      </c>
      <c r="W38" s="972"/>
      <c r="X38" s="972"/>
      <c r="Y38" s="972"/>
    </row>
    <row r="39" spans="1:25" s="979" customFormat="1" outlineLevel="1">
      <c r="A39" s="972"/>
      <c r="B39" s="973" t="s">
        <v>1134</v>
      </c>
      <c r="C39" s="974"/>
      <c r="D39" s="975">
        <v>12001</v>
      </c>
      <c r="E39" s="975" t="s">
        <v>1779</v>
      </c>
      <c r="F39" s="976"/>
      <c r="G39" s="976"/>
      <c r="H39" s="972"/>
      <c r="I39" s="972"/>
      <c r="J39" s="977">
        <v>124672.13</v>
      </c>
      <c r="K39" s="972"/>
      <c r="L39" s="977">
        <v>0</v>
      </c>
      <c r="M39" s="972"/>
      <c r="N39" s="978">
        <v>0</v>
      </c>
      <c r="O39" s="972"/>
      <c r="P39" s="977">
        <f t="shared" si="6"/>
        <v>124672.13</v>
      </c>
      <c r="Q39" s="972"/>
      <c r="R39" s="977">
        <v>119679.3</v>
      </c>
      <c r="S39" s="977">
        <v>119679.3</v>
      </c>
      <c r="T39" s="977">
        <f t="shared" ref="T39:T43" si="7">P39</f>
        <v>124672.13</v>
      </c>
      <c r="U39" s="972"/>
      <c r="V39" s="978">
        <f t="shared" ref="V39:V43" si="8">T39-S39</f>
        <v>4992.8300000000017</v>
      </c>
      <c r="W39" s="972"/>
      <c r="X39" s="972"/>
    </row>
    <row r="40" spans="1:25" s="979" customFormat="1" outlineLevel="1">
      <c r="A40" s="972"/>
      <c r="B40" s="973" t="s">
        <v>223</v>
      </c>
      <c r="C40" s="974"/>
      <c r="D40" s="975">
        <v>12002</v>
      </c>
      <c r="E40" s="975" t="s">
        <v>1780</v>
      </c>
      <c r="F40" s="976"/>
      <c r="G40" s="976"/>
      <c r="H40" s="972"/>
      <c r="I40" s="972"/>
      <c r="J40" s="977">
        <v>8574.5300000000007</v>
      </c>
      <c r="K40" s="972"/>
      <c r="L40" s="977">
        <v>0</v>
      </c>
      <c r="M40" s="972"/>
      <c r="N40" s="978">
        <v>0</v>
      </c>
      <c r="O40" s="972"/>
      <c r="P40" s="977">
        <f t="shared" si="6"/>
        <v>8574.5300000000007</v>
      </c>
      <c r="Q40" s="972"/>
      <c r="R40" s="977">
        <v>23006.45</v>
      </c>
      <c r="S40" s="977">
        <v>6768.55</v>
      </c>
      <c r="T40" s="977">
        <f t="shared" si="7"/>
        <v>8574.5300000000007</v>
      </c>
      <c r="U40" s="972"/>
      <c r="V40" s="978">
        <f t="shared" si="8"/>
        <v>1805.9800000000005</v>
      </c>
      <c r="W40" s="972"/>
      <c r="X40" s="972"/>
    </row>
    <row r="41" spans="1:25" s="979" customFormat="1" outlineLevel="1">
      <c r="A41" s="972"/>
      <c r="B41" s="973" t="s">
        <v>223</v>
      </c>
      <c r="C41" s="974"/>
      <c r="D41" s="975">
        <v>12003</v>
      </c>
      <c r="E41" s="975" t="s">
        <v>1781</v>
      </c>
      <c r="F41" s="976"/>
      <c r="G41" s="976"/>
      <c r="H41" s="972"/>
      <c r="I41" s="972"/>
      <c r="J41" s="977">
        <v>7157.79</v>
      </c>
      <c r="K41" s="972"/>
      <c r="L41" s="977">
        <v>0</v>
      </c>
      <c r="M41" s="972"/>
      <c r="N41" s="978">
        <v>0</v>
      </c>
      <c r="O41" s="972"/>
      <c r="P41" s="977">
        <f t="shared" si="6"/>
        <v>7157.79</v>
      </c>
      <c r="Q41" s="972"/>
      <c r="R41" s="977">
        <v>4425.43</v>
      </c>
      <c r="S41" s="977">
        <v>4425.43</v>
      </c>
      <c r="T41" s="977">
        <f t="shared" si="7"/>
        <v>7157.79</v>
      </c>
      <c r="U41" s="972"/>
      <c r="V41" s="978">
        <f t="shared" si="8"/>
        <v>2732.3599999999997</v>
      </c>
      <c r="W41" s="972"/>
      <c r="X41" s="972"/>
    </row>
    <row r="42" spans="1:25" s="979" customFormat="1" outlineLevel="1">
      <c r="A42" s="972"/>
      <c r="B42" s="973" t="s">
        <v>223</v>
      </c>
      <c r="C42" s="974"/>
      <c r="D42" s="975">
        <v>12004</v>
      </c>
      <c r="E42" s="975" t="s">
        <v>1782</v>
      </c>
      <c r="F42" s="976"/>
      <c r="G42" s="976"/>
      <c r="H42" s="972"/>
      <c r="I42" s="972"/>
      <c r="J42" s="977">
        <v>24316.880000000001</v>
      </c>
      <c r="K42" s="972"/>
      <c r="L42" s="977">
        <v>0</v>
      </c>
      <c r="M42" s="972"/>
      <c r="N42" s="978">
        <v>0</v>
      </c>
      <c r="O42" s="972"/>
      <c r="P42" s="977">
        <f t="shared" si="6"/>
        <v>24316.880000000001</v>
      </c>
      <c r="Q42" s="972"/>
      <c r="R42" s="977">
        <v>26290.61</v>
      </c>
      <c r="S42" s="977">
        <v>25250.76</v>
      </c>
      <c r="T42" s="977">
        <f t="shared" si="7"/>
        <v>24316.880000000001</v>
      </c>
      <c r="U42" s="972"/>
      <c r="V42" s="978">
        <f t="shared" si="8"/>
        <v>-933.87999999999738</v>
      </c>
      <c r="W42" s="972"/>
      <c r="X42" s="972"/>
    </row>
    <row r="43" spans="1:25" s="979" customFormat="1" outlineLevel="1">
      <c r="A43" s="972"/>
      <c r="B43" s="973" t="s">
        <v>223</v>
      </c>
      <c r="C43" s="974"/>
      <c r="D43" s="975">
        <v>12005</v>
      </c>
      <c r="E43" s="975" t="s">
        <v>1783</v>
      </c>
      <c r="F43" s="976"/>
      <c r="G43" s="976"/>
      <c r="H43" s="972"/>
      <c r="I43" s="972"/>
      <c r="J43" s="977">
        <v>0</v>
      </c>
      <c r="K43" s="972"/>
      <c r="L43" s="977">
        <v>0</v>
      </c>
      <c r="M43" s="972"/>
      <c r="N43" s="978">
        <v>0</v>
      </c>
      <c r="O43" s="972"/>
      <c r="P43" s="977">
        <f t="shared" si="6"/>
        <v>0</v>
      </c>
      <c r="Q43" s="972"/>
      <c r="R43" s="977">
        <v>0</v>
      </c>
      <c r="S43" s="977">
        <v>0</v>
      </c>
      <c r="T43" s="977">
        <f t="shared" si="7"/>
        <v>0</v>
      </c>
      <c r="U43" s="972"/>
      <c r="V43" s="978">
        <f t="shared" si="8"/>
        <v>0</v>
      </c>
      <c r="W43" s="972"/>
      <c r="X43" s="972"/>
    </row>
    <row r="44" spans="1:25" s="979" customFormat="1" ht="5.0999999999999996" customHeight="1" outlineLevel="1">
      <c r="A44" s="974" t="s">
        <v>217</v>
      </c>
      <c r="B44" s="1008" t="s">
        <v>217</v>
      </c>
      <c r="C44" s="1008"/>
      <c r="D44" s="976"/>
      <c r="E44" s="976"/>
      <c r="F44" s="976"/>
      <c r="G44" s="976"/>
      <c r="H44" s="972"/>
      <c r="I44" s="972"/>
      <c r="J44" s="1012"/>
      <c r="K44" s="972"/>
      <c r="L44" s="1012"/>
      <c r="M44" s="972"/>
      <c r="N44" s="1013"/>
      <c r="O44" s="972"/>
      <c r="P44" s="1012"/>
      <c r="Q44" s="972"/>
      <c r="R44" s="1012"/>
      <c r="S44" s="1012"/>
      <c r="T44" s="1012"/>
      <c r="U44" s="972"/>
      <c r="V44" s="1013"/>
      <c r="W44" s="972"/>
      <c r="X44" s="972"/>
      <c r="Y44" s="972"/>
    </row>
    <row r="45" spans="1:25" s="979" customFormat="1">
      <c r="A45" s="974" t="s">
        <v>1134</v>
      </c>
      <c r="B45" s="974" t="s">
        <v>217</v>
      </c>
      <c r="C45" s="974"/>
      <c r="D45" s="972"/>
      <c r="E45" s="972"/>
      <c r="F45" s="975" t="s">
        <v>1135</v>
      </c>
      <c r="G45" s="972"/>
      <c r="H45" s="972"/>
      <c r="I45" s="972"/>
      <c r="J45" s="1010">
        <f>SUM(J39:J44)</f>
        <v>164721.33000000002</v>
      </c>
      <c r="K45" s="972"/>
      <c r="L45" s="1010">
        <f>SUM(L39:L44)</f>
        <v>0</v>
      </c>
      <c r="M45" s="972"/>
      <c r="N45" s="1011">
        <f>SUM(N39:N44)</f>
        <v>0</v>
      </c>
      <c r="O45" s="972"/>
      <c r="P45" s="1010">
        <f t="shared" ref="P45:P52" si="9">J45+L45+N45</f>
        <v>164721.33000000002</v>
      </c>
      <c r="Q45" s="972"/>
      <c r="R45" s="1010">
        <f>SUM(R39:R44)</f>
        <v>173401.78999999998</v>
      </c>
      <c r="S45" s="1010">
        <f>SUM(S39:S44)</f>
        <v>156124.04</v>
      </c>
      <c r="T45" s="1010">
        <f>SUM(T39:T44)</f>
        <v>164721.33000000002</v>
      </c>
      <c r="U45" s="972"/>
      <c r="V45" s="1011">
        <f>SUM(V39:V44)</f>
        <v>8597.2900000000045</v>
      </c>
      <c r="W45" s="972"/>
      <c r="X45" s="972"/>
      <c r="Y45" s="972"/>
    </row>
    <row r="46" spans="1:25" s="979" customFormat="1" outlineLevel="1">
      <c r="A46" s="972"/>
      <c r="B46" s="973" t="s">
        <v>1136</v>
      </c>
      <c r="C46" s="974"/>
      <c r="D46" s="975">
        <v>13001</v>
      </c>
      <c r="E46" s="975" t="s">
        <v>1784</v>
      </c>
      <c r="F46" s="976"/>
      <c r="G46" s="976"/>
      <c r="H46" s="972"/>
      <c r="I46" s="972"/>
      <c r="J46" s="977">
        <v>139530.21</v>
      </c>
      <c r="K46" s="972"/>
      <c r="L46" s="977">
        <v>0</v>
      </c>
      <c r="M46" s="972"/>
      <c r="N46" s="978">
        <v>0</v>
      </c>
      <c r="O46" s="972"/>
      <c r="P46" s="977">
        <f t="shared" si="9"/>
        <v>139530.21</v>
      </c>
      <c r="Q46" s="972"/>
      <c r="R46" s="977">
        <v>161175.32999999999</v>
      </c>
      <c r="S46" s="977">
        <v>150352.76999999999</v>
      </c>
      <c r="T46" s="977">
        <f t="shared" ref="T46:T52" si="10">P46</f>
        <v>139530.21</v>
      </c>
      <c r="U46" s="972"/>
      <c r="V46" s="978">
        <f t="shared" ref="V46:V52" si="11">T46-S46</f>
        <v>-10822.559999999998</v>
      </c>
      <c r="W46" s="972"/>
      <c r="X46" s="972"/>
    </row>
    <row r="47" spans="1:25" s="979" customFormat="1" outlineLevel="1">
      <c r="A47" s="972"/>
      <c r="B47" s="973" t="s">
        <v>223</v>
      </c>
      <c r="C47" s="974"/>
      <c r="D47" s="975">
        <v>13002</v>
      </c>
      <c r="E47" s="975" t="s">
        <v>1785</v>
      </c>
      <c r="F47" s="976"/>
      <c r="G47" s="976"/>
      <c r="H47" s="972"/>
      <c r="I47" s="972"/>
      <c r="J47" s="977">
        <v>30337.5</v>
      </c>
      <c r="K47" s="972"/>
      <c r="L47" s="977">
        <v>0</v>
      </c>
      <c r="M47" s="972"/>
      <c r="N47" s="978">
        <v>0</v>
      </c>
      <c r="O47" s="972"/>
      <c r="P47" s="977">
        <f t="shared" si="9"/>
        <v>30337.5</v>
      </c>
      <c r="Q47" s="972"/>
      <c r="R47" s="977">
        <v>34563.33</v>
      </c>
      <c r="S47" s="977">
        <v>33575.410000000003</v>
      </c>
      <c r="T47" s="977">
        <f t="shared" si="10"/>
        <v>30337.5</v>
      </c>
      <c r="U47" s="972"/>
      <c r="V47" s="978">
        <f t="shared" si="11"/>
        <v>-3237.9100000000035</v>
      </c>
      <c r="W47" s="972"/>
      <c r="X47" s="972"/>
    </row>
    <row r="48" spans="1:25" s="979" customFormat="1" outlineLevel="1">
      <c r="A48" s="972"/>
      <c r="B48" s="973" t="s">
        <v>223</v>
      </c>
      <c r="C48" s="974"/>
      <c r="D48" s="975">
        <v>13003</v>
      </c>
      <c r="E48" s="975" t="s">
        <v>1786</v>
      </c>
      <c r="F48" s="976"/>
      <c r="G48" s="976"/>
      <c r="H48" s="972"/>
      <c r="I48" s="972"/>
      <c r="J48" s="977">
        <v>12576</v>
      </c>
      <c r="K48" s="972"/>
      <c r="L48" s="977">
        <v>0</v>
      </c>
      <c r="M48" s="972"/>
      <c r="N48" s="978">
        <v>0</v>
      </c>
      <c r="O48" s="972"/>
      <c r="P48" s="977">
        <f t="shared" si="9"/>
        <v>12576</v>
      </c>
      <c r="Q48" s="972"/>
      <c r="R48" s="977">
        <v>15370.67</v>
      </c>
      <c r="S48" s="977">
        <v>13973.34</v>
      </c>
      <c r="T48" s="977">
        <f t="shared" si="10"/>
        <v>12576</v>
      </c>
      <c r="U48" s="972"/>
      <c r="V48" s="978">
        <f t="shared" si="11"/>
        <v>-1397.3400000000001</v>
      </c>
      <c r="W48" s="972"/>
      <c r="X48" s="972"/>
    </row>
    <row r="49" spans="1:25" s="979" customFormat="1" outlineLevel="1">
      <c r="A49" s="972"/>
      <c r="B49" s="973" t="s">
        <v>223</v>
      </c>
      <c r="C49" s="974"/>
      <c r="D49" s="975">
        <v>13004</v>
      </c>
      <c r="E49" s="975" t="s">
        <v>1787</v>
      </c>
      <c r="F49" s="976"/>
      <c r="G49" s="976"/>
      <c r="H49" s="972"/>
      <c r="I49" s="972"/>
      <c r="J49" s="977">
        <v>24067.77</v>
      </c>
      <c r="K49" s="972"/>
      <c r="L49" s="977">
        <v>0</v>
      </c>
      <c r="M49" s="972"/>
      <c r="N49" s="978">
        <v>0</v>
      </c>
      <c r="O49" s="972"/>
      <c r="P49" s="977">
        <f t="shared" si="9"/>
        <v>24067.77</v>
      </c>
      <c r="Q49" s="972"/>
      <c r="R49" s="977">
        <v>40112.949999999997</v>
      </c>
      <c r="S49" s="977">
        <v>32090.36</v>
      </c>
      <c r="T49" s="977">
        <f t="shared" si="10"/>
        <v>24067.77</v>
      </c>
      <c r="U49" s="972"/>
      <c r="V49" s="978">
        <f t="shared" si="11"/>
        <v>-8022.59</v>
      </c>
      <c r="W49" s="972"/>
      <c r="X49" s="972"/>
    </row>
    <row r="50" spans="1:25" s="979" customFormat="1" outlineLevel="1">
      <c r="A50" s="972"/>
      <c r="B50" s="973" t="s">
        <v>223</v>
      </c>
      <c r="C50" s="974"/>
      <c r="D50" s="975">
        <v>13005</v>
      </c>
      <c r="E50" s="975" t="s">
        <v>1788</v>
      </c>
      <c r="F50" s="976"/>
      <c r="G50" s="976"/>
      <c r="H50" s="972"/>
      <c r="I50" s="972"/>
      <c r="J50" s="977">
        <v>31674.63</v>
      </c>
      <c r="K50" s="972"/>
      <c r="L50" s="977">
        <v>0</v>
      </c>
      <c r="M50" s="972"/>
      <c r="N50" s="978">
        <v>0</v>
      </c>
      <c r="O50" s="972"/>
      <c r="P50" s="977">
        <f t="shared" si="9"/>
        <v>31674.63</v>
      </c>
      <c r="Q50" s="972"/>
      <c r="R50" s="977">
        <v>30874.63</v>
      </c>
      <c r="S50" s="977">
        <v>31674.63</v>
      </c>
      <c r="T50" s="977">
        <f t="shared" si="10"/>
        <v>31674.63</v>
      </c>
      <c r="U50" s="972"/>
      <c r="V50" s="978">
        <f t="shared" si="11"/>
        <v>0</v>
      </c>
      <c r="W50" s="972"/>
      <c r="X50" s="972"/>
    </row>
    <row r="51" spans="1:25" s="979" customFormat="1" outlineLevel="1">
      <c r="A51" s="972"/>
      <c r="B51" s="973" t="s">
        <v>223</v>
      </c>
      <c r="C51" s="974"/>
      <c r="D51" s="975">
        <v>13007</v>
      </c>
      <c r="E51" s="975" t="s">
        <v>1789</v>
      </c>
      <c r="F51" s="976"/>
      <c r="G51" s="976"/>
      <c r="H51" s="972"/>
      <c r="I51" s="972"/>
      <c r="J51" s="977">
        <v>0</v>
      </c>
      <c r="K51" s="972"/>
      <c r="L51" s="977">
        <v>0</v>
      </c>
      <c r="M51" s="972"/>
      <c r="N51" s="978">
        <v>0</v>
      </c>
      <c r="O51" s="972"/>
      <c r="P51" s="977">
        <f t="shared" si="9"/>
        <v>0</v>
      </c>
      <c r="Q51" s="972"/>
      <c r="R51" s="977">
        <v>0</v>
      </c>
      <c r="S51" s="977">
        <v>0</v>
      </c>
      <c r="T51" s="977">
        <f t="shared" si="10"/>
        <v>0</v>
      </c>
      <c r="U51" s="972"/>
      <c r="V51" s="978">
        <f t="shared" si="11"/>
        <v>0</v>
      </c>
      <c r="W51" s="972"/>
      <c r="X51" s="972"/>
    </row>
    <row r="52" spans="1:25" s="979" customFormat="1" outlineLevel="1">
      <c r="A52" s="972"/>
      <c r="B52" s="973" t="s">
        <v>223</v>
      </c>
      <c r="C52" s="974"/>
      <c r="D52" s="975">
        <v>13008</v>
      </c>
      <c r="E52" s="975" t="s">
        <v>1790</v>
      </c>
      <c r="F52" s="976"/>
      <c r="G52" s="976"/>
      <c r="H52" s="972"/>
      <c r="I52" s="972"/>
      <c r="J52" s="977">
        <v>54686.67</v>
      </c>
      <c r="K52" s="972"/>
      <c r="L52" s="977">
        <v>0</v>
      </c>
      <c r="M52" s="972"/>
      <c r="N52" s="978">
        <v>0</v>
      </c>
      <c r="O52" s="972"/>
      <c r="P52" s="977">
        <f t="shared" si="9"/>
        <v>54686.67</v>
      </c>
      <c r="Q52" s="972"/>
      <c r="R52" s="977">
        <v>22521.8</v>
      </c>
      <c r="S52" s="977">
        <v>47049.49</v>
      </c>
      <c r="T52" s="977">
        <f t="shared" si="10"/>
        <v>54686.67</v>
      </c>
      <c r="U52" s="972"/>
      <c r="V52" s="978">
        <f t="shared" si="11"/>
        <v>7637.18</v>
      </c>
      <c r="W52" s="972"/>
      <c r="X52" s="972"/>
    </row>
    <row r="53" spans="1:25" s="979" customFormat="1" ht="3.75" customHeight="1" outlineLevel="1">
      <c r="A53" s="974" t="s">
        <v>217</v>
      </c>
      <c r="B53" s="1008" t="s">
        <v>217</v>
      </c>
      <c r="C53" s="1008"/>
      <c r="D53" s="976"/>
      <c r="E53" s="976"/>
      <c r="F53" s="976"/>
      <c r="G53" s="976"/>
      <c r="H53" s="972"/>
      <c r="I53" s="972"/>
      <c r="J53" s="1012"/>
      <c r="K53" s="972"/>
      <c r="L53" s="1012"/>
      <c r="M53" s="972"/>
      <c r="N53" s="1013"/>
      <c r="O53" s="972"/>
      <c r="P53" s="1012"/>
      <c r="Q53" s="972"/>
      <c r="R53" s="1012"/>
      <c r="S53" s="1012"/>
      <c r="T53" s="1012"/>
      <c r="U53" s="972"/>
      <c r="V53" s="1013"/>
      <c r="W53" s="972"/>
      <c r="X53" s="972"/>
      <c r="Y53" s="972"/>
    </row>
    <row r="54" spans="1:25" s="979" customFormat="1">
      <c r="A54" s="974" t="s">
        <v>1136</v>
      </c>
      <c r="B54" s="974" t="s">
        <v>217</v>
      </c>
      <c r="C54" s="974"/>
      <c r="D54" s="972"/>
      <c r="E54" s="972"/>
      <c r="F54" s="975" t="s">
        <v>1791</v>
      </c>
      <c r="G54" s="972"/>
      <c r="H54" s="972"/>
      <c r="I54" s="972"/>
      <c r="J54" s="1010">
        <f>SUM(J46:J53)</f>
        <v>292872.77999999997</v>
      </c>
      <c r="K54" s="972"/>
      <c r="L54" s="1010">
        <f>SUM(L46:L53)</f>
        <v>0</v>
      </c>
      <c r="M54" s="972"/>
      <c r="N54" s="1011">
        <f>SUM(N46:N53)</f>
        <v>0</v>
      </c>
      <c r="O54" s="972"/>
      <c r="P54" s="1010">
        <f>J54+L54+N54</f>
        <v>292872.77999999997</v>
      </c>
      <c r="Q54" s="972"/>
      <c r="R54" s="1010">
        <f>SUM(R46:R53)</f>
        <v>304618.70999999996</v>
      </c>
      <c r="S54" s="1010">
        <f>SUM(S46:S53)</f>
        <v>308716</v>
      </c>
      <c r="T54" s="1010">
        <f>SUM(T46:T53)</f>
        <v>292872.77999999997</v>
      </c>
      <c r="U54" s="1014"/>
      <c r="V54" s="1011">
        <f>SUM(V46:V53)</f>
        <v>-15843.220000000001</v>
      </c>
      <c r="W54" s="972"/>
      <c r="X54" s="972"/>
      <c r="Y54" s="972"/>
    </row>
    <row r="55" spans="1:25" s="979" customFormat="1" outlineLevel="1">
      <c r="A55" s="972"/>
      <c r="B55" s="973" t="s">
        <v>1132</v>
      </c>
      <c r="C55" s="974"/>
      <c r="D55" s="975"/>
      <c r="E55" s="975"/>
      <c r="F55" s="976"/>
      <c r="G55" s="976"/>
      <c r="H55" s="972"/>
      <c r="I55" s="972"/>
      <c r="J55" s="977"/>
      <c r="K55" s="972"/>
      <c r="L55" s="977"/>
      <c r="M55" s="972"/>
      <c r="N55" s="978"/>
      <c r="O55" s="972"/>
      <c r="P55" s="977">
        <f>J55+L55+N55</f>
        <v>0</v>
      </c>
      <c r="Q55" s="972"/>
      <c r="R55" s="977"/>
      <c r="S55" s="977"/>
      <c r="T55" s="977">
        <f>P55</f>
        <v>0</v>
      </c>
      <c r="U55" s="972"/>
      <c r="V55" s="978">
        <f>T55-S55</f>
        <v>0</v>
      </c>
      <c r="W55" s="972"/>
      <c r="X55" s="972"/>
    </row>
    <row r="56" spans="1:25" s="979" customFormat="1" ht="3.75" customHeight="1" outlineLevel="1">
      <c r="A56" s="974" t="s">
        <v>217</v>
      </c>
      <c r="B56" s="1008" t="s">
        <v>217</v>
      </c>
      <c r="C56" s="1008"/>
      <c r="D56" s="976"/>
      <c r="E56" s="976"/>
      <c r="F56" s="976"/>
      <c r="G56" s="976"/>
      <c r="H56" s="972"/>
      <c r="I56" s="972"/>
      <c r="J56" s="1012"/>
      <c r="K56" s="972"/>
      <c r="L56" s="1012"/>
      <c r="M56" s="972"/>
      <c r="N56" s="1013"/>
      <c r="O56" s="972"/>
      <c r="P56" s="1012"/>
      <c r="Q56" s="972"/>
      <c r="R56" s="1012"/>
      <c r="S56" s="1012"/>
      <c r="T56" s="1012"/>
      <c r="U56" s="972"/>
      <c r="V56" s="1013"/>
      <c r="W56" s="972"/>
      <c r="X56" s="972"/>
      <c r="Y56" s="972"/>
    </row>
    <row r="57" spans="1:25" s="979" customFormat="1">
      <c r="A57" s="974" t="s">
        <v>1132</v>
      </c>
      <c r="B57" s="974" t="s">
        <v>217</v>
      </c>
      <c r="C57" s="974"/>
      <c r="D57" s="972"/>
      <c r="E57" s="972"/>
      <c r="F57" s="975" t="s">
        <v>1792</v>
      </c>
      <c r="G57" s="972"/>
      <c r="H57" s="972"/>
      <c r="I57" s="972"/>
      <c r="J57" s="1010">
        <f>SUM(J55:J56)</f>
        <v>0</v>
      </c>
      <c r="K57" s="972"/>
      <c r="L57" s="1010">
        <f>SUM(L55:L56)</f>
        <v>0</v>
      </c>
      <c r="M57" s="972"/>
      <c r="N57" s="1011">
        <f>SUM(N55:N56)</f>
        <v>0</v>
      </c>
      <c r="O57" s="972"/>
      <c r="P57" s="1010">
        <f>J57+L57+N57</f>
        <v>0</v>
      </c>
      <c r="Q57" s="972"/>
      <c r="R57" s="1010">
        <f>SUM(R55:R56)</f>
        <v>0</v>
      </c>
      <c r="S57" s="1010">
        <f>SUM(S55:S56)</f>
        <v>0</v>
      </c>
      <c r="T57" s="1010">
        <f>SUM(T55:T56)</f>
        <v>0</v>
      </c>
      <c r="U57" s="1014"/>
      <c r="V57" s="1011">
        <f>SUM(V55:V56)</f>
        <v>0</v>
      </c>
      <c r="W57" s="972"/>
      <c r="X57" s="972"/>
      <c r="Y57" s="972"/>
    </row>
    <row r="58" spans="1:25" s="979" customFormat="1" ht="7.5" customHeight="1">
      <c r="A58" s="1008" t="s">
        <v>217</v>
      </c>
      <c r="B58" s="1008" t="s">
        <v>217</v>
      </c>
      <c r="C58" s="1008"/>
      <c r="D58" s="972"/>
      <c r="E58" s="972"/>
      <c r="F58" s="972"/>
      <c r="G58" s="972"/>
      <c r="H58" s="972"/>
      <c r="I58" s="972"/>
      <c r="J58" s="1015"/>
      <c r="K58" s="972"/>
      <c r="L58" s="1015"/>
      <c r="M58" s="972"/>
      <c r="N58" s="1015"/>
      <c r="O58" s="972"/>
      <c r="P58" s="1015"/>
      <c r="Q58" s="972"/>
      <c r="R58" s="1015"/>
      <c r="S58" s="1015"/>
      <c r="T58" s="1015"/>
      <c r="U58" s="972"/>
      <c r="V58" s="1015"/>
      <c r="W58" s="972"/>
      <c r="X58" s="972"/>
      <c r="Y58" s="972"/>
    </row>
    <row r="59" spans="1:25" s="979" customFormat="1">
      <c r="A59" s="974" t="s">
        <v>217</v>
      </c>
      <c r="B59" s="1008" t="s">
        <v>217</v>
      </c>
      <c r="C59" s="1008"/>
      <c r="D59" s="972"/>
      <c r="E59" s="1016" t="s">
        <v>1793</v>
      </c>
      <c r="F59" s="972"/>
      <c r="G59" s="972"/>
      <c r="H59" s="972"/>
      <c r="I59" s="972"/>
      <c r="J59" s="1017">
        <f>SUM(J28,J38,J45,J54,J57)</f>
        <v>7465737.5000000009</v>
      </c>
      <c r="K59" s="972"/>
      <c r="L59" s="1017">
        <f>SUM(L28,L38,L45,L54,L57)</f>
        <v>0</v>
      </c>
      <c r="M59" s="972"/>
      <c r="N59" s="1018">
        <f>SUM(N28,N38,N45,N54,N57)</f>
        <v>0</v>
      </c>
      <c r="O59" s="972"/>
      <c r="P59" s="1017">
        <f>SUM(P28,P38,P45,P54,P57)</f>
        <v>7465737.5000000009</v>
      </c>
      <c r="Q59" s="972"/>
      <c r="R59" s="1017">
        <f>SUM(R28,R38,R45,R54,R57)</f>
        <v>7448782.79</v>
      </c>
      <c r="S59" s="1017">
        <f>SUM(S28,S38,S45,S54,S57)</f>
        <v>7340872.8199999994</v>
      </c>
      <c r="T59" s="1017">
        <f>SUM(T28,T38,T45,T54,T57)</f>
        <v>7465737.5000000009</v>
      </c>
      <c r="U59" s="972"/>
      <c r="V59" s="1018">
        <f>SUM(V28,V38,V45,V54,V57)</f>
        <v>124864.68000000002</v>
      </c>
      <c r="W59" s="972"/>
      <c r="X59" s="972"/>
      <c r="Y59" s="972"/>
    </row>
    <row r="60" spans="1:25" s="979" customFormat="1" ht="7.5" customHeight="1">
      <c r="A60" s="1008" t="s">
        <v>217</v>
      </c>
      <c r="B60" s="1008" t="s">
        <v>217</v>
      </c>
      <c r="C60" s="1008"/>
      <c r="D60" s="972"/>
      <c r="E60" s="972"/>
      <c r="F60" s="972"/>
      <c r="G60" s="972"/>
      <c r="H60" s="972"/>
      <c r="I60" s="972"/>
      <c r="J60" s="1015"/>
      <c r="K60" s="972"/>
      <c r="L60" s="1015"/>
      <c r="M60" s="972"/>
      <c r="N60" s="978"/>
      <c r="O60" s="972"/>
      <c r="P60" s="1015"/>
      <c r="Q60" s="972"/>
      <c r="R60" s="1015"/>
      <c r="S60" s="1015"/>
      <c r="T60" s="1015"/>
      <c r="U60" s="972"/>
      <c r="V60" s="978"/>
      <c r="W60" s="972"/>
      <c r="X60" s="972"/>
      <c r="Y60" s="972"/>
    </row>
    <row r="61" spans="1:25" s="979" customFormat="1" outlineLevel="1">
      <c r="A61" s="1008" t="s">
        <v>217</v>
      </c>
      <c r="B61" s="1008" t="s">
        <v>217</v>
      </c>
      <c r="C61" s="1008"/>
      <c r="D61" s="972"/>
      <c r="E61" s="972"/>
      <c r="F61" s="972"/>
      <c r="G61" s="972"/>
      <c r="H61" s="972"/>
      <c r="I61" s="972"/>
      <c r="J61" s="1015"/>
      <c r="K61" s="972"/>
      <c r="L61" s="1015"/>
      <c r="M61" s="972"/>
      <c r="N61" s="978"/>
      <c r="O61" s="972"/>
      <c r="P61" s="1015"/>
      <c r="Q61" s="972"/>
      <c r="R61" s="1015"/>
      <c r="S61" s="1015"/>
      <c r="T61" s="1015"/>
      <c r="U61" s="972"/>
      <c r="V61" s="978"/>
      <c r="W61" s="972"/>
      <c r="X61" s="972"/>
      <c r="Y61" s="972"/>
    </row>
    <row r="62" spans="1:25" s="979" customFormat="1" outlineLevel="1">
      <c r="A62" s="972"/>
      <c r="B62" s="973" t="s">
        <v>1139</v>
      </c>
      <c r="C62" s="974"/>
      <c r="D62" s="975">
        <v>14001</v>
      </c>
      <c r="E62" s="975" t="s">
        <v>1794</v>
      </c>
      <c r="F62" s="976"/>
      <c r="G62" s="976"/>
      <c r="H62" s="972"/>
      <c r="I62" s="972"/>
      <c r="J62" s="977">
        <v>2723876.96</v>
      </c>
      <c r="K62" s="972"/>
      <c r="L62" s="977">
        <v>0</v>
      </c>
      <c r="M62" s="972"/>
      <c r="N62" s="978">
        <v>0</v>
      </c>
      <c r="O62" s="972"/>
      <c r="P62" s="977">
        <f t="shared" ref="P62:P93" si="12">J62+L62+N62</f>
        <v>2723876.96</v>
      </c>
      <c r="Q62" s="972"/>
      <c r="R62" s="977">
        <v>2723876.96</v>
      </c>
      <c r="S62" s="977">
        <v>2723876.96</v>
      </c>
      <c r="T62" s="977">
        <f t="shared" ref="T62:T123" si="13">P62</f>
        <v>2723876.96</v>
      </c>
      <c r="U62" s="972"/>
      <c r="V62" s="978">
        <f t="shared" ref="V62:V123" si="14">T62-S62</f>
        <v>0</v>
      </c>
      <c r="W62" s="972"/>
      <c r="X62" s="972"/>
    </row>
    <row r="63" spans="1:25" s="979" customFormat="1" outlineLevel="1">
      <c r="A63" s="972"/>
      <c r="B63" s="973" t="s">
        <v>223</v>
      </c>
      <c r="C63" s="974"/>
      <c r="D63" s="975">
        <v>14003</v>
      </c>
      <c r="E63" s="975" t="s">
        <v>1795</v>
      </c>
      <c r="F63" s="976"/>
      <c r="G63" s="976"/>
      <c r="H63" s="972"/>
      <c r="I63" s="972"/>
      <c r="J63" s="977">
        <v>1322879.82</v>
      </c>
      <c r="K63" s="972"/>
      <c r="L63" s="977">
        <v>0</v>
      </c>
      <c r="M63" s="972"/>
      <c r="N63" s="978">
        <v>0</v>
      </c>
      <c r="O63" s="972"/>
      <c r="P63" s="977">
        <f t="shared" si="12"/>
        <v>1322879.82</v>
      </c>
      <c r="Q63" s="972"/>
      <c r="R63" s="977">
        <v>1322879.82</v>
      </c>
      <c r="S63" s="977">
        <v>1322879.82</v>
      </c>
      <c r="T63" s="977">
        <f t="shared" si="13"/>
        <v>1322879.82</v>
      </c>
      <c r="U63" s="972"/>
      <c r="V63" s="978">
        <f t="shared" si="14"/>
        <v>0</v>
      </c>
      <c r="W63" s="972"/>
      <c r="X63" s="972"/>
    </row>
    <row r="64" spans="1:25" s="979" customFormat="1" outlineLevel="1">
      <c r="A64" s="972"/>
      <c r="B64" s="973" t="s">
        <v>223</v>
      </c>
      <c r="C64" s="974"/>
      <c r="D64" s="975">
        <v>14011</v>
      </c>
      <c r="E64" s="975" t="s">
        <v>1796</v>
      </c>
      <c r="F64" s="976"/>
      <c r="G64" s="976"/>
      <c r="H64" s="972"/>
      <c r="I64" s="972"/>
      <c r="J64" s="977">
        <v>150112.26999999999</v>
      </c>
      <c r="K64" s="972"/>
      <c r="L64" s="977">
        <v>0</v>
      </c>
      <c r="M64" s="972"/>
      <c r="N64" s="978">
        <v>0</v>
      </c>
      <c r="O64" s="972"/>
      <c r="P64" s="977">
        <f t="shared" si="12"/>
        <v>150112.26999999999</v>
      </c>
      <c r="Q64" s="972"/>
      <c r="R64" s="977">
        <v>150112.26999999999</v>
      </c>
      <c r="S64" s="977">
        <v>150112.26999999999</v>
      </c>
      <c r="T64" s="977">
        <f t="shared" si="13"/>
        <v>150112.26999999999</v>
      </c>
      <c r="U64" s="972"/>
      <c r="V64" s="978">
        <f t="shared" si="14"/>
        <v>0</v>
      </c>
      <c r="W64" s="972"/>
      <c r="X64" s="972"/>
    </row>
    <row r="65" spans="1:24" s="979" customFormat="1" outlineLevel="1">
      <c r="A65" s="972"/>
      <c r="B65" s="973" t="s">
        <v>223</v>
      </c>
      <c r="C65" s="974"/>
      <c r="D65" s="975">
        <v>14016</v>
      </c>
      <c r="E65" s="975" t="s">
        <v>1797</v>
      </c>
      <c r="F65" s="976"/>
      <c r="G65" s="976"/>
      <c r="H65" s="972"/>
      <c r="I65" s="972"/>
      <c r="J65" s="977">
        <v>-32975.49</v>
      </c>
      <c r="K65" s="972"/>
      <c r="L65" s="977">
        <v>0</v>
      </c>
      <c r="M65" s="972"/>
      <c r="N65" s="978">
        <v>0</v>
      </c>
      <c r="O65" s="972"/>
      <c r="P65" s="977">
        <f t="shared" si="12"/>
        <v>-32975.49</v>
      </c>
      <c r="Q65" s="972"/>
      <c r="R65" s="977">
        <v>-30464.17</v>
      </c>
      <c r="S65" s="977">
        <v>-31719.81</v>
      </c>
      <c r="T65" s="977">
        <f t="shared" si="13"/>
        <v>-32975.49</v>
      </c>
      <c r="U65" s="972"/>
      <c r="V65" s="978">
        <f t="shared" si="14"/>
        <v>-1255.6799999999967</v>
      </c>
      <c r="W65" s="972"/>
      <c r="X65" s="972"/>
    </row>
    <row r="66" spans="1:24" s="979" customFormat="1" outlineLevel="1">
      <c r="A66" s="972"/>
      <c r="B66" s="973" t="s">
        <v>223</v>
      </c>
      <c r="C66" s="974"/>
      <c r="D66" s="975">
        <v>14033</v>
      </c>
      <c r="E66" s="975" t="s">
        <v>1798</v>
      </c>
      <c r="F66" s="976"/>
      <c r="G66" s="976"/>
      <c r="H66" s="972"/>
      <c r="I66" s="972"/>
      <c r="J66" s="977">
        <v>126793.46</v>
      </c>
      <c r="K66" s="972"/>
      <c r="L66" s="977">
        <v>0</v>
      </c>
      <c r="M66" s="972"/>
      <c r="N66" s="978">
        <v>0</v>
      </c>
      <c r="O66" s="972"/>
      <c r="P66" s="977">
        <f t="shared" si="12"/>
        <v>126793.46</v>
      </c>
      <c r="Q66" s="972"/>
      <c r="R66" s="977">
        <v>126793.46</v>
      </c>
      <c r="S66" s="977">
        <v>126793.46</v>
      </c>
      <c r="T66" s="977">
        <f t="shared" si="13"/>
        <v>126793.46</v>
      </c>
      <c r="U66" s="972"/>
      <c r="V66" s="978">
        <f t="shared" si="14"/>
        <v>0</v>
      </c>
      <c r="W66" s="972"/>
      <c r="X66" s="972"/>
    </row>
    <row r="67" spans="1:24" s="979" customFormat="1" outlineLevel="1">
      <c r="A67" s="972"/>
      <c r="B67" s="973" t="s">
        <v>223</v>
      </c>
      <c r="C67" s="974"/>
      <c r="D67" s="975">
        <v>14036</v>
      </c>
      <c r="E67" s="975" t="s">
        <v>1799</v>
      </c>
      <c r="F67" s="976"/>
      <c r="G67" s="976"/>
      <c r="H67" s="972"/>
      <c r="I67" s="972"/>
      <c r="J67" s="977">
        <v>-55431.64</v>
      </c>
      <c r="K67" s="972"/>
      <c r="L67" s="977">
        <v>0</v>
      </c>
      <c r="M67" s="972"/>
      <c r="N67" s="978">
        <v>0</v>
      </c>
      <c r="O67" s="972"/>
      <c r="P67" s="977">
        <f t="shared" si="12"/>
        <v>-55431.64</v>
      </c>
      <c r="Q67" s="972"/>
      <c r="R67" s="977">
        <v>-55431.64</v>
      </c>
      <c r="S67" s="977">
        <v>-55431.64</v>
      </c>
      <c r="T67" s="977">
        <f t="shared" si="13"/>
        <v>-55431.64</v>
      </c>
      <c r="U67" s="972"/>
      <c r="V67" s="978">
        <f t="shared" si="14"/>
        <v>0</v>
      </c>
      <c r="W67" s="972"/>
      <c r="X67" s="972"/>
    </row>
    <row r="68" spans="1:24" s="979" customFormat="1" outlineLevel="1">
      <c r="A68" s="972"/>
      <c r="B68" s="973" t="s">
        <v>223</v>
      </c>
      <c r="C68" s="974"/>
      <c r="D68" s="975">
        <v>14037</v>
      </c>
      <c r="E68" s="975" t="s">
        <v>1798</v>
      </c>
      <c r="F68" s="976"/>
      <c r="G68" s="976"/>
      <c r="H68" s="972"/>
      <c r="I68" s="972"/>
      <c r="J68" s="977">
        <v>-71361.820000000007</v>
      </c>
      <c r="K68" s="972"/>
      <c r="L68" s="977">
        <v>0</v>
      </c>
      <c r="M68" s="972"/>
      <c r="N68" s="978">
        <v>0</v>
      </c>
      <c r="O68" s="972"/>
      <c r="P68" s="977">
        <f t="shared" si="12"/>
        <v>-71361.820000000007</v>
      </c>
      <c r="Q68" s="972"/>
      <c r="R68" s="977">
        <v>-71361.820000000007</v>
      </c>
      <c r="S68" s="977">
        <v>-71361.820000000007</v>
      </c>
      <c r="T68" s="977">
        <f t="shared" si="13"/>
        <v>-71361.820000000007</v>
      </c>
      <c r="U68" s="972"/>
      <c r="V68" s="978">
        <f t="shared" si="14"/>
        <v>0</v>
      </c>
      <c r="W68" s="972"/>
      <c r="X68" s="972"/>
    </row>
    <row r="69" spans="1:24" s="979" customFormat="1" outlineLevel="1">
      <c r="A69" s="972"/>
      <c r="B69" s="973" t="s">
        <v>223</v>
      </c>
      <c r="C69" s="974"/>
      <c r="D69" s="975">
        <v>14040</v>
      </c>
      <c r="E69" s="975" t="s">
        <v>1800</v>
      </c>
      <c r="F69" s="976"/>
      <c r="G69" s="976"/>
      <c r="H69" s="972"/>
      <c r="I69" s="972"/>
      <c r="J69" s="977">
        <v>4849564.55</v>
      </c>
      <c r="K69" s="972"/>
      <c r="L69" s="977">
        <v>0</v>
      </c>
      <c r="M69" s="972"/>
      <c r="N69" s="978">
        <v>0</v>
      </c>
      <c r="O69" s="972"/>
      <c r="P69" s="977">
        <f t="shared" si="12"/>
        <v>4849564.55</v>
      </c>
      <c r="Q69" s="972"/>
      <c r="R69" s="977">
        <v>4849564.55</v>
      </c>
      <c r="S69" s="977">
        <v>4849564.55</v>
      </c>
      <c r="T69" s="977">
        <f t="shared" si="13"/>
        <v>4849564.55</v>
      </c>
      <c r="U69" s="972"/>
      <c r="V69" s="978">
        <f t="shared" si="14"/>
        <v>0</v>
      </c>
      <c r="W69" s="972"/>
      <c r="X69" s="972"/>
    </row>
    <row r="70" spans="1:24" s="979" customFormat="1" outlineLevel="1">
      <c r="A70" s="972"/>
      <c r="B70" s="973" t="s">
        <v>223</v>
      </c>
      <c r="C70" s="974"/>
      <c r="D70" s="975">
        <v>14041</v>
      </c>
      <c r="E70" s="975" t="s">
        <v>1801</v>
      </c>
      <c r="F70" s="976"/>
      <c r="G70" s="976"/>
      <c r="H70" s="972"/>
      <c r="I70" s="972"/>
      <c r="J70" s="977">
        <v>29076291.329999998</v>
      </c>
      <c r="K70" s="972"/>
      <c r="L70" s="977">
        <v>0</v>
      </c>
      <c r="M70" s="972"/>
      <c r="N70" s="978">
        <v>0</v>
      </c>
      <c r="O70" s="972"/>
      <c r="P70" s="977">
        <f t="shared" si="12"/>
        <v>29076291.329999998</v>
      </c>
      <c r="Q70" s="972"/>
      <c r="R70" s="977">
        <v>28102260.579999998</v>
      </c>
      <c r="S70" s="977">
        <v>29046491.870000001</v>
      </c>
      <c r="T70" s="977">
        <f t="shared" si="13"/>
        <v>29076291.329999998</v>
      </c>
      <c r="U70" s="972"/>
      <c r="V70" s="978">
        <f t="shared" si="14"/>
        <v>29799.459999997169</v>
      </c>
      <c r="W70" s="972"/>
      <c r="X70" s="972"/>
    </row>
    <row r="71" spans="1:24" s="979" customFormat="1" outlineLevel="1">
      <c r="A71" s="972"/>
      <c r="B71" s="973" t="s">
        <v>223</v>
      </c>
      <c r="C71" s="974"/>
      <c r="D71" s="975">
        <v>14042</v>
      </c>
      <c r="E71" s="975" t="s">
        <v>1802</v>
      </c>
      <c r="F71" s="976"/>
      <c r="G71" s="976"/>
      <c r="H71" s="972"/>
      <c r="I71" s="972"/>
      <c r="J71" s="977">
        <v>744200</v>
      </c>
      <c r="K71" s="972"/>
      <c r="L71" s="977">
        <v>0</v>
      </c>
      <c r="M71" s="972"/>
      <c r="N71" s="978">
        <v>0</v>
      </c>
      <c r="O71" s="972"/>
      <c r="P71" s="977">
        <f t="shared" si="12"/>
        <v>744200</v>
      </c>
      <c r="Q71" s="972"/>
      <c r="R71" s="977">
        <v>744200</v>
      </c>
      <c r="S71" s="977">
        <v>744200</v>
      </c>
      <c r="T71" s="977">
        <f t="shared" si="13"/>
        <v>744200</v>
      </c>
      <c r="U71" s="972"/>
      <c r="V71" s="978">
        <f t="shared" si="14"/>
        <v>0</v>
      </c>
      <c r="W71" s="972"/>
      <c r="X71" s="972"/>
    </row>
    <row r="72" spans="1:24" s="979" customFormat="1" outlineLevel="1">
      <c r="A72" s="972"/>
      <c r="B72" s="973" t="s">
        <v>223</v>
      </c>
      <c r="C72" s="974"/>
      <c r="D72" s="975">
        <v>14043</v>
      </c>
      <c r="E72" s="975" t="s">
        <v>1803</v>
      </c>
      <c r="F72" s="976"/>
      <c r="G72" s="976"/>
      <c r="H72" s="972"/>
      <c r="I72" s="972"/>
      <c r="J72" s="977">
        <v>2285993.16</v>
      </c>
      <c r="K72" s="972"/>
      <c r="L72" s="977">
        <v>0</v>
      </c>
      <c r="M72" s="972"/>
      <c r="N72" s="978">
        <v>0</v>
      </c>
      <c r="O72" s="972"/>
      <c r="P72" s="977">
        <f t="shared" si="12"/>
        <v>2285993.16</v>
      </c>
      <c r="Q72" s="972"/>
      <c r="R72" s="977">
        <v>1913501.71</v>
      </c>
      <c r="S72" s="977">
        <v>2285993.16</v>
      </c>
      <c r="T72" s="977">
        <f t="shared" si="13"/>
        <v>2285993.16</v>
      </c>
      <c r="U72" s="972"/>
      <c r="V72" s="978">
        <f t="shared" si="14"/>
        <v>0</v>
      </c>
      <c r="W72" s="972"/>
      <c r="X72" s="972"/>
    </row>
    <row r="73" spans="1:24" s="979" customFormat="1" outlineLevel="1">
      <c r="A73" s="972"/>
      <c r="B73" s="973" t="s">
        <v>223</v>
      </c>
      <c r="C73" s="974"/>
      <c r="D73" s="975">
        <v>14044</v>
      </c>
      <c r="E73" s="975" t="s">
        <v>1804</v>
      </c>
      <c r="F73" s="976"/>
      <c r="G73" s="976"/>
      <c r="H73" s="972"/>
      <c r="I73" s="972"/>
      <c r="J73" s="977">
        <v>-4591091.21</v>
      </c>
      <c r="K73" s="972"/>
      <c r="L73" s="977">
        <v>0</v>
      </c>
      <c r="M73" s="972"/>
      <c r="N73" s="978">
        <v>0</v>
      </c>
      <c r="O73" s="972"/>
      <c r="P73" s="977">
        <f t="shared" si="12"/>
        <v>-4591091.21</v>
      </c>
      <c r="Q73" s="972"/>
      <c r="R73" s="977">
        <v>-4591091.21</v>
      </c>
      <c r="S73" s="977">
        <v>-4591091.21</v>
      </c>
      <c r="T73" s="977">
        <f t="shared" si="13"/>
        <v>-4591091.21</v>
      </c>
      <c r="U73" s="972"/>
      <c r="V73" s="978">
        <f t="shared" si="14"/>
        <v>0</v>
      </c>
      <c r="W73" s="972"/>
      <c r="X73" s="972"/>
    </row>
    <row r="74" spans="1:24" s="979" customFormat="1" outlineLevel="1">
      <c r="A74" s="972"/>
      <c r="B74" s="973" t="s">
        <v>223</v>
      </c>
      <c r="C74" s="974"/>
      <c r="D74" s="975">
        <v>14045</v>
      </c>
      <c r="E74" s="975" t="s">
        <v>1805</v>
      </c>
      <c r="F74" s="976"/>
      <c r="G74" s="976"/>
      <c r="H74" s="972"/>
      <c r="I74" s="972"/>
      <c r="J74" s="977">
        <v>-1669701.55</v>
      </c>
      <c r="K74" s="972"/>
      <c r="L74" s="977">
        <v>0</v>
      </c>
      <c r="M74" s="972"/>
      <c r="N74" s="978">
        <v>0</v>
      </c>
      <c r="O74" s="972"/>
      <c r="P74" s="977">
        <f t="shared" si="12"/>
        <v>-1669701.55</v>
      </c>
      <c r="Q74" s="972"/>
      <c r="R74" s="977">
        <v>-1669701.55</v>
      </c>
      <c r="S74" s="977">
        <v>-1669701.55</v>
      </c>
      <c r="T74" s="977">
        <f t="shared" si="13"/>
        <v>-1669701.55</v>
      </c>
      <c r="U74" s="972"/>
      <c r="V74" s="978">
        <f t="shared" si="14"/>
        <v>0</v>
      </c>
      <c r="W74" s="972"/>
      <c r="X74" s="972"/>
    </row>
    <row r="75" spans="1:24" s="979" customFormat="1" outlineLevel="1">
      <c r="A75" s="972"/>
      <c r="B75" s="973" t="s">
        <v>223</v>
      </c>
      <c r="C75" s="974"/>
      <c r="D75" s="975">
        <v>14046</v>
      </c>
      <c r="E75" s="975" t="s">
        <v>1806</v>
      </c>
      <c r="F75" s="976"/>
      <c r="G75" s="976"/>
      <c r="H75" s="972"/>
      <c r="I75" s="972"/>
      <c r="J75" s="977">
        <v>-22728335.800000001</v>
      </c>
      <c r="K75" s="972"/>
      <c r="L75" s="977">
        <v>0</v>
      </c>
      <c r="M75" s="972"/>
      <c r="N75" s="978">
        <v>0</v>
      </c>
      <c r="O75" s="972"/>
      <c r="P75" s="977">
        <f t="shared" si="12"/>
        <v>-22728335.800000001</v>
      </c>
      <c r="Q75" s="972"/>
      <c r="R75" s="977">
        <v>-22282153.870000001</v>
      </c>
      <c r="S75" s="977">
        <v>-22507277.739999998</v>
      </c>
      <c r="T75" s="977">
        <f t="shared" si="13"/>
        <v>-22728335.800000001</v>
      </c>
      <c r="U75" s="972"/>
      <c r="V75" s="978">
        <f t="shared" si="14"/>
        <v>-221058.06000000238</v>
      </c>
      <c r="W75" s="972"/>
      <c r="X75" s="972"/>
    </row>
    <row r="76" spans="1:24" s="979" customFormat="1" outlineLevel="1">
      <c r="A76" s="972"/>
      <c r="B76" s="973" t="s">
        <v>223</v>
      </c>
      <c r="C76" s="974"/>
      <c r="D76" s="975">
        <v>14047</v>
      </c>
      <c r="E76" s="975" t="s">
        <v>1803</v>
      </c>
      <c r="F76" s="976"/>
      <c r="G76" s="976"/>
      <c r="H76" s="972"/>
      <c r="I76" s="972"/>
      <c r="J76" s="977">
        <v>-788931.39</v>
      </c>
      <c r="K76" s="972"/>
      <c r="L76" s="977">
        <v>0</v>
      </c>
      <c r="M76" s="972"/>
      <c r="N76" s="978">
        <v>0</v>
      </c>
      <c r="O76" s="972"/>
      <c r="P76" s="977">
        <f t="shared" si="12"/>
        <v>-788931.39</v>
      </c>
      <c r="Q76" s="972"/>
      <c r="R76" s="977">
        <v>-478521.82</v>
      </c>
      <c r="S76" s="977">
        <v>-788931.39</v>
      </c>
      <c r="T76" s="977">
        <f t="shared" si="13"/>
        <v>-788931.39</v>
      </c>
      <c r="U76" s="972"/>
      <c r="V76" s="978">
        <f t="shared" si="14"/>
        <v>0</v>
      </c>
      <c r="W76" s="972"/>
      <c r="X76" s="972"/>
    </row>
    <row r="77" spans="1:24" s="979" customFormat="1" outlineLevel="1">
      <c r="A77" s="972"/>
      <c r="B77" s="973" t="s">
        <v>223</v>
      </c>
      <c r="C77" s="974"/>
      <c r="D77" s="975">
        <v>14048</v>
      </c>
      <c r="E77" s="975" t="s">
        <v>1804</v>
      </c>
      <c r="F77" s="976"/>
      <c r="G77" s="976"/>
      <c r="H77" s="972"/>
      <c r="I77" s="972"/>
      <c r="J77" s="977">
        <v>4106278.21</v>
      </c>
      <c r="K77" s="972"/>
      <c r="L77" s="977">
        <v>0</v>
      </c>
      <c r="M77" s="972"/>
      <c r="N77" s="978">
        <v>0</v>
      </c>
      <c r="O77" s="972"/>
      <c r="P77" s="977">
        <f t="shared" si="12"/>
        <v>4106278.21</v>
      </c>
      <c r="Q77" s="972"/>
      <c r="R77" s="977">
        <v>4106278.21</v>
      </c>
      <c r="S77" s="977">
        <v>4106278.21</v>
      </c>
      <c r="T77" s="977">
        <f t="shared" si="13"/>
        <v>4106278.21</v>
      </c>
      <c r="U77" s="972"/>
      <c r="V77" s="978">
        <f t="shared" si="14"/>
        <v>0</v>
      </c>
      <c r="W77" s="972"/>
      <c r="X77" s="972"/>
    </row>
    <row r="78" spans="1:24" s="979" customFormat="1" outlineLevel="1">
      <c r="A78" s="972"/>
      <c r="B78" s="973" t="s">
        <v>223</v>
      </c>
      <c r="C78" s="974"/>
      <c r="D78" s="975">
        <v>14050</v>
      </c>
      <c r="E78" s="975" t="s">
        <v>930</v>
      </c>
      <c r="F78" s="976"/>
      <c r="G78" s="976"/>
      <c r="H78" s="972"/>
      <c r="I78" s="972"/>
      <c r="J78" s="977">
        <v>2498846.4</v>
      </c>
      <c r="K78" s="972"/>
      <c r="L78" s="977">
        <v>0</v>
      </c>
      <c r="M78" s="972"/>
      <c r="N78" s="978">
        <v>0</v>
      </c>
      <c r="O78" s="972"/>
      <c r="P78" s="977">
        <f t="shared" si="12"/>
        <v>2498846.4</v>
      </c>
      <c r="Q78" s="972"/>
      <c r="R78" s="977">
        <v>2498846.4</v>
      </c>
      <c r="S78" s="977">
        <v>2498846.4</v>
      </c>
      <c r="T78" s="977">
        <f t="shared" si="13"/>
        <v>2498846.4</v>
      </c>
      <c r="U78" s="972"/>
      <c r="V78" s="978">
        <f t="shared" si="14"/>
        <v>0</v>
      </c>
      <c r="W78" s="972"/>
      <c r="X78" s="972"/>
    </row>
    <row r="79" spans="1:24" s="979" customFormat="1" outlineLevel="1">
      <c r="A79" s="972"/>
      <c r="B79" s="973" t="s">
        <v>223</v>
      </c>
      <c r="C79" s="974"/>
      <c r="D79" s="975">
        <v>14051</v>
      </c>
      <c r="E79" s="975" t="s">
        <v>1807</v>
      </c>
      <c r="F79" s="976"/>
      <c r="G79" s="976"/>
      <c r="H79" s="972"/>
      <c r="I79" s="972"/>
      <c r="J79" s="977">
        <v>10496225.890000001</v>
      </c>
      <c r="K79" s="972"/>
      <c r="L79" s="977">
        <v>0</v>
      </c>
      <c r="M79" s="972"/>
      <c r="N79" s="978">
        <v>0</v>
      </c>
      <c r="O79" s="972"/>
      <c r="P79" s="977">
        <f t="shared" si="12"/>
        <v>10496225.890000001</v>
      </c>
      <c r="Q79" s="972"/>
      <c r="R79" s="977">
        <v>9893459.0099999998</v>
      </c>
      <c r="S79" s="977">
        <v>10067031.949999999</v>
      </c>
      <c r="T79" s="977">
        <f t="shared" si="13"/>
        <v>10496225.890000001</v>
      </c>
      <c r="U79" s="972"/>
      <c r="V79" s="978">
        <f t="shared" si="14"/>
        <v>429193.94000000134</v>
      </c>
      <c r="W79" s="972"/>
      <c r="X79" s="972"/>
    </row>
    <row r="80" spans="1:24" s="979" customFormat="1" outlineLevel="1">
      <c r="A80" s="972"/>
      <c r="B80" s="973" t="s">
        <v>223</v>
      </c>
      <c r="C80" s="974"/>
      <c r="D80" s="975">
        <v>14052</v>
      </c>
      <c r="E80" s="975" t="s">
        <v>1808</v>
      </c>
      <c r="F80" s="976"/>
      <c r="G80" s="976"/>
      <c r="H80" s="972"/>
      <c r="I80" s="972"/>
      <c r="J80" s="977">
        <v>886547</v>
      </c>
      <c r="K80" s="972"/>
      <c r="L80" s="977">
        <v>0</v>
      </c>
      <c r="M80" s="972"/>
      <c r="N80" s="978">
        <v>0</v>
      </c>
      <c r="O80" s="972"/>
      <c r="P80" s="977">
        <f t="shared" si="12"/>
        <v>886547</v>
      </c>
      <c r="Q80" s="972"/>
      <c r="R80" s="977">
        <v>886547</v>
      </c>
      <c r="S80" s="977">
        <v>886547</v>
      </c>
      <c r="T80" s="977">
        <f t="shared" si="13"/>
        <v>886547</v>
      </c>
      <c r="U80" s="972"/>
      <c r="V80" s="978">
        <f t="shared" si="14"/>
        <v>0</v>
      </c>
      <c r="W80" s="972"/>
      <c r="X80" s="972"/>
    </row>
    <row r="81" spans="1:24" s="979" customFormat="1" outlineLevel="1">
      <c r="A81" s="972"/>
      <c r="B81" s="973" t="s">
        <v>223</v>
      </c>
      <c r="C81" s="974"/>
      <c r="D81" s="975">
        <v>14053</v>
      </c>
      <c r="E81" s="975" t="s">
        <v>1809</v>
      </c>
      <c r="F81" s="976"/>
      <c r="G81" s="976"/>
      <c r="H81" s="972"/>
      <c r="I81" s="972"/>
      <c r="J81" s="977">
        <v>1308056.53</v>
      </c>
      <c r="K81" s="972"/>
      <c r="L81" s="977">
        <v>0</v>
      </c>
      <c r="M81" s="972"/>
      <c r="N81" s="978">
        <v>0</v>
      </c>
      <c r="O81" s="972"/>
      <c r="P81" s="977">
        <f t="shared" si="12"/>
        <v>1308056.53</v>
      </c>
      <c r="Q81" s="972"/>
      <c r="R81" s="977">
        <v>1308056.53</v>
      </c>
      <c r="S81" s="977">
        <v>1308056.53</v>
      </c>
      <c r="T81" s="977">
        <f t="shared" si="13"/>
        <v>1308056.53</v>
      </c>
      <c r="U81" s="972"/>
      <c r="V81" s="978">
        <f t="shared" si="14"/>
        <v>0</v>
      </c>
      <c r="W81" s="972"/>
      <c r="X81" s="972"/>
    </row>
    <row r="82" spans="1:24" s="979" customFormat="1" outlineLevel="1">
      <c r="A82" s="972"/>
      <c r="B82" s="973" t="s">
        <v>223</v>
      </c>
      <c r="C82" s="974"/>
      <c r="D82" s="975">
        <v>14054</v>
      </c>
      <c r="E82" s="975" t="s">
        <v>1810</v>
      </c>
      <c r="F82" s="976"/>
      <c r="G82" s="976"/>
      <c r="H82" s="972"/>
      <c r="I82" s="972"/>
      <c r="J82" s="977">
        <v>-720066.64</v>
      </c>
      <c r="K82" s="972"/>
      <c r="L82" s="977">
        <v>0</v>
      </c>
      <c r="M82" s="972"/>
      <c r="N82" s="978">
        <v>0</v>
      </c>
      <c r="O82" s="972"/>
      <c r="P82" s="977">
        <f t="shared" si="12"/>
        <v>-720066.64</v>
      </c>
      <c r="Q82" s="972"/>
      <c r="R82" s="977">
        <v>-720066.64</v>
      </c>
      <c r="S82" s="977">
        <v>-720066.64</v>
      </c>
      <c r="T82" s="977">
        <f t="shared" si="13"/>
        <v>-720066.64</v>
      </c>
      <c r="U82" s="972"/>
      <c r="V82" s="978">
        <f t="shared" si="14"/>
        <v>0</v>
      </c>
      <c r="W82" s="972"/>
      <c r="X82" s="972"/>
    </row>
    <row r="83" spans="1:24" s="979" customFormat="1" outlineLevel="1">
      <c r="A83" s="972"/>
      <c r="B83" s="973" t="s">
        <v>223</v>
      </c>
      <c r="C83" s="974"/>
      <c r="D83" s="975">
        <v>14055</v>
      </c>
      <c r="E83" s="975" t="s">
        <v>1811</v>
      </c>
      <c r="F83" s="976"/>
      <c r="G83" s="976"/>
      <c r="H83" s="972"/>
      <c r="I83" s="972"/>
      <c r="J83" s="977">
        <v>-1326125.93</v>
      </c>
      <c r="K83" s="972"/>
      <c r="L83" s="977">
        <v>0</v>
      </c>
      <c r="M83" s="972"/>
      <c r="N83" s="978">
        <v>0</v>
      </c>
      <c r="O83" s="972"/>
      <c r="P83" s="977">
        <f t="shared" si="12"/>
        <v>-1326125.93</v>
      </c>
      <c r="Q83" s="972"/>
      <c r="R83" s="977">
        <v>-1326125.93</v>
      </c>
      <c r="S83" s="977">
        <v>-1326125.93</v>
      </c>
      <c r="T83" s="977">
        <f t="shared" si="13"/>
        <v>-1326125.93</v>
      </c>
      <c r="U83" s="972"/>
      <c r="V83" s="978">
        <f t="shared" si="14"/>
        <v>0</v>
      </c>
      <c r="W83" s="972"/>
      <c r="X83" s="972"/>
    </row>
    <row r="84" spans="1:24" s="979" customFormat="1" outlineLevel="1">
      <c r="A84" s="972"/>
      <c r="B84" s="973" t="s">
        <v>223</v>
      </c>
      <c r="C84" s="974"/>
      <c r="D84" s="975">
        <v>14056</v>
      </c>
      <c r="E84" s="975" t="s">
        <v>1812</v>
      </c>
      <c r="F84" s="976"/>
      <c r="G84" s="976"/>
      <c r="H84" s="972"/>
      <c r="I84" s="972"/>
      <c r="J84" s="977">
        <v>-9056266.2100000009</v>
      </c>
      <c r="K84" s="972"/>
      <c r="L84" s="977">
        <v>0</v>
      </c>
      <c r="M84" s="972"/>
      <c r="N84" s="978">
        <v>0</v>
      </c>
      <c r="O84" s="972"/>
      <c r="P84" s="977">
        <f t="shared" si="12"/>
        <v>-9056266.2100000009</v>
      </c>
      <c r="Q84" s="972"/>
      <c r="R84" s="977">
        <v>-8910116.8699999992</v>
      </c>
      <c r="S84" s="977">
        <v>-8980708.0399999991</v>
      </c>
      <c r="T84" s="977">
        <f t="shared" si="13"/>
        <v>-9056266.2100000009</v>
      </c>
      <c r="U84" s="972"/>
      <c r="V84" s="978">
        <f t="shared" si="14"/>
        <v>-75558.170000001788</v>
      </c>
      <c r="W84" s="972"/>
      <c r="X84" s="972"/>
    </row>
    <row r="85" spans="1:24" s="979" customFormat="1" outlineLevel="1">
      <c r="A85" s="972"/>
      <c r="B85" s="973" t="s">
        <v>223</v>
      </c>
      <c r="C85" s="974"/>
      <c r="D85" s="975">
        <v>14057</v>
      </c>
      <c r="E85" s="975" t="s">
        <v>1813</v>
      </c>
      <c r="F85" s="976"/>
      <c r="G85" s="976"/>
      <c r="H85" s="972"/>
      <c r="I85" s="972"/>
      <c r="J85" s="977">
        <v>-514845.74</v>
      </c>
      <c r="K85" s="972"/>
      <c r="L85" s="977">
        <v>0</v>
      </c>
      <c r="M85" s="972"/>
      <c r="N85" s="978">
        <v>0</v>
      </c>
      <c r="O85" s="972"/>
      <c r="P85" s="977">
        <f t="shared" si="12"/>
        <v>-514845.74</v>
      </c>
      <c r="Q85" s="972"/>
      <c r="R85" s="977">
        <v>-514845.74</v>
      </c>
      <c r="S85" s="977">
        <v>-514845.74</v>
      </c>
      <c r="T85" s="977">
        <f t="shared" si="13"/>
        <v>-514845.74</v>
      </c>
      <c r="U85" s="972"/>
      <c r="V85" s="978">
        <f t="shared" si="14"/>
        <v>0</v>
      </c>
      <c r="W85" s="972"/>
      <c r="X85" s="972"/>
    </row>
    <row r="86" spans="1:24" s="979" customFormat="1" outlineLevel="1">
      <c r="A86" s="972"/>
      <c r="B86" s="973" t="s">
        <v>223</v>
      </c>
      <c r="C86" s="974"/>
      <c r="D86" s="975">
        <v>14058</v>
      </c>
      <c r="E86" s="975" t="s">
        <v>1814</v>
      </c>
      <c r="F86" s="976"/>
      <c r="G86" s="976"/>
      <c r="H86" s="972"/>
      <c r="I86" s="972"/>
      <c r="J86" s="977">
        <v>719273.92</v>
      </c>
      <c r="K86" s="972"/>
      <c r="L86" s="977">
        <v>0</v>
      </c>
      <c r="M86" s="972"/>
      <c r="N86" s="978">
        <v>0</v>
      </c>
      <c r="O86" s="972"/>
      <c r="P86" s="977">
        <f t="shared" si="12"/>
        <v>719273.92</v>
      </c>
      <c r="Q86" s="972"/>
      <c r="R86" s="977">
        <v>719273.92</v>
      </c>
      <c r="S86" s="977">
        <v>719273.92</v>
      </c>
      <c r="T86" s="977">
        <f t="shared" si="13"/>
        <v>719273.92</v>
      </c>
      <c r="U86" s="972"/>
      <c r="V86" s="978">
        <f t="shared" si="14"/>
        <v>0</v>
      </c>
      <c r="W86" s="972"/>
      <c r="X86" s="972"/>
    </row>
    <row r="87" spans="1:24" s="979" customFormat="1" outlineLevel="1">
      <c r="A87" s="972"/>
      <c r="B87" s="973" t="s">
        <v>223</v>
      </c>
      <c r="C87" s="974"/>
      <c r="D87" s="975">
        <v>14061</v>
      </c>
      <c r="E87" s="975" t="s">
        <v>1815</v>
      </c>
      <c r="F87" s="976"/>
      <c r="G87" s="976"/>
      <c r="H87" s="972"/>
      <c r="I87" s="972"/>
      <c r="J87" s="977">
        <v>57517.120000000003</v>
      </c>
      <c r="K87" s="972"/>
      <c r="L87" s="977">
        <v>0</v>
      </c>
      <c r="M87" s="972"/>
      <c r="N87" s="978">
        <v>0</v>
      </c>
      <c r="O87" s="972"/>
      <c r="P87" s="977">
        <f t="shared" si="12"/>
        <v>57517.120000000003</v>
      </c>
      <c r="Q87" s="972"/>
      <c r="R87" s="977">
        <v>57517.120000000003</v>
      </c>
      <c r="S87" s="977">
        <v>57517.120000000003</v>
      </c>
      <c r="T87" s="977">
        <f t="shared" si="13"/>
        <v>57517.120000000003</v>
      </c>
      <c r="U87" s="972"/>
      <c r="V87" s="978">
        <f t="shared" si="14"/>
        <v>0</v>
      </c>
      <c r="W87" s="972"/>
      <c r="X87" s="972"/>
    </row>
    <row r="88" spans="1:24" s="979" customFormat="1" outlineLevel="1">
      <c r="A88" s="972"/>
      <c r="B88" s="973" t="s">
        <v>223</v>
      </c>
      <c r="C88" s="974"/>
      <c r="D88" s="975">
        <v>14066</v>
      </c>
      <c r="E88" s="975" t="s">
        <v>1816</v>
      </c>
      <c r="F88" s="976"/>
      <c r="G88" s="976"/>
      <c r="H88" s="972"/>
      <c r="I88" s="972"/>
      <c r="J88" s="977">
        <v>-2396.56</v>
      </c>
      <c r="K88" s="972"/>
      <c r="L88" s="977">
        <v>0</v>
      </c>
      <c r="M88" s="972"/>
      <c r="N88" s="978">
        <v>0</v>
      </c>
      <c r="O88" s="972"/>
      <c r="P88" s="977">
        <f t="shared" si="12"/>
        <v>-2396.56</v>
      </c>
      <c r="Q88" s="972"/>
      <c r="R88" s="977">
        <v>-1597.7</v>
      </c>
      <c r="S88" s="977">
        <v>-1997.13</v>
      </c>
      <c r="T88" s="977">
        <f t="shared" si="13"/>
        <v>-2396.56</v>
      </c>
      <c r="U88" s="972"/>
      <c r="V88" s="978">
        <f t="shared" si="14"/>
        <v>-399.42999999999984</v>
      </c>
      <c r="W88" s="972"/>
      <c r="X88" s="972"/>
    </row>
    <row r="89" spans="1:24" s="979" customFormat="1" outlineLevel="1">
      <c r="A89" s="972"/>
      <c r="B89" s="973" t="s">
        <v>223</v>
      </c>
      <c r="C89" s="974"/>
      <c r="D89" s="975">
        <v>14070</v>
      </c>
      <c r="E89" s="975" t="s">
        <v>1817</v>
      </c>
      <c r="F89" s="976"/>
      <c r="G89" s="976"/>
      <c r="H89" s="972"/>
      <c r="I89" s="972"/>
      <c r="J89" s="977">
        <v>56892.31</v>
      </c>
      <c r="K89" s="972"/>
      <c r="L89" s="977">
        <v>0</v>
      </c>
      <c r="M89" s="972"/>
      <c r="N89" s="978">
        <v>0</v>
      </c>
      <c r="O89" s="972"/>
      <c r="P89" s="977">
        <f t="shared" si="12"/>
        <v>56892.31</v>
      </c>
      <c r="Q89" s="972"/>
      <c r="R89" s="977">
        <v>56892.31</v>
      </c>
      <c r="S89" s="977">
        <v>56892.31</v>
      </c>
      <c r="T89" s="977">
        <f t="shared" si="13"/>
        <v>56892.31</v>
      </c>
      <c r="U89" s="972"/>
      <c r="V89" s="978">
        <f t="shared" si="14"/>
        <v>0</v>
      </c>
      <c r="W89" s="972"/>
      <c r="X89" s="972"/>
    </row>
    <row r="90" spans="1:24" s="979" customFormat="1" outlineLevel="1">
      <c r="A90" s="972"/>
      <c r="B90" s="973" t="s">
        <v>223</v>
      </c>
      <c r="C90" s="974"/>
      <c r="D90" s="975">
        <v>14071</v>
      </c>
      <c r="E90" s="975" t="s">
        <v>1818</v>
      </c>
      <c r="F90" s="976"/>
      <c r="G90" s="976"/>
      <c r="H90" s="972"/>
      <c r="I90" s="972"/>
      <c r="J90" s="977">
        <v>419057.49</v>
      </c>
      <c r="K90" s="972"/>
      <c r="L90" s="977">
        <v>0</v>
      </c>
      <c r="M90" s="972"/>
      <c r="N90" s="978">
        <v>0</v>
      </c>
      <c r="O90" s="972"/>
      <c r="P90" s="977">
        <f t="shared" si="12"/>
        <v>419057.49</v>
      </c>
      <c r="Q90" s="972"/>
      <c r="R90" s="977">
        <v>419057.49</v>
      </c>
      <c r="S90" s="977">
        <v>419057.49</v>
      </c>
      <c r="T90" s="977">
        <f t="shared" si="13"/>
        <v>419057.49</v>
      </c>
      <c r="U90" s="972"/>
      <c r="V90" s="978">
        <f t="shared" si="14"/>
        <v>0</v>
      </c>
      <c r="W90" s="972"/>
      <c r="X90" s="972"/>
    </row>
    <row r="91" spans="1:24" s="979" customFormat="1" outlineLevel="1">
      <c r="A91" s="972"/>
      <c r="B91" s="973" t="s">
        <v>223</v>
      </c>
      <c r="C91" s="974"/>
      <c r="D91" s="975">
        <v>14073</v>
      </c>
      <c r="E91" s="975" t="s">
        <v>1819</v>
      </c>
      <c r="F91" s="976"/>
      <c r="G91" s="976"/>
      <c r="H91" s="972"/>
      <c r="I91" s="972"/>
      <c r="J91" s="977">
        <v>98420.08</v>
      </c>
      <c r="K91" s="972"/>
      <c r="L91" s="977">
        <v>0</v>
      </c>
      <c r="M91" s="972"/>
      <c r="N91" s="978">
        <v>0</v>
      </c>
      <c r="O91" s="972"/>
      <c r="P91" s="977">
        <f t="shared" si="12"/>
        <v>98420.08</v>
      </c>
      <c r="Q91" s="972"/>
      <c r="R91" s="977">
        <v>98420.08</v>
      </c>
      <c r="S91" s="977">
        <v>98420.08</v>
      </c>
      <c r="T91" s="977">
        <f t="shared" si="13"/>
        <v>98420.08</v>
      </c>
      <c r="U91" s="972"/>
      <c r="V91" s="978">
        <f t="shared" si="14"/>
        <v>0</v>
      </c>
      <c r="W91" s="972"/>
      <c r="X91" s="972"/>
    </row>
    <row r="92" spans="1:24" s="979" customFormat="1" outlineLevel="1">
      <c r="A92" s="972"/>
      <c r="B92" s="973" t="s">
        <v>223</v>
      </c>
      <c r="C92" s="974"/>
      <c r="D92" s="975">
        <v>14074</v>
      </c>
      <c r="E92" s="975" t="s">
        <v>1820</v>
      </c>
      <c r="F92" s="976"/>
      <c r="G92" s="976"/>
      <c r="H92" s="972"/>
      <c r="I92" s="972"/>
      <c r="J92" s="977">
        <v>-3076.56</v>
      </c>
      <c r="K92" s="972"/>
      <c r="L92" s="977">
        <v>0</v>
      </c>
      <c r="M92" s="972"/>
      <c r="N92" s="978">
        <v>0</v>
      </c>
      <c r="O92" s="972"/>
      <c r="P92" s="977">
        <f t="shared" si="12"/>
        <v>-3076.56</v>
      </c>
      <c r="Q92" s="972"/>
      <c r="R92" s="977">
        <v>-3076.56</v>
      </c>
      <c r="S92" s="977">
        <v>-3076.56</v>
      </c>
      <c r="T92" s="977">
        <f t="shared" si="13"/>
        <v>-3076.56</v>
      </c>
      <c r="U92" s="972"/>
      <c r="V92" s="978">
        <f t="shared" si="14"/>
        <v>0</v>
      </c>
      <c r="W92" s="972"/>
      <c r="X92" s="972"/>
    </row>
    <row r="93" spans="1:24" s="979" customFormat="1" outlineLevel="1">
      <c r="A93" s="972"/>
      <c r="B93" s="973" t="s">
        <v>223</v>
      </c>
      <c r="C93" s="974"/>
      <c r="D93" s="975">
        <v>14075</v>
      </c>
      <c r="E93" s="975" t="s">
        <v>1821</v>
      </c>
      <c r="F93" s="976"/>
      <c r="G93" s="976"/>
      <c r="H93" s="972"/>
      <c r="I93" s="972"/>
      <c r="J93" s="977">
        <v>-43500.59</v>
      </c>
      <c r="K93" s="972"/>
      <c r="L93" s="977">
        <v>0</v>
      </c>
      <c r="M93" s="972"/>
      <c r="N93" s="978">
        <v>0</v>
      </c>
      <c r="O93" s="972"/>
      <c r="P93" s="977">
        <f t="shared" si="12"/>
        <v>-43500.59</v>
      </c>
      <c r="Q93" s="972"/>
      <c r="R93" s="977">
        <v>-43500.59</v>
      </c>
      <c r="S93" s="977">
        <v>-43500.59</v>
      </c>
      <c r="T93" s="977">
        <f t="shared" si="13"/>
        <v>-43500.59</v>
      </c>
      <c r="U93" s="972"/>
      <c r="V93" s="978">
        <f t="shared" si="14"/>
        <v>0</v>
      </c>
      <c r="W93" s="972"/>
      <c r="X93" s="972"/>
    </row>
    <row r="94" spans="1:24" s="979" customFormat="1" outlineLevel="1">
      <c r="A94" s="972"/>
      <c r="B94" s="973" t="s">
        <v>223</v>
      </c>
      <c r="C94" s="974"/>
      <c r="D94" s="975">
        <v>14076</v>
      </c>
      <c r="E94" s="975" t="s">
        <v>1822</v>
      </c>
      <c r="F94" s="976"/>
      <c r="G94" s="976"/>
      <c r="H94" s="972"/>
      <c r="I94" s="972"/>
      <c r="J94" s="977">
        <v>-338084.14</v>
      </c>
      <c r="K94" s="972"/>
      <c r="L94" s="977">
        <v>0</v>
      </c>
      <c r="M94" s="972"/>
      <c r="N94" s="978">
        <v>0</v>
      </c>
      <c r="O94" s="972"/>
      <c r="P94" s="977">
        <f t="shared" ref="P94:P123" si="15">J94+L94+N94</f>
        <v>-338084.14</v>
      </c>
      <c r="Q94" s="972"/>
      <c r="R94" s="977">
        <v>-333127.74</v>
      </c>
      <c r="S94" s="977">
        <v>-335605.94</v>
      </c>
      <c r="T94" s="977">
        <f t="shared" si="13"/>
        <v>-338084.14</v>
      </c>
      <c r="U94" s="972"/>
      <c r="V94" s="978">
        <f t="shared" si="14"/>
        <v>-2478.2000000000116</v>
      </c>
      <c r="W94" s="972"/>
      <c r="X94" s="972"/>
    </row>
    <row r="95" spans="1:24" s="979" customFormat="1" outlineLevel="1">
      <c r="A95" s="972"/>
      <c r="B95" s="973" t="s">
        <v>223</v>
      </c>
      <c r="C95" s="974"/>
      <c r="D95" s="975">
        <v>14077</v>
      </c>
      <c r="E95" s="975" t="s">
        <v>1823</v>
      </c>
      <c r="F95" s="976"/>
      <c r="G95" s="976"/>
      <c r="H95" s="972"/>
      <c r="I95" s="972"/>
      <c r="J95" s="977">
        <v>-89296.639999999999</v>
      </c>
      <c r="K95" s="972"/>
      <c r="L95" s="977">
        <v>0</v>
      </c>
      <c r="M95" s="972"/>
      <c r="N95" s="978">
        <v>0</v>
      </c>
      <c r="O95" s="972"/>
      <c r="P95" s="977">
        <f t="shared" si="15"/>
        <v>-89296.639999999999</v>
      </c>
      <c r="Q95" s="972"/>
      <c r="R95" s="977">
        <v>-89296.639999999999</v>
      </c>
      <c r="S95" s="977">
        <v>-89296.639999999999</v>
      </c>
      <c r="T95" s="977">
        <f t="shared" si="13"/>
        <v>-89296.639999999999</v>
      </c>
      <c r="U95" s="972"/>
      <c r="V95" s="978">
        <f t="shared" si="14"/>
        <v>0</v>
      </c>
      <c r="W95" s="972"/>
      <c r="X95" s="972"/>
    </row>
    <row r="96" spans="1:24" s="979" customFormat="1" outlineLevel="1">
      <c r="A96" s="972"/>
      <c r="B96" s="973" t="s">
        <v>223</v>
      </c>
      <c r="C96" s="974"/>
      <c r="D96" s="975">
        <v>14078</v>
      </c>
      <c r="E96" s="975" t="s">
        <v>1824</v>
      </c>
      <c r="F96" s="976"/>
      <c r="G96" s="976"/>
      <c r="H96" s="972"/>
      <c r="I96" s="972"/>
      <c r="J96" s="977">
        <v>1794.64</v>
      </c>
      <c r="K96" s="972"/>
      <c r="L96" s="977">
        <v>0</v>
      </c>
      <c r="M96" s="972"/>
      <c r="N96" s="978">
        <v>0</v>
      </c>
      <c r="O96" s="972"/>
      <c r="P96" s="977">
        <f t="shared" si="15"/>
        <v>1794.64</v>
      </c>
      <c r="Q96" s="972"/>
      <c r="R96" s="977">
        <v>1794.64</v>
      </c>
      <c r="S96" s="977">
        <v>1794.64</v>
      </c>
      <c r="T96" s="977">
        <f t="shared" si="13"/>
        <v>1794.64</v>
      </c>
      <c r="U96" s="972"/>
      <c r="V96" s="978">
        <f t="shared" si="14"/>
        <v>0</v>
      </c>
      <c r="W96" s="972"/>
      <c r="X96" s="972"/>
    </row>
    <row r="97" spans="1:24" s="979" customFormat="1" outlineLevel="1">
      <c r="A97" s="972"/>
      <c r="B97" s="973" t="s">
        <v>223</v>
      </c>
      <c r="C97" s="974"/>
      <c r="D97" s="975">
        <v>14081</v>
      </c>
      <c r="E97" s="975" t="s">
        <v>1825</v>
      </c>
      <c r="F97" s="976"/>
      <c r="G97" s="976"/>
      <c r="H97" s="972"/>
      <c r="I97" s="972"/>
      <c r="J97" s="977">
        <v>2902</v>
      </c>
      <c r="K97" s="972"/>
      <c r="L97" s="977">
        <v>0</v>
      </c>
      <c r="M97" s="972"/>
      <c r="N97" s="978">
        <v>0</v>
      </c>
      <c r="O97" s="972"/>
      <c r="P97" s="977">
        <f t="shared" si="15"/>
        <v>2902</v>
      </c>
      <c r="Q97" s="972"/>
      <c r="R97" s="977">
        <v>2902</v>
      </c>
      <c r="S97" s="977">
        <v>2902</v>
      </c>
      <c r="T97" s="977">
        <f t="shared" si="13"/>
        <v>2902</v>
      </c>
      <c r="U97" s="972"/>
      <c r="V97" s="978">
        <f t="shared" si="14"/>
        <v>0</v>
      </c>
      <c r="W97" s="972"/>
      <c r="X97" s="972"/>
    </row>
    <row r="98" spans="1:24" s="979" customFormat="1" outlineLevel="1">
      <c r="A98" s="972"/>
      <c r="B98" s="973" t="s">
        <v>223</v>
      </c>
      <c r="C98" s="974"/>
      <c r="D98" s="975">
        <v>14086</v>
      </c>
      <c r="E98" s="975" t="s">
        <v>1826</v>
      </c>
      <c r="F98" s="976"/>
      <c r="G98" s="976"/>
      <c r="H98" s="972"/>
      <c r="I98" s="972"/>
      <c r="J98" s="977">
        <v>-2043.5</v>
      </c>
      <c r="K98" s="972"/>
      <c r="L98" s="977">
        <v>0</v>
      </c>
      <c r="M98" s="972"/>
      <c r="N98" s="978">
        <v>0</v>
      </c>
      <c r="O98" s="972"/>
      <c r="P98" s="977">
        <f t="shared" si="15"/>
        <v>-2043.5</v>
      </c>
      <c r="Q98" s="972"/>
      <c r="R98" s="977">
        <v>-2019.31</v>
      </c>
      <c r="S98" s="977">
        <v>-2031.4</v>
      </c>
      <c r="T98" s="977">
        <f t="shared" si="13"/>
        <v>-2043.5</v>
      </c>
      <c r="U98" s="972"/>
      <c r="V98" s="978">
        <f t="shared" si="14"/>
        <v>-12.099999999999909</v>
      </c>
      <c r="W98" s="972"/>
      <c r="X98" s="972"/>
    </row>
    <row r="99" spans="1:24" s="979" customFormat="1" outlineLevel="1">
      <c r="A99" s="972"/>
      <c r="B99" s="973" t="s">
        <v>223</v>
      </c>
      <c r="C99" s="974"/>
      <c r="D99" s="975">
        <v>14090</v>
      </c>
      <c r="E99" s="975" t="s">
        <v>1827</v>
      </c>
      <c r="F99" s="976"/>
      <c r="G99" s="976"/>
      <c r="H99" s="972"/>
      <c r="I99" s="972"/>
      <c r="J99" s="977">
        <v>123983.15</v>
      </c>
      <c r="K99" s="972"/>
      <c r="L99" s="977">
        <v>0</v>
      </c>
      <c r="M99" s="972"/>
      <c r="N99" s="978">
        <v>0</v>
      </c>
      <c r="O99" s="972"/>
      <c r="P99" s="977">
        <f t="shared" si="15"/>
        <v>123983.15</v>
      </c>
      <c r="Q99" s="972"/>
      <c r="R99" s="977">
        <v>123983.15</v>
      </c>
      <c r="S99" s="977">
        <v>123983.15</v>
      </c>
      <c r="T99" s="977">
        <f t="shared" si="13"/>
        <v>123983.15</v>
      </c>
      <c r="U99" s="972"/>
      <c r="V99" s="978">
        <f t="shared" si="14"/>
        <v>0</v>
      </c>
      <c r="W99" s="972"/>
      <c r="X99" s="972"/>
    </row>
    <row r="100" spans="1:24" s="979" customFormat="1" outlineLevel="1">
      <c r="A100" s="972"/>
      <c r="B100" s="973" t="s">
        <v>223</v>
      </c>
      <c r="C100" s="974"/>
      <c r="D100" s="975">
        <v>14091</v>
      </c>
      <c r="E100" s="975" t="s">
        <v>1828</v>
      </c>
      <c r="F100" s="976"/>
      <c r="G100" s="976"/>
      <c r="H100" s="972"/>
      <c r="I100" s="972"/>
      <c r="J100" s="977">
        <v>1727122.06</v>
      </c>
      <c r="K100" s="972"/>
      <c r="L100" s="977">
        <v>0</v>
      </c>
      <c r="M100" s="972"/>
      <c r="N100" s="978">
        <v>0</v>
      </c>
      <c r="O100" s="972"/>
      <c r="P100" s="977">
        <f t="shared" si="15"/>
        <v>1727122.06</v>
      </c>
      <c r="Q100" s="972"/>
      <c r="R100" s="977">
        <v>1727122.06</v>
      </c>
      <c r="S100" s="977">
        <v>1727122.06</v>
      </c>
      <c r="T100" s="977">
        <f t="shared" si="13"/>
        <v>1727122.06</v>
      </c>
      <c r="U100" s="972"/>
      <c r="V100" s="978">
        <f t="shared" si="14"/>
        <v>0</v>
      </c>
      <c r="W100" s="972"/>
      <c r="X100" s="972"/>
    </row>
    <row r="101" spans="1:24" s="979" customFormat="1" outlineLevel="1">
      <c r="A101" s="972"/>
      <c r="B101" s="973" t="s">
        <v>223</v>
      </c>
      <c r="C101" s="974"/>
      <c r="D101" s="975">
        <v>14093</v>
      </c>
      <c r="E101" s="975" t="s">
        <v>1829</v>
      </c>
      <c r="F101" s="976"/>
      <c r="G101" s="976"/>
      <c r="H101" s="972"/>
      <c r="I101" s="972"/>
      <c r="J101" s="977">
        <v>0.33</v>
      </c>
      <c r="K101" s="972"/>
      <c r="L101" s="977">
        <v>0</v>
      </c>
      <c r="M101" s="972"/>
      <c r="N101" s="978">
        <v>0</v>
      </c>
      <c r="O101" s="972"/>
      <c r="P101" s="977">
        <f t="shared" si="15"/>
        <v>0.33</v>
      </c>
      <c r="Q101" s="972"/>
      <c r="R101" s="977">
        <v>0.33</v>
      </c>
      <c r="S101" s="977">
        <v>0.33</v>
      </c>
      <c r="T101" s="977">
        <f t="shared" si="13"/>
        <v>0.33</v>
      </c>
      <c r="U101" s="972"/>
      <c r="V101" s="978">
        <f t="shared" si="14"/>
        <v>0</v>
      </c>
      <c r="W101" s="972"/>
      <c r="X101" s="972"/>
    </row>
    <row r="102" spans="1:24" s="979" customFormat="1" outlineLevel="1">
      <c r="A102" s="972"/>
      <c r="B102" s="973" t="s">
        <v>223</v>
      </c>
      <c r="C102" s="974"/>
      <c r="D102" s="975">
        <v>14095</v>
      </c>
      <c r="E102" s="975" t="s">
        <v>1830</v>
      </c>
      <c r="F102" s="976"/>
      <c r="G102" s="976"/>
      <c r="H102" s="972"/>
      <c r="I102" s="972"/>
      <c r="J102" s="977">
        <v>-24957.85</v>
      </c>
      <c r="K102" s="972"/>
      <c r="L102" s="977">
        <v>0</v>
      </c>
      <c r="M102" s="972"/>
      <c r="N102" s="978">
        <v>0</v>
      </c>
      <c r="O102" s="972"/>
      <c r="P102" s="977">
        <f t="shared" si="15"/>
        <v>-24957.85</v>
      </c>
      <c r="Q102" s="972"/>
      <c r="R102" s="977">
        <v>-24957.85</v>
      </c>
      <c r="S102" s="977">
        <v>-24957.85</v>
      </c>
      <c r="T102" s="977">
        <f t="shared" si="13"/>
        <v>-24957.85</v>
      </c>
      <c r="U102" s="972"/>
      <c r="V102" s="978">
        <f t="shared" si="14"/>
        <v>0</v>
      </c>
      <c r="W102" s="972"/>
      <c r="X102" s="972"/>
    </row>
    <row r="103" spans="1:24" s="979" customFormat="1" outlineLevel="1">
      <c r="A103" s="972"/>
      <c r="B103" s="973" t="s">
        <v>223</v>
      </c>
      <c r="C103" s="974"/>
      <c r="D103" s="975">
        <v>14096</v>
      </c>
      <c r="E103" s="975" t="s">
        <v>1831</v>
      </c>
      <c r="F103" s="976"/>
      <c r="G103" s="976"/>
      <c r="H103" s="972"/>
      <c r="I103" s="972"/>
      <c r="J103" s="977">
        <v>-1324737.31</v>
      </c>
      <c r="K103" s="972"/>
      <c r="L103" s="977">
        <v>0</v>
      </c>
      <c r="M103" s="972"/>
      <c r="N103" s="978">
        <v>0</v>
      </c>
      <c r="O103" s="972"/>
      <c r="P103" s="977">
        <f t="shared" si="15"/>
        <v>-1324737.31</v>
      </c>
      <c r="Q103" s="972"/>
      <c r="R103" s="977">
        <v>-1307621.6200000001</v>
      </c>
      <c r="S103" s="977">
        <v>-1316179.44</v>
      </c>
      <c r="T103" s="977">
        <f t="shared" si="13"/>
        <v>-1324737.31</v>
      </c>
      <c r="U103" s="972"/>
      <c r="V103" s="978">
        <f t="shared" si="14"/>
        <v>-8557.8700000001118</v>
      </c>
      <c r="W103" s="972"/>
      <c r="X103" s="972"/>
    </row>
    <row r="104" spans="1:24" s="979" customFormat="1" outlineLevel="1">
      <c r="A104" s="972"/>
      <c r="B104" s="973" t="s">
        <v>223</v>
      </c>
      <c r="C104" s="974"/>
      <c r="D104" s="975">
        <v>14097</v>
      </c>
      <c r="E104" s="975" t="s">
        <v>1832</v>
      </c>
      <c r="F104" s="976"/>
      <c r="G104" s="976"/>
      <c r="H104" s="972"/>
      <c r="I104" s="972"/>
      <c r="J104" s="977">
        <v>-149511.75</v>
      </c>
      <c r="K104" s="972"/>
      <c r="L104" s="977">
        <v>0</v>
      </c>
      <c r="M104" s="972"/>
      <c r="N104" s="978">
        <v>0</v>
      </c>
      <c r="O104" s="972"/>
      <c r="P104" s="977">
        <f t="shared" si="15"/>
        <v>-149511.75</v>
      </c>
      <c r="Q104" s="972"/>
      <c r="R104" s="977">
        <v>-149511.75</v>
      </c>
      <c r="S104" s="977">
        <v>-149511.75</v>
      </c>
      <c r="T104" s="977">
        <f t="shared" si="13"/>
        <v>-149511.75</v>
      </c>
      <c r="U104" s="972"/>
      <c r="V104" s="978">
        <f t="shared" si="14"/>
        <v>0</v>
      </c>
      <c r="W104" s="972"/>
      <c r="X104" s="972"/>
    </row>
    <row r="105" spans="1:24" s="979" customFormat="1" outlineLevel="1">
      <c r="A105" s="972"/>
      <c r="B105" s="973" t="s">
        <v>223</v>
      </c>
      <c r="C105" s="974"/>
      <c r="D105" s="975">
        <v>14100</v>
      </c>
      <c r="E105" s="975" t="s">
        <v>1230</v>
      </c>
      <c r="F105" s="976"/>
      <c r="G105" s="976"/>
      <c r="H105" s="972"/>
      <c r="I105" s="972"/>
      <c r="J105" s="977">
        <v>106380.34</v>
      </c>
      <c r="K105" s="972"/>
      <c r="L105" s="977">
        <v>0</v>
      </c>
      <c r="M105" s="972"/>
      <c r="N105" s="978">
        <v>0</v>
      </c>
      <c r="O105" s="972"/>
      <c r="P105" s="977">
        <f t="shared" si="15"/>
        <v>106380.34</v>
      </c>
      <c r="Q105" s="972"/>
      <c r="R105" s="977">
        <v>106380.34</v>
      </c>
      <c r="S105" s="977">
        <v>106380.34</v>
      </c>
      <c r="T105" s="977">
        <f t="shared" si="13"/>
        <v>106380.34</v>
      </c>
      <c r="U105" s="972"/>
      <c r="V105" s="978">
        <f t="shared" si="14"/>
        <v>0</v>
      </c>
      <c r="W105" s="972"/>
      <c r="X105" s="972"/>
    </row>
    <row r="106" spans="1:24" s="979" customFormat="1" outlineLevel="1">
      <c r="A106" s="972"/>
      <c r="B106" s="973" t="s">
        <v>223</v>
      </c>
      <c r="C106" s="974"/>
      <c r="D106" s="975">
        <v>14101</v>
      </c>
      <c r="E106" s="975" t="s">
        <v>1833</v>
      </c>
      <c r="F106" s="976"/>
      <c r="G106" s="976"/>
      <c r="H106" s="972"/>
      <c r="I106" s="972"/>
      <c r="J106" s="977">
        <v>266311.02</v>
      </c>
      <c r="K106" s="972"/>
      <c r="L106" s="977">
        <v>0</v>
      </c>
      <c r="M106" s="972"/>
      <c r="N106" s="978">
        <v>0</v>
      </c>
      <c r="O106" s="972"/>
      <c r="P106" s="977">
        <f t="shared" si="15"/>
        <v>266311.02</v>
      </c>
      <c r="Q106" s="972"/>
      <c r="R106" s="977">
        <v>266311.02</v>
      </c>
      <c r="S106" s="977">
        <v>266311.02</v>
      </c>
      <c r="T106" s="977">
        <f t="shared" si="13"/>
        <v>266311.02</v>
      </c>
      <c r="U106" s="972"/>
      <c r="V106" s="978">
        <f t="shared" si="14"/>
        <v>0</v>
      </c>
      <c r="W106" s="972"/>
      <c r="X106" s="972"/>
    </row>
    <row r="107" spans="1:24" s="979" customFormat="1" outlineLevel="1">
      <c r="A107" s="972"/>
      <c r="B107" s="973" t="s">
        <v>223</v>
      </c>
      <c r="C107" s="974"/>
      <c r="D107" s="975">
        <v>14103</v>
      </c>
      <c r="E107" s="975" t="s">
        <v>1834</v>
      </c>
      <c r="F107" s="976"/>
      <c r="G107" s="976"/>
      <c r="H107" s="972"/>
      <c r="I107" s="972"/>
      <c r="J107" s="977">
        <v>0.11</v>
      </c>
      <c r="K107" s="972"/>
      <c r="L107" s="977">
        <v>0</v>
      </c>
      <c r="M107" s="972"/>
      <c r="N107" s="978">
        <v>0</v>
      </c>
      <c r="O107" s="972"/>
      <c r="P107" s="977">
        <f t="shared" si="15"/>
        <v>0.11</v>
      </c>
      <c r="Q107" s="972"/>
      <c r="R107" s="977">
        <v>0.11</v>
      </c>
      <c r="S107" s="977">
        <v>0.11</v>
      </c>
      <c r="T107" s="977">
        <f t="shared" si="13"/>
        <v>0.11</v>
      </c>
      <c r="U107" s="972"/>
      <c r="V107" s="978">
        <f t="shared" si="14"/>
        <v>0</v>
      </c>
      <c r="W107" s="972"/>
      <c r="X107" s="972"/>
    </row>
    <row r="108" spans="1:24" s="979" customFormat="1" outlineLevel="1">
      <c r="A108" s="972"/>
      <c r="B108" s="973" t="s">
        <v>223</v>
      </c>
      <c r="C108" s="974"/>
      <c r="D108" s="975">
        <v>14104</v>
      </c>
      <c r="E108" s="975" t="s">
        <v>1835</v>
      </c>
      <c r="F108" s="976"/>
      <c r="G108" s="976"/>
      <c r="H108" s="972"/>
      <c r="I108" s="972"/>
      <c r="J108" s="977">
        <v>-36210.76</v>
      </c>
      <c r="K108" s="972"/>
      <c r="L108" s="977">
        <v>0</v>
      </c>
      <c r="M108" s="972"/>
      <c r="N108" s="978">
        <v>0</v>
      </c>
      <c r="O108" s="972"/>
      <c r="P108" s="977">
        <f t="shared" si="15"/>
        <v>-36210.76</v>
      </c>
      <c r="Q108" s="972"/>
      <c r="R108" s="977">
        <v>-36210.76</v>
      </c>
      <c r="S108" s="977">
        <v>-36210.76</v>
      </c>
      <c r="T108" s="977">
        <f t="shared" si="13"/>
        <v>-36210.76</v>
      </c>
      <c r="U108" s="972"/>
      <c r="V108" s="978">
        <f t="shared" si="14"/>
        <v>0</v>
      </c>
      <c r="W108" s="972"/>
      <c r="X108" s="972"/>
    </row>
    <row r="109" spans="1:24" s="979" customFormat="1" outlineLevel="1">
      <c r="A109" s="972"/>
      <c r="B109" s="973" t="s">
        <v>223</v>
      </c>
      <c r="C109" s="974"/>
      <c r="D109" s="975">
        <v>14105</v>
      </c>
      <c r="E109" s="975" t="s">
        <v>1836</v>
      </c>
      <c r="F109" s="976"/>
      <c r="G109" s="976"/>
      <c r="H109" s="972"/>
      <c r="I109" s="972"/>
      <c r="J109" s="977">
        <v>-71759.600000000006</v>
      </c>
      <c r="K109" s="972"/>
      <c r="L109" s="977">
        <v>0</v>
      </c>
      <c r="M109" s="972"/>
      <c r="N109" s="978">
        <v>0</v>
      </c>
      <c r="O109" s="972"/>
      <c r="P109" s="977">
        <f t="shared" si="15"/>
        <v>-71759.600000000006</v>
      </c>
      <c r="Q109" s="972"/>
      <c r="R109" s="977">
        <v>-71759.600000000006</v>
      </c>
      <c r="S109" s="977">
        <v>-71759.600000000006</v>
      </c>
      <c r="T109" s="977">
        <f t="shared" si="13"/>
        <v>-71759.600000000006</v>
      </c>
      <c r="U109" s="972"/>
      <c r="V109" s="978">
        <f t="shared" si="14"/>
        <v>0</v>
      </c>
      <c r="W109" s="972"/>
      <c r="X109" s="972"/>
    </row>
    <row r="110" spans="1:24" s="979" customFormat="1" outlineLevel="1">
      <c r="A110" s="972"/>
      <c r="B110" s="973" t="s">
        <v>223</v>
      </c>
      <c r="C110" s="974"/>
      <c r="D110" s="975">
        <v>14106</v>
      </c>
      <c r="E110" s="975" t="s">
        <v>1837</v>
      </c>
      <c r="F110" s="976"/>
      <c r="G110" s="976"/>
      <c r="H110" s="972"/>
      <c r="I110" s="972"/>
      <c r="J110" s="977">
        <v>-149081.95000000001</v>
      </c>
      <c r="K110" s="972"/>
      <c r="L110" s="977">
        <v>0</v>
      </c>
      <c r="M110" s="972"/>
      <c r="N110" s="978">
        <v>0</v>
      </c>
      <c r="O110" s="972"/>
      <c r="P110" s="977">
        <f t="shared" si="15"/>
        <v>-149081.95000000001</v>
      </c>
      <c r="Q110" s="972"/>
      <c r="R110" s="977">
        <v>-145269.51999999999</v>
      </c>
      <c r="S110" s="977">
        <v>-147175.73000000001</v>
      </c>
      <c r="T110" s="977">
        <f t="shared" si="13"/>
        <v>-149081.95000000001</v>
      </c>
      <c r="U110" s="972"/>
      <c r="V110" s="978">
        <f t="shared" si="14"/>
        <v>-1906.2200000000012</v>
      </c>
      <c r="W110" s="972"/>
      <c r="X110" s="972"/>
    </row>
    <row r="111" spans="1:24" s="979" customFormat="1" outlineLevel="1">
      <c r="A111" s="972"/>
      <c r="B111" s="973" t="s">
        <v>223</v>
      </c>
      <c r="C111" s="974"/>
      <c r="D111" s="975">
        <v>14107</v>
      </c>
      <c r="E111" s="975" t="s">
        <v>1838</v>
      </c>
      <c r="F111" s="976"/>
      <c r="G111" s="976"/>
      <c r="H111" s="972"/>
      <c r="I111" s="972"/>
      <c r="J111" s="977">
        <v>-72914.22</v>
      </c>
      <c r="K111" s="972"/>
      <c r="L111" s="977">
        <v>0</v>
      </c>
      <c r="M111" s="972"/>
      <c r="N111" s="978">
        <v>0</v>
      </c>
      <c r="O111" s="972"/>
      <c r="P111" s="977">
        <f t="shared" si="15"/>
        <v>-72914.22</v>
      </c>
      <c r="Q111" s="972"/>
      <c r="R111" s="977">
        <v>-72914.22</v>
      </c>
      <c r="S111" s="977">
        <v>-72914.22</v>
      </c>
      <c r="T111" s="977">
        <f t="shared" si="13"/>
        <v>-72914.22</v>
      </c>
      <c r="U111" s="972"/>
      <c r="V111" s="978">
        <f t="shared" si="14"/>
        <v>0</v>
      </c>
      <c r="W111" s="972"/>
      <c r="X111" s="972"/>
    </row>
    <row r="112" spans="1:24" s="979" customFormat="1" outlineLevel="1">
      <c r="A112" s="972"/>
      <c r="B112" s="973" t="s">
        <v>223</v>
      </c>
      <c r="C112" s="974"/>
      <c r="D112" s="975">
        <v>14108</v>
      </c>
      <c r="E112" s="975" t="s">
        <v>1839</v>
      </c>
      <c r="F112" s="976"/>
      <c r="G112" s="976"/>
      <c r="H112" s="972"/>
      <c r="I112" s="972"/>
      <c r="J112" s="977">
        <v>36210.76</v>
      </c>
      <c r="K112" s="972"/>
      <c r="L112" s="977">
        <v>0</v>
      </c>
      <c r="M112" s="972"/>
      <c r="N112" s="978">
        <v>0</v>
      </c>
      <c r="O112" s="972"/>
      <c r="P112" s="977">
        <f t="shared" si="15"/>
        <v>36210.76</v>
      </c>
      <c r="Q112" s="972"/>
      <c r="R112" s="977">
        <v>36210.76</v>
      </c>
      <c r="S112" s="977">
        <v>36210.76</v>
      </c>
      <c r="T112" s="977">
        <f t="shared" si="13"/>
        <v>36210.76</v>
      </c>
      <c r="U112" s="972"/>
      <c r="V112" s="978">
        <f t="shared" si="14"/>
        <v>0</v>
      </c>
      <c r="W112" s="972"/>
      <c r="X112" s="972"/>
    </row>
    <row r="113" spans="1:25" s="979" customFormat="1" outlineLevel="1">
      <c r="A113" s="972"/>
      <c r="B113" s="973" t="s">
        <v>223</v>
      </c>
      <c r="C113" s="974"/>
      <c r="D113" s="975">
        <v>14110</v>
      </c>
      <c r="E113" s="975" t="s">
        <v>1840</v>
      </c>
      <c r="F113" s="976"/>
      <c r="G113" s="976"/>
      <c r="H113" s="972"/>
      <c r="I113" s="972"/>
      <c r="J113" s="977">
        <v>203338.36</v>
      </c>
      <c r="K113" s="972"/>
      <c r="L113" s="977">
        <v>0</v>
      </c>
      <c r="M113" s="972"/>
      <c r="N113" s="978">
        <v>0</v>
      </c>
      <c r="O113" s="972"/>
      <c r="P113" s="977">
        <f t="shared" si="15"/>
        <v>203338.36</v>
      </c>
      <c r="Q113" s="972"/>
      <c r="R113" s="977">
        <v>203338.36</v>
      </c>
      <c r="S113" s="977">
        <v>203338.36</v>
      </c>
      <c r="T113" s="977">
        <f t="shared" si="13"/>
        <v>203338.36</v>
      </c>
      <c r="U113" s="972"/>
      <c r="V113" s="978">
        <f t="shared" si="14"/>
        <v>0</v>
      </c>
      <c r="W113" s="972"/>
      <c r="X113" s="972"/>
    </row>
    <row r="114" spans="1:25" s="979" customFormat="1" outlineLevel="1">
      <c r="A114" s="972"/>
      <c r="B114" s="973" t="s">
        <v>223</v>
      </c>
      <c r="C114" s="974"/>
      <c r="D114" s="975">
        <v>14111</v>
      </c>
      <c r="E114" s="975" t="s">
        <v>1841</v>
      </c>
      <c r="F114" s="976"/>
      <c r="G114" s="976"/>
      <c r="H114" s="972"/>
      <c r="I114" s="972"/>
      <c r="J114" s="977">
        <v>159652.82999999999</v>
      </c>
      <c r="K114" s="972"/>
      <c r="L114" s="977">
        <v>0</v>
      </c>
      <c r="M114" s="972"/>
      <c r="N114" s="978">
        <v>0</v>
      </c>
      <c r="O114" s="972"/>
      <c r="P114" s="977">
        <f t="shared" si="15"/>
        <v>159652.82999999999</v>
      </c>
      <c r="Q114" s="972"/>
      <c r="R114" s="977">
        <v>158397.89000000001</v>
      </c>
      <c r="S114" s="977">
        <v>159652.82999999999</v>
      </c>
      <c r="T114" s="977">
        <f t="shared" si="13"/>
        <v>159652.82999999999</v>
      </c>
      <c r="U114" s="972"/>
      <c r="V114" s="978">
        <f t="shared" si="14"/>
        <v>0</v>
      </c>
      <c r="W114" s="972"/>
      <c r="X114" s="972"/>
    </row>
    <row r="115" spans="1:25" s="979" customFormat="1" outlineLevel="1">
      <c r="A115" s="972"/>
      <c r="B115" s="973" t="s">
        <v>223</v>
      </c>
      <c r="C115" s="974"/>
      <c r="D115" s="975">
        <v>14113</v>
      </c>
      <c r="E115" s="975" t="s">
        <v>1842</v>
      </c>
      <c r="F115" s="976"/>
      <c r="G115" s="976"/>
      <c r="H115" s="972"/>
      <c r="I115" s="972"/>
      <c r="J115" s="977">
        <v>39639.82</v>
      </c>
      <c r="K115" s="972"/>
      <c r="L115" s="977">
        <v>0</v>
      </c>
      <c r="M115" s="972"/>
      <c r="N115" s="978">
        <v>0</v>
      </c>
      <c r="O115" s="972"/>
      <c r="P115" s="977">
        <f t="shared" si="15"/>
        <v>39639.82</v>
      </c>
      <c r="Q115" s="972"/>
      <c r="R115" s="977">
        <v>39639.82</v>
      </c>
      <c r="S115" s="977">
        <v>39639.82</v>
      </c>
      <c r="T115" s="977">
        <f t="shared" si="13"/>
        <v>39639.82</v>
      </c>
      <c r="U115" s="972"/>
      <c r="V115" s="978">
        <f t="shared" si="14"/>
        <v>0</v>
      </c>
      <c r="W115" s="972"/>
      <c r="X115" s="972"/>
    </row>
    <row r="116" spans="1:25" s="979" customFormat="1" outlineLevel="1">
      <c r="A116" s="972"/>
      <c r="B116" s="973" t="s">
        <v>223</v>
      </c>
      <c r="C116" s="974"/>
      <c r="D116" s="975">
        <v>14114</v>
      </c>
      <c r="E116" s="975" t="s">
        <v>1843</v>
      </c>
      <c r="F116" s="976"/>
      <c r="G116" s="976"/>
      <c r="H116" s="972"/>
      <c r="I116" s="972"/>
      <c r="J116" s="977">
        <v>-12278.09</v>
      </c>
      <c r="K116" s="972"/>
      <c r="L116" s="977">
        <v>0</v>
      </c>
      <c r="M116" s="972"/>
      <c r="N116" s="978">
        <v>0</v>
      </c>
      <c r="O116" s="972"/>
      <c r="P116" s="977">
        <f t="shared" si="15"/>
        <v>-12278.09</v>
      </c>
      <c r="Q116" s="972"/>
      <c r="R116" s="977">
        <v>-12278.09</v>
      </c>
      <c r="S116" s="977">
        <v>-12278.09</v>
      </c>
      <c r="T116" s="977">
        <f t="shared" si="13"/>
        <v>-12278.09</v>
      </c>
      <c r="U116" s="972"/>
      <c r="V116" s="978">
        <f t="shared" si="14"/>
        <v>0</v>
      </c>
      <c r="W116" s="972"/>
      <c r="X116" s="972"/>
    </row>
    <row r="117" spans="1:25" s="979" customFormat="1" outlineLevel="1">
      <c r="A117" s="972"/>
      <c r="B117" s="973" t="s">
        <v>223</v>
      </c>
      <c r="C117" s="974"/>
      <c r="D117" s="975">
        <v>14115</v>
      </c>
      <c r="E117" s="975" t="s">
        <v>1844</v>
      </c>
      <c r="F117" s="976"/>
      <c r="G117" s="976"/>
      <c r="H117" s="972"/>
      <c r="I117" s="972"/>
      <c r="J117" s="977">
        <v>-147446.6</v>
      </c>
      <c r="K117" s="972"/>
      <c r="L117" s="977">
        <v>0</v>
      </c>
      <c r="M117" s="972"/>
      <c r="N117" s="978">
        <v>0</v>
      </c>
      <c r="O117" s="972"/>
      <c r="P117" s="977">
        <f t="shared" si="15"/>
        <v>-147446.6</v>
      </c>
      <c r="Q117" s="972"/>
      <c r="R117" s="977">
        <v>-147446.6</v>
      </c>
      <c r="S117" s="977">
        <v>-147446.6</v>
      </c>
      <c r="T117" s="977">
        <f t="shared" si="13"/>
        <v>-147446.6</v>
      </c>
      <c r="U117" s="972"/>
      <c r="V117" s="978">
        <f t="shared" si="14"/>
        <v>0</v>
      </c>
      <c r="W117" s="972"/>
      <c r="X117" s="972"/>
    </row>
    <row r="118" spans="1:25" s="979" customFormat="1" outlineLevel="1">
      <c r="A118" s="972"/>
      <c r="B118" s="973" t="s">
        <v>223</v>
      </c>
      <c r="C118" s="974"/>
      <c r="D118" s="975">
        <v>14116</v>
      </c>
      <c r="E118" s="975" t="s">
        <v>1845</v>
      </c>
      <c r="F118" s="976"/>
      <c r="G118" s="976"/>
      <c r="H118" s="972"/>
      <c r="I118" s="972"/>
      <c r="J118" s="977">
        <v>-210702.07999999999</v>
      </c>
      <c r="K118" s="972"/>
      <c r="L118" s="977">
        <v>0</v>
      </c>
      <c r="M118" s="972"/>
      <c r="N118" s="978">
        <v>0</v>
      </c>
      <c r="O118" s="972"/>
      <c r="P118" s="977">
        <f t="shared" si="15"/>
        <v>-210702.07999999999</v>
      </c>
      <c r="Q118" s="972"/>
      <c r="R118" s="977">
        <v>-206804.54</v>
      </c>
      <c r="S118" s="977">
        <v>-210101.17</v>
      </c>
      <c r="T118" s="977">
        <f t="shared" si="13"/>
        <v>-210702.07999999999</v>
      </c>
      <c r="U118" s="972"/>
      <c r="V118" s="978">
        <f t="shared" si="14"/>
        <v>-600.90999999997439</v>
      </c>
      <c r="W118" s="972"/>
      <c r="X118" s="972"/>
    </row>
    <row r="119" spans="1:25" s="979" customFormat="1" outlineLevel="1">
      <c r="A119" s="972"/>
      <c r="B119" s="973" t="s">
        <v>223</v>
      </c>
      <c r="C119" s="974"/>
      <c r="D119" s="975">
        <v>14117</v>
      </c>
      <c r="E119" s="975" t="s">
        <v>1846</v>
      </c>
      <c r="F119" s="976"/>
      <c r="G119" s="976"/>
      <c r="H119" s="972"/>
      <c r="I119" s="972"/>
      <c r="J119" s="977">
        <v>-34617.11</v>
      </c>
      <c r="K119" s="972"/>
      <c r="L119" s="977">
        <v>0</v>
      </c>
      <c r="M119" s="972"/>
      <c r="N119" s="978">
        <v>0</v>
      </c>
      <c r="O119" s="972"/>
      <c r="P119" s="977">
        <f t="shared" si="15"/>
        <v>-34617.11</v>
      </c>
      <c r="Q119" s="972"/>
      <c r="R119" s="977">
        <v>-34617.11</v>
      </c>
      <c r="S119" s="977">
        <v>-34617.11</v>
      </c>
      <c r="T119" s="977">
        <f t="shared" si="13"/>
        <v>-34617.11</v>
      </c>
      <c r="U119" s="972"/>
      <c r="V119" s="978">
        <f t="shared" si="14"/>
        <v>0</v>
      </c>
      <c r="W119" s="972"/>
      <c r="X119" s="972"/>
    </row>
    <row r="120" spans="1:25" s="979" customFormat="1" outlineLevel="1">
      <c r="A120" s="972"/>
      <c r="B120" s="973" t="s">
        <v>223</v>
      </c>
      <c r="C120" s="974"/>
      <c r="D120" s="975">
        <v>14118</v>
      </c>
      <c r="E120" s="975" t="s">
        <v>1847</v>
      </c>
      <c r="F120" s="976"/>
      <c r="G120" s="976"/>
      <c r="H120" s="972"/>
      <c r="I120" s="972"/>
      <c r="J120" s="977">
        <v>11813.68</v>
      </c>
      <c r="K120" s="972"/>
      <c r="L120" s="977">
        <v>0</v>
      </c>
      <c r="M120" s="972"/>
      <c r="N120" s="978">
        <v>0</v>
      </c>
      <c r="O120" s="972"/>
      <c r="P120" s="977">
        <f t="shared" si="15"/>
        <v>11813.68</v>
      </c>
      <c r="Q120" s="972"/>
      <c r="R120" s="977">
        <v>11813.68</v>
      </c>
      <c r="S120" s="977">
        <v>11813.68</v>
      </c>
      <c r="T120" s="977">
        <f t="shared" si="13"/>
        <v>11813.68</v>
      </c>
      <c r="U120" s="972"/>
      <c r="V120" s="978">
        <f t="shared" si="14"/>
        <v>0</v>
      </c>
      <c r="W120" s="972"/>
      <c r="X120" s="972"/>
    </row>
    <row r="121" spans="1:25" s="979" customFormat="1" outlineLevel="1">
      <c r="A121" s="972"/>
      <c r="B121" s="973" t="s">
        <v>223</v>
      </c>
      <c r="C121" s="974"/>
      <c r="D121" s="975">
        <v>14121</v>
      </c>
      <c r="E121" s="975" t="s">
        <v>1848</v>
      </c>
      <c r="F121" s="976"/>
      <c r="G121" s="976"/>
      <c r="H121" s="972"/>
      <c r="I121" s="972"/>
      <c r="J121" s="977">
        <v>59003.76</v>
      </c>
      <c r="K121" s="972"/>
      <c r="L121" s="977">
        <v>0</v>
      </c>
      <c r="M121" s="972"/>
      <c r="N121" s="978">
        <v>0</v>
      </c>
      <c r="O121" s="972"/>
      <c r="P121" s="977">
        <f t="shared" si="15"/>
        <v>59003.76</v>
      </c>
      <c r="Q121" s="972"/>
      <c r="R121" s="977">
        <v>0</v>
      </c>
      <c r="S121" s="977">
        <v>0</v>
      </c>
      <c r="T121" s="977">
        <f t="shared" si="13"/>
        <v>59003.76</v>
      </c>
      <c r="U121" s="972"/>
      <c r="V121" s="978">
        <f t="shared" si="14"/>
        <v>59003.76</v>
      </c>
      <c r="W121" s="972"/>
      <c r="X121" s="972"/>
    </row>
    <row r="122" spans="1:25" s="979" customFormat="1" outlineLevel="1">
      <c r="A122" s="972"/>
      <c r="B122" s="973" t="s">
        <v>223</v>
      </c>
      <c r="C122" s="974"/>
      <c r="D122" s="975">
        <v>14201</v>
      </c>
      <c r="E122" s="975" t="s">
        <v>1849</v>
      </c>
      <c r="F122" s="976"/>
      <c r="G122" s="976"/>
      <c r="H122" s="972"/>
      <c r="I122" s="972"/>
      <c r="J122" s="977">
        <v>233151.78</v>
      </c>
      <c r="K122" s="972"/>
      <c r="L122" s="977">
        <v>0</v>
      </c>
      <c r="M122" s="972"/>
      <c r="N122" s="978">
        <v>0</v>
      </c>
      <c r="O122" s="972"/>
      <c r="P122" s="977">
        <f t="shared" si="15"/>
        <v>233151.78</v>
      </c>
      <c r="Q122" s="972"/>
      <c r="R122" s="977">
        <v>1036437.6</v>
      </c>
      <c r="S122" s="977">
        <v>160397.26999999999</v>
      </c>
      <c r="T122" s="977">
        <f t="shared" si="13"/>
        <v>233151.78</v>
      </c>
      <c r="U122" s="972"/>
      <c r="V122" s="978">
        <f t="shared" si="14"/>
        <v>72754.510000000009</v>
      </c>
      <c r="W122" s="972"/>
      <c r="X122" s="972"/>
    </row>
    <row r="123" spans="1:25" s="979" customFormat="1" outlineLevel="1">
      <c r="A123" s="972"/>
      <c r="B123" s="973" t="s">
        <v>223</v>
      </c>
      <c r="C123" s="974"/>
      <c r="D123" s="975">
        <v>14203</v>
      </c>
      <c r="E123" s="975" t="s">
        <v>1850</v>
      </c>
      <c r="F123" s="976"/>
      <c r="G123" s="976"/>
      <c r="H123" s="972"/>
      <c r="I123" s="972"/>
      <c r="J123" s="977">
        <v>8350.82</v>
      </c>
      <c r="K123" s="972"/>
      <c r="L123" s="977">
        <v>0</v>
      </c>
      <c r="M123" s="972"/>
      <c r="N123" s="978">
        <v>0</v>
      </c>
      <c r="O123" s="972"/>
      <c r="P123" s="977">
        <f t="shared" si="15"/>
        <v>8350.82</v>
      </c>
      <c r="Q123" s="972"/>
      <c r="R123" s="977">
        <v>8350.82</v>
      </c>
      <c r="S123" s="977">
        <v>8350.82</v>
      </c>
      <c r="T123" s="977">
        <f t="shared" si="13"/>
        <v>8350.82</v>
      </c>
      <c r="U123" s="972"/>
      <c r="V123" s="978">
        <f t="shared" si="14"/>
        <v>0</v>
      </c>
      <c r="W123" s="972"/>
      <c r="X123" s="972"/>
    </row>
    <row r="124" spans="1:25" s="979" customFormat="1" ht="4.5" customHeight="1" outlineLevel="1">
      <c r="A124" s="1008" t="s">
        <v>217</v>
      </c>
      <c r="B124" s="1008" t="s">
        <v>217</v>
      </c>
      <c r="C124" s="1008"/>
      <c r="D124" s="1019"/>
      <c r="E124" s="972"/>
      <c r="F124" s="972"/>
      <c r="G124" s="972"/>
      <c r="H124" s="972"/>
      <c r="I124" s="972"/>
      <c r="J124" s="1012"/>
      <c r="K124" s="972"/>
      <c r="L124" s="1012"/>
      <c r="M124" s="972"/>
      <c r="N124" s="1013"/>
      <c r="O124" s="972"/>
      <c r="P124" s="1012"/>
      <c r="Q124" s="972"/>
      <c r="R124" s="1012"/>
      <c r="S124" s="1012"/>
      <c r="T124" s="1012"/>
      <c r="U124" s="972"/>
      <c r="V124" s="1013"/>
      <c r="W124" s="972"/>
      <c r="X124" s="972"/>
      <c r="Y124" s="972"/>
    </row>
    <row r="125" spans="1:25" s="979" customFormat="1">
      <c r="A125" s="974" t="s">
        <v>1139</v>
      </c>
      <c r="B125" s="1008" t="s">
        <v>217</v>
      </c>
      <c r="C125" s="1008"/>
      <c r="D125" s="972"/>
      <c r="E125" s="972"/>
      <c r="F125" s="972" t="s">
        <v>1851</v>
      </c>
      <c r="G125" s="972"/>
      <c r="H125" s="972"/>
      <c r="I125" s="972"/>
      <c r="J125" s="1010">
        <f>SUM(J62:J124)</f>
        <v>20638733.229999993</v>
      </c>
      <c r="K125" s="972"/>
      <c r="L125" s="1010">
        <f>SUM(L62:L124)</f>
        <v>0</v>
      </c>
      <c r="M125" s="972"/>
      <c r="N125" s="1011">
        <f>SUM(N62:N124)</f>
        <v>0</v>
      </c>
      <c r="O125" s="972"/>
      <c r="P125" s="1010">
        <f>J125+L125+N125</f>
        <v>20638733.229999993</v>
      </c>
      <c r="Q125" s="972"/>
      <c r="R125" s="1010">
        <f>SUM(R62:R124)</f>
        <v>20368328.539999995</v>
      </c>
      <c r="S125" s="1010">
        <f>SUM(S62:S124)</f>
        <v>20359808.199999999</v>
      </c>
      <c r="T125" s="1010">
        <f>SUM(T62:T124)</f>
        <v>20638733.229999993</v>
      </c>
      <c r="U125" s="972"/>
      <c r="V125" s="1011">
        <f>SUM(V62:V124)</f>
        <v>278925.02999999427</v>
      </c>
      <c r="W125" s="972"/>
      <c r="X125" s="972"/>
      <c r="Y125" s="972"/>
    </row>
    <row r="126" spans="1:25" s="979" customFormat="1" outlineLevel="1">
      <c r="A126" s="972"/>
      <c r="B126" s="973" t="s">
        <v>1852</v>
      </c>
      <c r="C126" s="974"/>
      <c r="D126" s="975"/>
      <c r="E126" s="975"/>
      <c r="F126" s="976"/>
      <c r="G126" s="976"/>
      <c r="H126" s="972"/>
      <c r="I126" s="972"/>
      <c r="J126" s="977"/>
      <c r="K126" s="972"/>
      <c r="L126" s="977"/>
      <c r="M126" s="972"/>
      <c r="N126" s="978"/>
      <c r="O126" s="972"/>
      <c r="P126" s="977">
        <f>J126+L126+N126</f>
        <v>0</v>
      </c>
      <c r="Q126" s="972"/>
      <c r="R126" s="977"/>
      <c r="S126" s="977"/>
      <c r="T126" s="977">
        <f>P126</f>
        <v>0</v>
      </c>
      <c r="U126" s="972"/>
      <c r="V126" s="978">
        <f>T126-S126</f>
        <v>0</v>
      </c>
      <c r="W126" s="972"/>
      <c r="X126" s="972"/>
    </row>
    <row r="127" spans="1:25" s="979" customFormat="1" ht="5.0999999999999996" customHeight="1" outlineLevel="1">
      <c r="A127" s="1008" t="s">
        <v>217</v>
      </c>
      <c r="B127" s="1008" t="s">
        <v>217</v>
      </c>
      <c r="C127" s="1008"/>
      <c r="D127" s="976"/>
      <c r="E127" s="976"/>
      <c r="F127" s="976"/>
      <c r="G127" s="976"/>
      <c r="H127" s="972"/>
      <c r="I127" s="972"/>
      <c r="J127" s="1012"/>
      <c r="K127" s="972"/>
      <c r="L127" s="1012"/>
      <c r="M127" s="972"/>
      <c r="N127" s="1013"/>
      <c r="O127" s="972"/>
      <c r="P127" s="1012"/>
      <c r="Q127" s="972"/>
      <c r="R127" s="1012"/>
      <c r="S127" s="1012"/>
      <c r="T127" s="1012"/>
      <c r="U127" s="972"/>
      <c r="V127" s="1013"/>
      <c r="W127" s="972"/>
      <c r="X127" s="972"/>
      <c r="Y127" s="972"/>
    </row>
    <row r="128" spans="1:25" s="979" customFormat="1">
      <c r="A128" s="974" t="s">
        <v>1852</v>
      </c>
      <c r="B128" s="1008" t="s">
        <v>217</v>
      </c>
      <c r="C128" s="1008"/>
      <c r="D128" s="972"/>
      <c r="E128" s="972"/>
      <c r="F128" s="975" t="s">
        <v>1853</v>
      </c>
      <c r="G128" s="972"/>
      <c r="H128" s="972"/>
      <c r="I128" s="972"/>
      <c r="J128" s="1010">
        <f>SUM(J126:J127)</f>
        <v>0</v>
      </c>
      <c r="K128" s="972"/>
      <c r="L128" s="1010">
        <f>SUM(L126:L127)</f>
        <v>0</v>
      </c>
      <c r="M128" s="972"/>
      <c r="N128" s="1011">
        <f>SUM(N126:N127)</f>
        <v>0</v>
      </c>
      <c r="O128" s="972"/>
      <c r="P128" s="1010">
        <f>J128+L128+N128</f>
        <v>0</v>
      </c>
      <c r="Q128" s="972"/>
      <c r="R128" s="1010">
        <f>SUM(R126:R127)</f>
        <v>0</v>
      </c>
      <c r="S128" s="1010">
        <f>SUM(S126:S127)</f>
        <v>0</v>
      </c>
      <c r="T128" s="1010">
        <f>SUM(T126:T127)</f>
        <v>0</v>
      </c>
      <c r="U128" s="972"/>
      <c r="V128" s="1011">
        <f>SUM(V126:V127)</f>
        <v>0</v>
      </c>
      <c r="W128" s="972"/>
      <c r="X128" s="972"/>
      <c r="Y128" s="972"/>
    </row>
    <row r="129" spans="1:25" s="979" customFormat="1" outlineLevel="1">
      <c r="A129" s="972"/>
      <c r="B129" s="973" t="s">
        <v>1141</v>
      </c>
      <c r="C129" s="974"/>
      <c r="D129" s="975">
        <v>15110</v>
      </c>
      <c r="E129" s="975" t="s">
        <v>1142</v>
      </c>
      <c r="F129" s="976"/>
      <c r="G129" s="976"/>
      <c r="H129" s="972"/>
      <c r="I129" s="972"/>
      <c r="J129" s="977">
        <v>11800040.09</v>
      </c>
      <c r="K129" s="972"/>
      <c r="L129" s="977">
        <v>0</v>
      </c>
      <c r="M129" s="972"/>
      <c r="N129" s="978">
        <v>0</v>
      </c>
      <c r="O129" s="972"/>
      <c r="P129" s="977">
        <f>J129+L129+N129</f>
        <v>11800040.09</v>
      </c>
      <c r="Q129" s="972"/>
      <c r="R129" s="977">
        <v>11800040.09</v>
      </c>
      <c r="S129" s="977">
        <v>11800040.09</v>
      </c>
      <c r="T129" s="977">
        <f t="shared" ref="T129:T131" si="16">P129</f>
        <v>11800040.09</v>
      </c>
      <c r="U129" s="972"/>
      <c r="V129" s="978">
        <f t="shared" ref="V129:V131" si="17">T129-S129</f>
        <v>0</v>
      </c>
      <c r="W129" s="972"/>
      <c r="X129" s="972"/>
    </row>
    <row r="130" spans="1:25" s="979" customFormat="1" outlineLevel="1">
      <c r="A130" s="972"/>
      <c r="B130" s="973" t="s">
        <v>223</v>
      </c>
      <c r="C130" s="974"/>
      <c r="D130" s="975">
        <v>15111</v>
      </c>
      <c r="E130" s="975" t="s">
        <v>1854</v>
      </c>
      <c r="F130" s="976"/>
      <c r="G130" s="976"/>
      <c r="H130" s="972"/>
      <c r="I130" s="972"/>
      <c r="J130" s="977">
        <v>3814288.58</v>
      </c>
      <c r="K130" s="972"/>
      <c r="L130" s="977">
        <v>0</v>
      </c>
      <c r="M130" s="972"/>
      <c r="N130" s="978">
        <v>0</v>
      </c>
      <c r="O130" s="972"/>
      <c r="P130" s="977">
        <f>J130+L130+N130</f>
        <v>3814288.58</v>
      </c>
      <c r="Q130" s="972"/>
      <c r="R130" s="977">
        <v>3814288.58</v>
      </c>
      <c r="S130" s="977">
        <v>3814288.58</v>
      </c>
      <c r="T130" s="977">
        <f t="shared" si="16"/>
        <v>3814288.58</v>
      </c>
      <c r="U130" s="972"/>
      <c r="V130" s="978">
        <f t="shared" si="17"/>
        <v>0</v>
      </c>
      <c r="W130" s="972"/>
      <c r="X130" s="972"/>
    </row>
    <row r="131" spans="1:25" s="979" customFormat="1" outlineLevel="1">
      <c r="A131" s="972"/>
      <c r="B131" s="973" t="s">
        <v>223</v>
      </c>
      <c r="C131" s="974"/>
      <c r="D131" s="975">
        <v>15120</v>
      </c>
      <c r="E131" s="975" t="s">
        <v>1855</v>
      </c>
      <c r="F131" s="976"/>
      <c r="G131" s="976"/>
      <c r="H131" s="972"/>
      <c r="I131" s="972"/>
      <c r="J131" s="977">
        <v>-1151978.69</v>
      </c>
      <c r="K131" s="972"/>
      <c r="L131" s="977">
        <v>0</v>
      </c>
      <c r="M131" s="972"/>
      <c r="N131" s="978">
        <v>0</v>
      </c>
      <c r="O131" s="972"/>
      <c r="P131" s="977">
        <f>J131+L131+N131</f>
        <v>-1151978.69</v>
      </c>
      <c r="Q131" s="972"/>
      <c r="R131" s="977">
        <v>-1151978.69</v>
      </c>
      <c r="S131" s="977">
        <v>-1151978.69</v>
      </c>
      <c r="T131" s="977">
        <f t="shared" si="16"/>
        <v>-1151978.69</v>
      </c>
      <c r="U131" s="972"/>
      <c r="V131" s="978">
        <f t="shared" si="17"/>
        <v>0</v>
      </c>
      <c r="W131" s="972"/>
      <c r="X131" s="972"/>
    </row>
    <row r="132" spans="1:25" s="979" customFormat="1" ht="4.5" customHeight="1" outlineLevel="1">
      <c r="A132" s="1008" t="s">
        <v>217</v>
      </c>
      <c r="B132" s="972" t="s">
        <v>217</v>
      </c>
      <c r="C132" s="1020"/>
      <c r="D132" s="1019"/>
      <c r="E132" s="972"/>
      <c r="F132" s="972"/>
      <c r="G132" s="972"/>
      <c r="H132" s="972"/>
      <c r="I132" s="972"/>
      <c r="J132" s="1012"/>
      <c r="K132" s="972"/>
      <c r="L132" s="1012"/>
      <c r="M132" s="972"/>
      <c r="N132" s="1013"/>
      <c r="O132" s="972"/>
      <c r="P132" s="1012"/>
      <c r="Q132" s="972"/>
      <c r="R132" s="1012"/>
      <c r="S132" s="1012"/>
      <c r="T132" s="1012"/>
      <c r="U132" s="972"/>
      <c r="V132" s="1013"/>
      <c r="W132" s="972"/>
      <c r="X132" s="972"/>
      <c r="Y132" s="972"/>
    </row>
    <row r="133" spans="1:25" s="979" customFormat="1">
      <c r="A133" s="974" t="s">
        <v>1141</v>
      </c>
      <c r="B133" s="1008" t="s">
        <v>217</v>
      </c>
      <c r="C133" s="1008"/>
      <c r="D133" s="972"/>
      <c r="E133" s="972"/>
      <c r="F133" s="972" t="s">
        <v>1142</v>
      </c>
      <c r="G133" s="972"/>
      <c r="H133" s="972"/>
      <c r="I133" s="972"/>
      <c r="J133" s="1010">
        <f>SUM(J129:J132)</f>
        <v>14462349.98</v>
      </c>
      <c r="K133" s="972"/>
      <c r="L133" s="1010">
        <f>SUM(L129:L132)</f>
        <v>0</v>
      </c>
      <c r="M133" s="972"/>
      <c r="N133" s="1011">
        <f>SUM(N129:N132)</f>
        <v>0</v>
      </c>
      <c r="O133" s="972"/>
      <c r="P133" s="1010">
        <f t="shared" ref="P133:P147" si="18">J133+L133+N133</f>
        <v>14462349.98</v>
      </c>
      <c r="Q133" s="972"/>
      <c r="R133" s="1010">
        <f>SUM(R129:R132)</f>
        <v>14462349.98</v>
      </c>
      <c r="S133" s="1010">
        <f>SUM(S129:S132)</f>
        <v>14462349.98</v>
      </c>
      <c r="T133" s="1010">
        <f>SUM(T129:T132)</f>
        <v>14462349.98</v>
      </c>
      <c r="U133" s="972"/>
      <c r="V133" s="1011">
        <f>SUM(V129:V132)</f>
        <v>0</v>
      </c>
      <c r="W133" s="972"/>
      <c r="X133" s="972"/>
      <c r="Y133" s="972"/>
    </row>
    <row r="134" spans="1:25" s="979" customFormat="1" outlineLevel="1">
      <c r="A134" s="972"/>
      <c r="B134" s="973" t="s">
        <v>1143</v>
      </c>
      <c r="C134" s="974"/>
      <c r="D134" s="975">
        <v>15210</v>
      </c>
      <c r="E134" s="975" t="s">
        <v>1856</v>
      </c>
      <c r="F134" s="976"/>
      <c r="G134" s="976"/>
      <c r="H134" s="972"/>
      <c r="I134" s="972"/>
      <c r="J134" s="977">
        <v>159888</v>
      </c>
      <c r="K134" s="972"/>
      <c r="L134" s="977">
        <v>0</v>
      </c>
      <c r="M134" s="972"/>
      <c r="N134" s="978">
        <v>0</v>
      </c>
      <c r="O134" s="972"/>
      <c r="P134" s="977">
        <f t="shared" si="18"/>
        <v>159888</v>
      </c>
      <c r="Q134" s="972"/>
      <c r="R134" s="977">
        <v>159888</v>
      </c>
      <c r="S134" s="977">
        <v>159888</v>
      </c>
      <c r="T134" s="977">
        <f t="shared" ref="T134:T147" si="19">P134</f>
        <v>159888</v>
      </c>
      <c r="U134" s="972"/>
      <c r="V134" s="978">
        <f t="shared" ref="V134:V147" si="20">T134-S134</f>
        <v>0</v>
      </c>
      <c r="W134" s="972"/>
      <c r="X134" s="972"/>
    </row>
    <row r="135" spans="1:25" s="979" customFormat="1" outlineLevel="1">
      <c r="A135" s="972"/>
      <c r="B135" s="973" t="s">
        <v>223</v>
      </c>
      <c r="C135" s="974"/>
      <c r="D135" s="975">
        <v>15211</v>
      </c>
      <c r="E135" s="975" t="s">
        <v>1857</v>
      </c>
      <c r="F135" s="976"/>
      <c r="G135" s="976"/>
      <c r="H135" s="972"/>
      <c r="I135" s="972"/>
      <c r="J135" s="977">
        <v>119270</v>
      </c>
      <c r="K135" s="972"/>
      <c r="L135" s="977">
        <v>0</v>
      </c>
      <c r="M135" s="972"/>
      <c r="N135" s="978">
        <v>0</v>
      </c>
      <c r="O135" s="972"/>
      <c r="P135" s="977">
        <f t="shared" si="18"/>
        <v>119270</v>
      </c>
      <c r="Q135" s="972"/>
      <c r="R135" s="977">
        <v>119270</v>
      </c>
      <c r="S135" s="977">
        <v>119270</v>
      </c>
      <c r="T135" s="977">
        <f t="shared" si="19"/>
        <v>119270</v>
      </c>
      <c r="U135" s="972"/>
      <c r="V135" s="978">
        <f t="shared" si="20"/>
        <v>0</v>
      </c>
      <c r="W135" s="972"/>
      <c r="X135" s="972"/>
    </row>
    <row r="136" spans="1:25" s="979" customFormat="1" outlineLevel="1">
      <c r="A136" s="972"/>
      <c r="B136" s="973" t="s">
        <v>223</v>
      </c>
      <c r="C136" s="974"/>
      <c r="D136" s="975">
        <v>15215</v>
      </c>
      <c r="E136" s="975" t="s">
        <v>1858</v>
      </c>
      <c r="F136" s="976"/>
      <c r="G136" s="976"/>
      <c r="H136" s="972"/>
      <c r="I136" s="972"/>
      <c r="J136" s="977">
        <v>-134071.47</v>
      </c>
      <c r="K136" s="972"/>
      <c r="L136" s="977">
        <v>0</v>
      </c>
      <c r="M136" s="972"/>
      <c r="N136" s="978">
        <v>0</v>
      </c>
      <c r="O136" s="972"/>
      <c r="P136" s="977">
        <f t="shared" si="18"/>
        <v>-134071.47</v>
      </c>
      <c r="Q136" s="972"/>
      <c r="R136" s="977">
        <v>-134071.47</v>
      </c>
      <c r="S136" s="977">
        <v>-134071.47</v>
      </c>
      <c r="T136" s="977">
        <f t="shared" si="19"/>
        <v>-134071.47</v>
      </c>
      <c r="U136" s="972"/>
      <c r="V136" s="978">
        <f t="shared" si="20"/>
        <v>0</v>
      </c>
      <c r="W136" s="972"/>
      <c r="X136" s="972"/>
    </row>
    <row r="137" spans="1:25" s="979" customFormat="1" outlineLevel="1">
      <c r="A137" s="972"/>
      <c r="B137" s="973" t="s">
        <v>223</v>
      </c>
      <c r="C137" s="974"/>
      <c r="D137" s="975">
        <v>15216</v>
      </c>
      <c r="E137" s="975" t="s">
        <v>1859</v>
      </c>
      <c r="F137" s="976"/>
      <c r="G137" s="976"/>
      <c r="H137" s="972"/>
      <c r="I137" s="972"/>
      <c r="J137" s="977">
        <v>-145086.53</v>
      </c>
      <c r="K137" s="972"/>
      <c r="L137" s="977">
        <v>0</v>
      </c>
      <c r="M137" s="972"/>
      <c r="N137" s="978">
        <v>0</v>
      </c>
      <c r="O137" s="972"/>
      <c r="P137" s="977">
        <f t="shared" si="18"/>
        <v>-145086.53</v>
      </c>
      <c r="Q137" s="972"/>
      <c r="R137" s="977">
        <v>-145086.53</v>
      </c>
      <c r="S137" s="977">
        <v>-145086.53</v>
      </c>
      <c r="T137" s="977">
        <f t="shared" si="19"/>
        <v>-145086.53</v>
      </c>
      <c r="U137" s="972"/>
      <c r="V137" s="978">
        <f t="shared" si="20"/>
        <v>0</v>
      </c>
      <c r="W137" s="972"/>
      <c r="X137" s="972"/>
    </row>
    <row r="138" spans="1:25" s="979" customFormat="1" outlineLevel="1">
      <c r="A138" s="972"/>
      <c r="B138" s="973" t="s">
        <v>223</v>
      </c>
      <c r="C138" s="974"/>
      <c r="D138" s="975">
        <v>15240</v>
      </c>
      <c r="E138" s="975" t="s">
        <v>1860</v>
      </c>
      <c r="F138" s="976"/>
      <c r="G138" s="976"/>
      <c r="H138" s="972"/>
      <c r="I138" s="972"/>
      <c r="J138" s="977">
        <v>148836.32999999999</v>
      </c>
      <c r="K138" s="972"/>
      <c r="L138" s="977">
        <v>0</v>
      </c>
      <c r="M138" s="972"/>
      <c r="N138" s="978">
        <v>0</v>
      </c>
      <c r="O138" s="972"/>
      <c r="P138" s="977">
        <f t="shared" si="18"/>
        <v>148836.32999999999</v>
      </c>
      <c r="Q138" s="972"/>
      <c r="R138" s="977">
        <v>148836.32999999999</v>
      </c>
      <c r="S138" s="977">
        <v>148836.32999999999</v>
      </c>
      <c r="T138" s="977">
        <f t="shared" si="19"/>
        <v>148836.32999999999</v>
      </c>
      <c r="U138" s="972"/>
      <c r="V138" s="978">
        <f t="shared" si="20"/>
        <v>0</v>
      </c>
      <c r="W138" s="972"/>
      <c r="X138" s="972"/>
    </row>
    <row r="139" spans="1:25" s="979" customFormat="1" outlineLevel="1">
      <c r="A139" s="972"/>
      <c r="B139" s="973" t="s">
        <v>223</v>
      </c>
      <c r="C139" s="974"/>
      <c r="D139" s="975">
        <v>15241</v>
      </c>
      <c r="E139" s="975" t="s">
        <v>1861</v>
      </c>
      <c r="F139" s="976"/>
      <c r="G139" s="976"/>
      <c r="H139" s="972"/>
      <c r="I139" s="972"/>
      <c r="J139" s="977">
        <v>-7.0000000000000007E-2</v>
      </c>
      <c r="K139" s="972"/>
      <c r="L139" s="977">
        <v>0</v>
      </c>
      <c r="M139" s="972"/>
      <c r="N139" s="978">
        <v>0</v>
      </c>
      <c r="O139" s="972"/>
      <c r="P139" s="977">
        <f t="shared" si="18"/>
        <v>-7.0000000000000007E-2</v>
      </c>
      <c r="Q139" s="972"/>
      <c r="R139" s="977">
        <v>-7.0000000000000007E-2</v>
      </c>
      <c r="S139" s="977">
        <v>-7.0000000000000007E-2</v>
      </c>
      <c r="T139" s="977">
        <f t="shared" si="19"/>
        <v>-7.0000000000000007E-2</v>
      </c>
      <c r="U139" s="972"/>
      <c r="V139" s="978">
        <f t="shared" si="20"/>
        <v>0</v>
      </c>
      <c r="W139" s="972"/>
      <c r="X139" s="972"/>
    </row>
    <row r="140" spans="1:25" s="979" customFormat="1" outlineLevel="1">
      <c r="A140" s="972"/>
      <c r="B140" s="973" t="s">
        <v>223</v>
      </c>
      <c r="C140" s="974"/>
      <c r="D140" s="975">
        <v>15242</v>
      </c>
      <c r="E140" s="975" t="s">
        <v>1862</v>
      </c>
      <c r="F140" s="976"/>
      <c r="G140" s="976"/>
      <c r="H140" s="972"/>
      <c r="I140" s="972"/>
      <c r="J140" s="977">
        <v>-147882.32999999999</v>
      </c>
      <c r="K140" s="972"/>
      <c r="L140" s="977">
        <v>0</v>
      </c>
      <c r="M140" s="972"/>
      <c r="N140" s="978">
        <v>0</v>
      </c>
      <c r="O140" s="972"/>
      <c r="P140" s="977">
        <f t="shared" si="18"/>
        <v>-147882.32999999999</v>
      </c>
      <c r="Q140" s="972"/>
      <c r="R140" s="977">
        <v>-147882.32999999999</v>
      </c>
      <c r="S140" s="977">
        <v>-147882.32999999999</v>
      </c>
      <c r="T140" s="977">
        <f t="shared" si="19"/>
        <v>-147882.32999999999</v>
      </c>
      <c r="U140" s="972"/>
      <c r="V140" s="978">
        <f t="shared" si="20"/>
        <v>0</v>
      </c>
      <c r="W140" s="972"/>
      <c r="X140" s="972"/>
    </row>
    <row r="141" spans="1:25" s="979" customFormat="1" outlineLevel="1">
      <c r="A141" s="972"/>
      <c r="B141" s="973" t="s">
        <v>223</v>
      </c>
      <c r="C141" s="974"/>
      <c r="D141" s="975">
        <v>15245</v>
      </c>
      <c r="E141" s="975" t="s">
        <v>1863</v>
      </c>
      <c r="F141" s="976"/>
      <c r="G141" s="976"/>
      <c r="H141" s="972"/>
      <c r="I141" s="972"/>
      <c r="J141" s="977">
        <v>-86093.09</v>
      </c>
      <c r="K141" s="972"/>
      <c r="L141" s="977">
        <v>0</v>
      </c>
      <c r="M141" s="972"/>
      <c r="N141" s="978">
        <v>0</v>
      </c>
      <c r="O141" s="972"/>
      <c r="P141" s="977">
        <f t="shared" si="18"/>
        <v>-86093.09</v>
      </c>
      <c r="Q141" s="972"/>
      <c r="R141" s="977">
        <v>-86093.09</v>
      </c>
      <c r="S141" s="977">
        <v>-86093.09</v>
      </c>
      <c r="T141" s="977">
        <f t="shared" si="19"/>
        <v>-86093.09</v>
      </c>
      <c r="U141" s="972"/>
      <c r="V141" s="978">
        <f t="shared" si="20"/>
        <v>0</v>
      </c>
      <c r="W141" s="972"/>
      <c r="X141" s="972"/>
    </row>
    <row r="142" spans="1:25" s="979" customFormat="1" outlineLevel="1">
      <c r="A142" s="972"/>
      <c r="B142" s="973" t="s">
        <v>223</v>
      </c>
      <c r="C142" s="974"/>
      <c r="D142" s="975">
        <v>15246</v>
      </c>
      <c r="E142" s="975" t="s">
        <v>1864</v>
      </c>
      <c r="F142" s="976"/>
      <c r="G142" s="976"/>
      <c r="H142" s="972"/>
      <c r="I142" s="972"/>
      <c r="J142" s="977">
        <v>-31610.09</v>
      </c>
      <c r="K142" s="972"/>
      <c r="L142" s="977">
        <v>0</v>
      </c>
      <c r="M142" s="972"/>
      <c r="N142" s="978">
        <v>0</v>
      </c>
      <c r="O142" s="972"/>
      <c r="P142" s="977">
        <f t="shared" si="18"/>
        <v>-31610.09</v>
      </c>
      <c r="Q142" s="972"/>
      <c r="R142" s="977">
        <v>-31610.09</v>
      </c>
      <c r="S142" s="977">
        <v>-31610.09</v>
      </c>
      <c r="T142" s="977">
        <f t="shared" si="19"/>
        <v>-31610.09</v>
      </c>
      <c r="U142" s="972"/>
      <c r="V142" s="978">
        <f t="shared" si="20"/>
        <v>0</v>
      </c>
      <c r="W142" s="972"/>
      <c r="X142" s="972"/>
    </row>
    <row r="143" spans="1:25" s="979" customFormat="1" outlineLevel="1">
      <c r="A143" s="972"/>
      <c r="B143" s="973" t="s">
        <v>223</v>
      </c>
      <c r="C143" s="974"/>
      <c r="D143" s="975">
        <v>15247</v>
      </c>
      <c r="E143" s="975" t="s">
        <v>1862</v>
      </c>
      <c r="F143" s="976"/>
      <c r="G143" s="976"/>
      <c r="H143" s="972"/>
      <c r="I143" s="972"/>
      <c r="J143" s="977">
        <v>116749.25</v>
      </c>
      <c r="K143" s="972"/>
      <c r="L143" s="977">
        <v>0</v>
      </c>
      <c r="M143" s="972"/>
      <c r="N143" s="978">
        <v>0</v>
      </c>
      <c r="O143" s="972"/>
      <c r="P143" s="977">
        <f t="shared" si="18"/>
        <v>116749.25</v>
      </c>
      <c r="Q143" s="972"/>
      <c r="R143" s="977">
        <v>116749.25</v>
      </c>
      <c r="S143" s="977">
        <v>116749.25</v>
      </c>
      <c r="T143" s="977">
        <f t="shared" si="19"/>
        <v>116749.25</v>
      </c>
      <c r="U143" s="972"/>
      <c r="V143" s="978">
        <f t="shared" si="20"/>
        <v>0</v>
      </c>
      <c r="W143" s="972"/>
      <c r="X143" s="972"/>
    </row>
    <row r="144" spans="1:25" s="979" customFormat="1" outlineLevel="1">
      <c r="A144" s="972"/>
      <c r="B144" s="973" t="s">
        <v>223</v>
      </c>
      <c r="C144" s="974"/>
      <c r="D144" s="975">
        <v>15251</v>
      </c>
      <c r="E144" s="975" t="s">
        <v>1865</v>
      </c>
      <c r="F144" s="976"/>
      <c r="G144" s="976"/>
      <c r="H144" s="972"/>
      <c r="I144" s="972"/>
      <c r="J144" s="977">
        <v>7.0000000000000007E-2</v>
      </c>
      <c r="K144" s="972"/>
      <c r="L144" s="977">
        <v>0</v>
      </c>
      <c r="M144" s="972"/>
      <c r="N144" s="978">
        <v>0</v>
      </c>
      <c r="O144" s="972"/>
      <c r="P144" s="977">
        <f t="shared" si="18"/>
        <v>7.0000000000000007E-2</v>
      </c>
      <c r="Q144" s="972"/>
      <c r="R144" s="977">
        <v>7.0000000000000007E-2</v>
      </c>
      <c r="S144" s="977">
        <v>7.0000000000000007E-2</v>
      </c>
      <c r="T144" s="977">
        <f t="shared" si="19"/>
        <v>7.0000000000000007E-2</v>
      </c>
      <c r="U144" s="972"/>
      <c r="V144" s="978">
        <f t="shared" si="20"/>
        <v>0</v>
      </c>
      <c r="W144" s="972"/>
      <c r="X144" s="972"/>
    </row>
    <row r="145" spans="1:25" s="979" customFormat="1" outlineLevel="1">
      <c r="A145" s="972"/>
      <c r="B145" s="973" t="s">
        <v>223</v>
      </c>
      <c r="C145" s="974"/>
      <c r="D145" s="975">
        <v>15252</v>
      </c>
      <c r="E145" s="975" t="s">
        <v>1866</v>
      </c>
      <c r="F145" s="976"/>
      <c r="G145" s="976"/>
      <c r="H145" s="972"/>
      <c r="I145" s="972"/>
      <c r="J145" s="977">
        <v>147882.32999999999</v>
      </c>
      <c r="K145" s="972"/>
      <c r="L145" s="977">
        <v>0</v>
      </c>
      <c r="M145" s="972"/>
      <c r="N145" s="978">
        <v>0</v>
      </c>
      <c r="O145" s="972"/>
      <c r="P145" s="977">
        <f t="shared" si="18"/>
        <v>147882.32999999999</v>
      </c>
      <c r="Q145" s="972"/>
      <c r="R145" s="977">
        <v>147882.32999999999</v>
      </c>
      <c r="S145" s="977">
        <v>147882.32999999999</v>
      </c>
      <c r="T145" s="977">
        <f t="shared" si="19"/>
        <v>147882.32999999999</v>
      </c>
      <c r="U145" s="972"/>
      <c r="V145" s="978">
        <f t="shared" si="20"/>
        <v>0</v>
      </c>
      <c r="W145" s="972"/>
      <c r="X145" s="972"/>
    </row>
    <row r="146" spans="1:25" s="979" customFormat="1" outlineLevel="1">
      <c r="A146" s="972"/>
      <c r="B146" s="973" t="s">
        <v>223</v>
      </c>
      <c r="C146" s="974"/>
      <c r="D146" s="975">
        <v>15256</v>
      </c>
      <c r="E146" s="975" t="s">
        <v>1867</v>
      </c>
      <c r="F146" s="976"/>
      <c r="G146" s="976"/>
      <c r="H146" s="972"/>
      <c r="I146" s="972"/>
      <c r="J146" s="977">
        <v>-31133.15</v>
      </c>
      <c r="K146" s="972"/>
      <c r="L146" s="977">
        <v>0</v>
      </c>
      <c r="M146" s="972"/>
      <c r="N146" s="978">
        <v>0</v>
      </c>
      <c r="O146" s="972"/>
      <c r="P146" s="977">
        <f t="shared" si="18"/>
        <v>-31133.15</v>
      </c>
      <c r="Q146" s="972"/>
      <c r="R146" s="977">
        <v>-31133.15</v>
      </c>
      <c r="S146" s="977">
        <v>-31133.15</v>
      </c>
      <c r="T146" s="977">
        <f t="shared" si="19"/>
        <v>-31133.15</v>
      </c>
      <c r="U146" s="972"/>
      <c r="V146" s="978">
        <f t="shared" si="20"/>
        <v>0</v>
      </c>
      <c r="W146" s="972"/>
      <c r="X146" s="972"/>
    </row>
    <row r="147" spans="1:25" s="979" customFormat="1" outlineLevel="1">
      <c r="A147" s="972"/>
      <c r="B147" s="973" t="s">
        <v>223</v>
      </c>
      <c r="C147" s="974"/>
      <c r="D147" s="975">
        <v>15257</v>
      </c>
      <c r="E147" s="975" t="s">
        <v>1868</v>
      </c>
      <c r="F147" s="976"/>
      <c r="G147" s="976"/>
      <c r="H147" s="972"/>
      <c r="I147" s="972"/>
      <c r="J147" s="977">
        <v>-116749.25</v>
      </c>
      <c r="K147" s="972"/>
      <c r="L147" s="977">
        <v>0</v>
      </c>
      <c r="M147" s="972"/>
      <c r="N147" s="978">
        <v>0</v>
      </c>
      <c r="O147" s="972"/>
      <c r="P147" s="977">
        <f t="shared" si="18"/>
        <v>-116749.25</v>
      </c>
      <c r="Q147" s="972"/>
      <c r="R147" s="977">
        <v>-116749.25</v>
      </c>
      <c r="S147" s="977">
        <v>-116749.25</v>
      </c>
      <c r="T147" s="977">
        <f t="shared" si="19"/>
        <v>-116749.25</v>
      </c>
      <c r="U147" s="972"/>
      <c r="V147" s="978">
        <f t="shared" si="20"/>
        <v>0</v>
      </c>
      <c r="W147" s="972"/>
      <c r="X147" s="972"/>
    </row>
    <row r="148" spans="1:25" s="979" customFormat="1" ht="5.0999999999999996" customHeight="1" outlineLevel="1">
      <c r="A148" s="1008" t="s">
        <v>217</v>
      </c>
      <c r="B148" s="974" t="s">
        <v>217</v>
      </c>
      <c r="C148" s="974"/>
      <c r="D148" s="976"/>
      <c r="E148" s="976"/>
      <c r="F148" s="976"/>
      <c r="G148" s="976"/>
      <c r="H148" s="972"/>
      <c r="I148" s="972"/>
      <c r="J148" s="1012"/>
      <c r="K148" s="972"/>
      <c r="L148" s="1012"/>
      <c r="M148" s="972"/>
      <c r="N148" s="1013"/>
      <c r="O148" s="972"/>
      <c r="P148" s="1012"/>
      <c r="Q148" s="972"/>
      <c r="R148" s="1012"/>
      <c r="S148" s="1012"/>
      <c r="T148" s="1012"/>
      <c r="U148" s="972"/>
      <c r="V148" s="1013"/>
      <c r="W148" s="972"/>
      <c r="X148" s="972"/>
      <c r="Y148" s="972"/>
    </row>
    <row r="149" spans="1:25" s="979" customFormat="1">
      <c r="A149" s="974" t="s">
        <v>1143</v>
      </c>
      <c r="B149" s="1008" t="s">
        <v>217</v>
      </c>
      <c r="C149" s="1008"/>
      <c r="D149" s="972"/>
      <c r="E149" s="972"/>
      <c r="F149" s="975" t="s">
        <v>1869</v>
      </c>
      <c r="G149" s="1021"/>
      <c r="H149" s="1021"/>
      <c r="I149" s="1021"/>
      <c r="J149" s="1010">
        <f>SUM(J134:J148)</f>
        <v>0</v>
      </c>
      <c r="K149" s="972"/>
      <c r="L149" s="1010">
        <f>SUM(L134:L148)</f>
        <v>0</v>
      </c>
      <c r="M149" s="972"/>
      <c r="N149" s="1011">
        <f>SUM(N134:N148)</f>
        <v>0</v>
      </c>
      <c r="O149" s="972"/>
      <c r="P149" s="1010">
        <f>J149+L149+N149</f>
        <v>0</v>
      </c>
      <c r="Q149" s="972"/>
      <c r="R149" s="1010">
        <f>SUM(R134:R148)</f>
        <v>0</v>
      </c>
      <c r="S149" s="1010">
        <f>SUM(S134:S148)</f>
        <v>0</v>
      </c>
      <c r="T149" s="1010">
        <f>SUM(T134:T148)</f>
        <v>0</v>
      </c>
      <c r="U149" s="972"/>
      <c r="V149" s="1011">
        <f>SUM(V134:V148)</f>
        <v>0</v>
      </c>
      <c r="W149" s="972"/>
      <c r="X149" s="972"/>
      <c r="Y149" s="972"/>
    </row>
    <row r="150" spans="1:25" s="979" customFormat="1" outlineLevel="1">
      <c r="A150" s="972"/>
      <c r="B150" s="973" t="s">
        <v>1870</v>
      </c>
      <c r="C150" s="974"/>
      <c r="D150" s="975"/>
      <c r="E150" s="975"/>
      <c r="F150" s="976"/>
      <c r="G150" s="976"/>
      <c r="H150" s="972"/>
      <c r="I150" s="972"/>
      <c r="J150" s="977"/>
      <c r="K150" s="972"/>
      <c r="L150" s="977"/>
      <c r="M150" s="972"/>
      <c r="N150" s="978"/>
      <c r="O150" s="972"/>
      <c r="P150" s="977">
        <f>J150+L150+N150</f>
        <v>0</v>
      </c>
      <c r="Q150" s="972"/>
      <c r="R150" s="977"/>
      <c r="S150" s="977"/>
      <c r="T150" s="977">
        <f>P150</f>
        <v>0</v>
      </c>
      <c r="U150" s="972"/>
      <c r="V150" s="978">
        <f>T150-S150</f>
        <v>0</v>
      </c>
      <c r="W150" s="972"/>
      <c r="X150" s="972"/>
    </row>
    <row r="151" spans="1:25" s="979" customFormat="1" ht="5.0999999999999996" customHeight="1" outlineLevel="1">
      <c r="A151" s="1008" t="s">
        <v>217</v>
      </c>
      <c r="B151" s="974" t="s">
        <v>217</v>
      </c>
      <c r="C151" s="974"/>
      <c r="D151" s="976"/>
      <c r="E151" s="976"/>
      <c r="F151" s="976"/>
      <c r="G151" s="976"/>
      <c r="H151" s="972"/>
      <c r="I151" s="972"/>
      <c r="J151" s="1012"/>
      <c r="K151" s="972"/>
      <c r="L151" s="1012"/>
      <c r="M151" s="972"/>
      <c r="N151" s="1013"/>
      <c r="O151" s="972"/>
      <c r="P151" s="1012"/>
      <c r="Q151" s="972"/>
      <c r="R151" s="1012"/>
      <c r="S151" s="1012"/>
      <c r="T151" s="1012"/>
      <c r="U151" s="972"/>
      <c r="V151" s="1013"/>
      <c r="W151" s="972"/>
      <c r="X151" s="972"/>
      <c r="Y151" s="972"/>
    </row>
    <row r="152" spans="1:25" s="979" customFormat="1">
      <c r="A152" s="974" t="s">
        <v>1870</v>
      </c>
      <c r="B152" s="974" t="s">
        <v>217</v>
      </c>
      <c r="C152" s="974"/>
      <c r="D152" s="972"/>
      <c r="E152" s="972"/>
      <c r="F152" s="975" t="s">
        <v>1871</v>
      </c>
      <c r="G152" s="1021"/>
      <c r="H152" s="1021"/>
      <c r="I152" s="1021"/>
      <c r="J152" s="1010">
        <f>SUM(J150:J151)</f>
        <v>0</v>
      </c>
      <c r="K152" s="972"/>
      <c r="L152" s="1010">
        <f>SUM(L150:L151)</f>
        <v>0</v>
      </c>
      <c r="M152" s="972"/>
      <c r="N152" s="1011">
        <f>SUM(N150:N151)</f>
        <v>0</v>
      </c>
      <c r="O152" s="972"/>
      <c r="P152" s="1010">
        <f>J152+L152+N152</f>
        <v>0</v>
      </c>
      <c r="Q152" s="972"/>
      <c r="R152" s="1010">
        <f>SUM(R150:R151)</f>
        <v>0</v>
      </c>
      <c r="S152" s="1010">
        <f>SUM(S150:S151)</f>
        <v>0</v>
      </c>
      <c r="T152" s="1010">
        <f>SUM(T150:T151)</f>
        <v>0</v>
      </c>
      <c r="U152" s="972"/>
      <c r="V152" s="1011">
        <f>SUM(V150:V151)</f>
        <v>0</v>
      </c>
      <c r="W152" s="972"/>
      <c r="X152" s="972"/>
      <c r="Y152" s="972"/>
    </row>
    <row r="153" spans="1:25" s="979" customFormat="1" outlineLevel="1">
      <c r="A153" s="972"/>
      <c r="B153" s="973" t="s">
        <v>1145</v>
      </c>
      <c r="C153" s="974"/>
      <c r="D153" s="975"/>
      <c r="E153" s="975"/>
      <c r="F153" s="976"/>
      <c r="G153" s="976"/>
      <c r="H153" s="972"/>
      <c r="I153" s="972"/>
      <c r="J153" s="977"/>
      <c r="K153" s="972"/>
      <c r="L153" s="977"/>
      <c r="M153" s="972"/>
      <c r="N153" s="978"/>
      <c r="O153" s="972"/>
      <c r="P153" s="977">
        <f>J153+L153+N153</f>
        <v>0</v>
      </c>
      <c r="Q153" s="972"/>
      <c r="R153" s="977"/>
      <c r="S153" s="977"/>
      <c r="T153" s="977">
        <f>P153</f>
        <v>0</v>
      </c>
      <c r="U153" s="972"/>
      <c r="V153" s="978">
        <f>T153-S153</f>
        <v>0</v>
      </c>
      <c r="W153" s="972"/>
      <c r="X153" s="972"/>
    </row>
    <row r="154" spans="1:25" s="979" customFormat="1" ht="4.5" customHeight="1" outlineLevel="1">
      <c r="A154" s="974" t="s">
        <v>217</v>
      </c>
      <c r="B154" s="972" t="s">
        <v>217</v>
      </c>
      <c r="C154" s="1020"/>
      <c r="D154" s="1019"/>
      <c r="E154" s="972"/>
      <c r="F154" s="972"/>
      <c r="G154" s="972"/>
      <c r="H154" s="972"/>
      <c r="I154" s="972"/>
      <c r="J154" s="1012"/>
      <c r="K154" s="972"/>
      <c r="L154" s="1012"/>
      <c r="M154" s="972"/>
      <c r="N154" s="1013"/>
      <c r="O154" s="972"/>
      <c r="P154" s="1012"/>
      <c r="Q154" s="972"/>
      <c r="R154" s="1012"/>
      <c r="S154" s="1012"/>
      <c r="T154" s="1012"/>
      <c r="U154" s="972"/>
      <c r="V154" s="1013"/>
      <c r="W154" s="972"/>
      <c r="X154" s="972"/>
      <c r="Y154" s="972"/>
    </row>
    <row r="155" spans="1:25" s="979" customFormat="1">
      <c r="A155" s="974" t="s">
        <v>1145</v>
      </c>
      <c r="B155" s="1008" t="s">
        <v>217</v>
      </c>
      <c r="C155" s="1008"/>
      <c r="D155" s="972"/>
      <c r="E155" s="972"/>
      <c r="F155" s="972" t="s">
        <v>1872</v>
      </c>
      <c r="G155" s="972"/>
      <c r="H155" s="972"/>
      <c r="I155" s="972"/>
      <c r="J155" s="1010">
        <f>SUM(J153:J154)</f>
        <v>0</v>
      </c>
      <c r="K155" s="972"/>
      <c r="L155" s="1010">
        <f>SUM(L153:L154)</f>
        <v>0</v>
      </c>
      <c r="M155" s="972"/>
      <c r="N155" s="1011">
        <f>SUM(N153:N154)</f>
        <v>0</v>
      </c>
      <c r="O155" s="972"/>
      <c r="P155" s="1010">
        <f>J155+L155+N155</f>
        <v>0</v>
      </c>
      <c r="Q155" s="972"/>
      <c r="R155" s="1010">
        <f>SUM(R153:R154)</f>
        <v>0</v>
      </c>
      <c r="S155" s="1010">
        <f>SUM(S153:S154)</f>
        <v>0</v>
      </c>
      <c r="T155" s="1010">
        <f>SUM(T153:T154)</f>
        <v>0</v>
      </c>
      <c r="U155" s="972"/>
      <c r="V155" s="1011">
        <f>SUM(V153:V154)</f>
        <v>0</v>
      </c>
      <c r="W155" s="972"/>
      <c r="X155" s="972"/>
      <c r="Y155" s="972"/>
    </row>
    <row r="156" spans="1:25" s="979" customFormat="1" outlineLevel="1">
      <c r="A156" s="972"/>
      <c r="B156" s="973" t="s">
        <v>1873</v>
      </c>
      <c r="C156" s="974"/>
      <c r="D156" s="975"/>
      <c r="E156" s="975"/>
      <c r="F156" s="976"/>
      <c r="G156" s="976"/>
      <c r="H156" s="972"/>
      <c r="I156" s="972"/>
      <c r="J156" s="977"/>
      <c r="K156" s="972"/>
      <c r="L156" s="977"/>
      <c r="M156" s="972"/>
      <c r="N156" s="978"/>
      <c r="O156" s="972"/>
      <c r="P156" s="977">
        <f>J156+L156+N156</f>
        <v>0</v>
      </c>
      <c r="Q156" s="972"/>
      <c r="R156" s="977"/>
      <c r="S156" s="977"/>
      <c r="T156" s="977">
        <f>P156</f>
        <v>0</v>
      </c>
      <c r="U156" s="972"/>
      <c r="V156" s="978">
        <f>T156-S156</f>
        <v>0</v>
      </c>
      <c r="W156" s="972"/>
      <c r="X156" s="972"/>
    </row>
    <row r="157" spans="1:25" s="979" customFormat="1" ht="5.0999999999999996" customHeight="1" outlineLevel="1">
      <c r="A157" s="1008" t="s">
        <v>217</v>
      </c>
      <c r="B157" s="1008" t="s">
        <v>217</v>
      </c>
      <c r="C157" s="1008"/>
      <c r="D157" s="976"/>
      <c r="E157" s="976"/>
      <c r="F157" s="976"/>
      <c r="G157" s="976"/>
      <c r="H157" s="972"/>
      <c r="I157" s="972"/>
      <c r="J157" s="1012"/>
      <c r="K157" s="972"/>
      <c r="L157" s="1012"/>
      <c r="M157" s="972"/>
      <c r="N157" s="1013"/>
      <c r="O157" s="972"/>
      <c r="P157" s="1012"/>
      <c r="Q157" s="972"/>
      <c r="R157" s="1012"/>
      <c r="S157" s="1012"/>
      <c r="T157" s="1012"/>
      <c r="U157" s="972"/>
      <c r="V157" s="1013"/>
      <c r="W157" s="972"/>
      <c r="X157" s="972"/>
      <c r="Y157" s="972"/>
    </row>
    <row r="158" spans="1:25" s="979" customFormat="1">
      <c r="A158" s="974" t="s">
        <v>1873</v>
      </c>
      <c r="B158" s="1008" t="s">
        <v>217</v>
      </c>
      <c r="C158" s="1008"/>
      <c r="D158" s="972"/>
      <c r="E158" s="972"/>
      <c r="F158" s="975" t="s">
        <v>1874</v>
      </c>
      <c r="G158" s="972"/>
      <c r="H158" s="972"/>
      <c r="I158" s="972"/>
      <c r="J158" s="1010">
        <f>SUM(J156:J157)</f>
        <v>0</v>
      </c>
      <c r="K158" s="972"/>
      <c r="L158" s="1010">
        <f>SUM(L156:L157)</f>
        <v>0</v>
      </c>
      <c r="M158" s="972"/>
      <c r="N158" s="1011">
        <f>SUM(N156:N157)</f>
        <v>0</v>
      </c>
      <c r="O158" s="972"/>
      <c r="P158" s="1010">
        <f>J158+L158+N158</f>
        <v>0</v>
      </c>
      <c r="Q158" s="972"/>
      <c r="R158" s="1010">
        <f>SUM(R156:R157)</f>
        <v>0</v>
      </c>
      <c r="S158" s="1010">
        <f>SUM(S156:S157)</f>
        <v>0</v>
      </c>
      <c r="T158" s="1010">
        <f>SUM(T156:T157)</f>
        <v>0</v>
      </c>
      <c r="U158" s="972"/>
      <c r="V158" s="1011">
        <f>SUM(V156:V157)</f>
        <v>0</v>
      </c>
      <c r="W158" s="972"/>
      <c r="X158" s="972"/>
      <c r="Y158" s="972"/>
    </row>
    <row r="159" spans="1:25" s="979" customFormat="1" outlineLevel="1">
      <c r="A159" s="972"/>
      <c r="B159" s="973" t="s">
        <v>1875</v>
      </c>
      <c r="C159" s="974"/>
      <c r="D159" s="975"/>
      <c r="E159" s="975"/>
      <c r="F159" s="976"/>
      <c r="G159" s="976"/>
      <c r="H159" s="972"/>
      <c r="I159" s="972"/>
      <c r="J159" s="977"/>
      <c r="K159" s="972"/>
      <c r="L159" s="977"/>
      <c r="M159" s="972"/>
      <c r="N159" s="978"/>
      <c r="O159" s="972"/>
      <c r="P159" s="977">
        <f>J159+L159+N159</f>
        <v>0</v>
      </c>
      <c r="Q159" s="972"/>
      <c r="R159" s="977"/>
      <c r="S159" s="977"/>
      <c r="T159" s="977">
        <f>P159</f>
        <v>0</v>
      </c>
      <c r="U159" s="972"/>
      <c r="V159" s="978">
        <f>T159-S159</f>
        <v>0</v>
      </c>
      <c r="W159" s="972"/>
      <c r="X159" s="972"/>
    </row>
    <row r="160" spans="1:25" s="979" customFormat="1" ht="5.0999999999999996" customHeight="1" outlineLevel="1">
      <c r="A160" s="1008" t="s">
        <v>217</v>
      </c>
      <c r="B160" s="1008" t="s">
        <v>217</v>
      </c>
      <c r="C160" s="1008"/>
      <c r="D160" s="976"/>
      <c r="E160" s="976"/>
      <c r="F160" s="976"/>
      <c r="G160" s="976"/>
      <c r="H160" s="972"/>
      <c r="I160" s="972"/>
      <c r="J160" s="1012"/>
      <c r="K160" s="972"/>
      <c r="L160" s="1012"/>
      <c r="M160" s="972"/>
      <c r="N160" s="1013"/>
      <c r="O160" s="972"/>
      <c r="P160" s="1012"/>
      <c r="Q160" s="972"/>
      <c r="R160" s="1012"/>
      <c r="S160" s="1012"/>
      <c r="T160" s="1012"/>
      <c r="U160" s="972"/>
      <c r="V160" s="1013"/>
      <c r="W160" s="972"/>
      <c r="X160" s="972"/>
      <c r="Y160" s="972"/>
    </row>
    <row r="161" spans="1:25" s="979" customFormat="1">
      <c r="A161" s="974" t="s">
        <v>1875</v>
      </c>
      <c r="B161" s="974" t="s">
        <v>217</v>
      </c>
      <c r="C161" s="974"/>
      <c r="D161" s="972"/>
      <c r="E161" s="972"/>
      <c r="F161" s="975" t="s">
        <v>1876</v>
      </c>
      <c r="G161" s="972"/>
      <c r="H161" s="972"/>
      <c r="I161" s="972"/>
      <c r="J161" s="1010">
        <f>SUM(J159:J160)</f>
        <v>0</v>
      </c>
      <c r="K161" s="972"/>
      <c r="L161" s="1010">
        <f>SUM(L159:L160)</f>
        <v>0</v>
      </c>
      <c r="M161" s="972"/>
      <c r="N161" s="1011">
        <f>SUM(N159:N160)</f>
        <v>0</v>
      </c>
      <c r="O161" s="972"/>
      <c r="P161" s="1010">
        <f>J161+L161+N161</f>
        <v>0</v>
      </c>
      <c r="Q161" s="972"/>
      <c r="R161" s="1010">
        <f>SUM(R159:R160)</f>
        <v>0</v>
      </c>
      <c r="S161" s="1010">
        <f>SUM(S159:S160)</f>
        <v>0</v>
      </c>
      <c r="T161" s="1010">
        <f>SUM(T159:T160)</f>
        <v>0</v>
      </c>
      <c r="U161" s="972"/>
      <c r="V161" s="1011">
        <f>SUM(V159:V160)</f>
        <v>0</v>
      </c>
      <c r="W161" s="972"/>
      <c r="X161" s="972"/>
      <c r="Y161" s="972"/>
    </row>
    <row r="162" spans="1:25" s="979" customFormat="1" outlineLevel="1">
      <c r="A162" s="972"/>
      <c r="B162" s="973" t="s">
        <v>1149</v>
      </c>
      <c r="C162" s="974"/>
      <c r="D162" s="975">
        <v>17100</v>
      </c>
      <c r="E162" s="975" t="s">
        <v>1877</v>
      </c>
      <c r="F162" s="976"/>
      <c r="G162" s="976"/>
      <c r="H162" s="972"/>
      <c r="I162" s="972"/>
      <c r="J162" s="977">
        <v>-530975.85</v>
      </c>
      <c r="K162" s="972"/>
      <c r="L162" s="977">
        <v>0</v>
      </c>
      <c r="M162" s="972"/>
      <c r="N162" s="978">
        <v>0</v>
      </c>
      <c r="O162" s="972"/>
      <c r="P162" s="977">
        <f>J162+L162+N162</f>
        <v>-530975.85</v>
      </c>
      <c r="Q162" s="972"/>
      <c r="R162" s="977">
        <v>-2110350.13</v>
      </c>
      <c r="S162" s="977">
        <v>-1006076.35</v>
      </c>
      <c r="T162" s="977">
        <f t="shared" ref="T162:T163" si="21">P162</f>
        <v>-530975.85</v>
      </c>
      <c r="U162" s="972"/>
      <c r="V162" s="978">
        <f t="shared" ref="V162:V163" si="22">T162-S162</f>
        <v>475100.5</v>
      </c>
      <c r="W162" s="972"/>
      <c r="X162" s="972"/>
    </row>
    <row r="163" spans="1:25" s="979" customFormat="1" outlineLevel="1">
      <c r="A163" s="972"/>
      <c r="B163" s="973" t="s">
        <v>223</v>
      </c>
      <c r="C163" s="974"/>
      <c r="D163" s="975">
        <v>18100</v>
      </c>
      <c r="E163" s="975" t="s">
        <v>1878</v>
      </c>
      <c r="F163" s="976"/>
      <c r="G163" s="976"/>
      <c r="H163" s="972"/>
      <c r="I163" s="972"/>
      <c r="J163" s="977">
        <v>429371514.66000003</v>
      </c>
      <c r="K163" s="972"/>
      <c r="L163" s="977">
        <v>0</v>
      </c>
      <c r="M163" s="972"/>
      <c r="N163" s="978">
        <v>0</v>
      </c>
      <c r="O163" s="972"/>
      <c r="P163" s="977">
        <f>J163+L163+N163</f>
        <v>429371514.66000003</v>
      </c>
      <c r="Q163" s="972"/>
      <c r="R163" s="977">
        <v>429371514.66000003</v>
      </c>
      <c r="S163" s="977">
        <v>429371514.66000003</v>
      </c>
      <c r="T163" s="977">
        <f t="shared" si="21"/>
        <v>429371514.66000003</v>
      </c>
      <c r="U163" s="972"/>
      <c r="V163" s="978">
        <f t="shared" si="22"/>
        <v>0</v>
      </c>
      <c r="W163" s="972"/>
      <c r="X163" s="972"/>
    </row>
    <row r="164" spans="1:25" s="979" customFormat="1" ht="5.0999999999999996" customHeight="1" outlineLevel="1">
      <c r="A164" s="974" t="s">
        <v>217</v>
      </c>
      <c r="B164" s="974" t="s">
        <v>217</v>
      </c>
      <c r="C164" s="974"/>
      <c r="D164" s="976"/>
      <c r="E164" s="976"/>
      <c r="F164" s="976"/>
      <c r="G164" s="976"/>
      <c r="H164" s="972"/>
      <c r="I164" s="972"/>
      <c r="J164" s="1012"/>
      <c r="K164" s="972"/>
      <c r="L164" s="1012"/>
      <c r="M164" s="972"/>
      <c r="N164" s="1013"/>
      <c r="O164" s="972"/>
      <c r="P164" s="1012"/>
      <c r="Q164" s="972"/>
      <c r="R164" s="1012"/>
      <c r="S164" s="1012"/>
      <c r="T164" s="1012"/>
      <c r="U164" s="972"/>
      <c r="V164" s="1013"/>
      <c r="W164" s="972"/>
      <c r="X164" s="972"/>
      <c r="Y164" s="972"/>
    </row>
    <row r="165" spans="1:25" s="979" customFormat="1">
      <c r="A165" s="974" t="s">
        <v>1149</v>
      </c>
      <c r="B165" s="974" t="s">
        <v>217</v>
      </c>
      <c r="C165" s="974"/>
      <c r="D165" s="972"/>
      <c r="E165" s="972"/>
      <c r="F165" s="975" t="s">
        <v>1150</v>
      </c>
      <c r="G165" s="972"/>
      <c r="H165" s="972"/>
      <c r="I165" s="972"/>
      <c r="J165" s="1010">
        <f>SUM(J162:J164)</f>
        <v>428840538.81</v>
      </c>
      <c r="K165" s="972"/>
      <c r="L165" s="1010">
        <f>SUM(L162:L164)</f>
        <v>0</v>
      </c>
      <c r="M165" s="972"/>
      <c r="N165" s="1011">
        <f>SUM(N162:N164)</f>
        <v>0</v>
      </c>
      <c r="O165" s="972"/>
      <c r="P165" s="1010">
        <f>J165+L165+N165</f>
        <v>428840538.81</v>
      </c>
      <c r="Q165" s="972"/>
      <c r="R165" s="1010">
        <f>SUM(R162:R164)</f>
        <v>427261164.53000003</v>
      </c>
      <c r="S165" s="1010">
        <f>SUM(S162:S164)</f>
        <v>428365438.31</v>
      </c>
      <c r="T165" s="1010">
        <f>SUM(T162:T164)</f>
        <v>428840538.81</v>
      </c>
      <c r="U165" s="972"/>
      <c r="V165" s="1011">
        <f>SUM(V162:V164)</f>
        <v>475100.5</v>
      </c>
      <c r="W165" s="972"/>
      <c r="X165" s="972"/>
      <c r="Y165" s="972"/>
    </row>
    <row r="166" spans="1:25" s="979" customFormat="1" ht="7.5" customHeight="1">
      <c r="A166" s="974" t="s">
        <v>217</v>
      </c>
      <c r="B166" s="1008" t="s">
        <v>217</v>
      </c>
      <c r="C166" s="1008"/>
      <c r="D166" s="972"/>
      <c r="E166" s="972"/>
      <c r="F166" s="972"/>
      <c r="G166" s="972"/>
      <c r="H166" s="972"/>
      <c r="I166" s="972"/>
      <c r="J166" s="1015"/>
      <c r="K166" s="972"/>
      <c r="L166" s="1015"/>
      <c r="M166" s="972"/>
      <c r="N166" s="978"/>
      <c r="O166" s="972"/>
      <c r="P166" s="1015"/>
      <c r="Q166" s="972"/>
      <c r="R166" s="1015"/>
      <c r="S166" s="1015"/>
      <c r="T166" s="1015"/>
      <c r="U166" s="972"/>
      <c r="V166" s="978"/>
      <c r="W166" s="972"/>
      <c r="X166" s="972"/>
      <c r="Y166" s="972"/>
    </row>
    <row r="167" spans="1:25" s="979" customFormat="1" ht="13.5" thickBot="1">
      <c r="A167" s="974" t="s">
        <v>217</v>
      </c>
      <c r="B167" s="1008" t="s">
        <v>217</v>
      </c>
      <c r="C167" s="1008"/>
      <c r="D167" s="972"/>
      <c r="E167" s="1016" t="s">
        <v>1879</v>
      </c>
      <c r="F167" s="972"/>
      <c r="G167" s="972"/>
      <c r="H167" s="972"/>
      <c r="I167" s="972"/>
      <c r="J167" s="1022">
        <f>SUM(J125,J128,J133,J149,J152,J155,J158,J161,J165,J59)</f>
        <v>471407359.51999998</v>
      </c>
      <c r="K167" s="972"/>
      <c r="L167" s="1022">
        <f>SUM(L125,L128,L133,L149,L152,L155,L158,L161,L165,L59)</f>
        <v>0</v>
      </c>
      <c r="M167" s="972"/>
      <c r="N167" s="1023">
        <f>SUM(N125,N128,N133,N149,N152,N155,N158,N161,N165,N59)</f>
        <v>0</v>
      </c>
      <c r="O167" s="972"/>
      <c r="P167" s="1022">
        <f>SUM(P125,P128,P133,P149,P152,P155,P158,P161,P165,P59)</f>
        <v>471407359.51999998</v>
      </c>
      <c r="Q167" s="972"/>
      <c r="R167" s="1022">
        <f>SUM(R125,R128,R133,R149,R152,R155,R158,R161,R165,R59)</f>
        <v>469540625.84000003</v>
      </c>
      <c r="S167" s="1022">
        <f>SUM(S125,S128,S133,S149,S152,S155,S158,S161,S165,S59)</f>
        <v>470528469.31</v>
      </c>
      <c r="T167" s="1022">
        <f>SUM(T125,T128,T133,T149,T152,T155,T158,T161,T165,T59)</f>
        <v>471407359.51999998</v>
      </c>
      <c r="U167" s="972"/>
      <c r="V167" s="1023">
        <f>SUM(V125,V128,V133,V149,V152,V155,V158,V161,V165,V59)</f>
        <v>878890.20999999426</v>
      </c>
      <c r="W167" s="972"/>
      <c r="X167" s="972"/>
      <c r="Y167" s="972"/>
    </row>
    <row r="168" spans="1:25" s="979" customFormat="1" ht="7.5" customHeight="1" thickTop="1">
      <c r="A168" s="1008" t="s">
        <v>217</v>
      </c>
      <c r="B168" s="1008"/>
      <c r="C168" s="1008"/>
      <c r="D168" s="972"/>
      <c r="E168" s="1016"/>
      <c r="F168" s="972"/>
      <c r="G168" s="972"/>
      <c r="H168" s="972"/>
      <c r="I168" s="972"/>
      <c r="J168" s="1011"/>
      <c r="K168" s="1020"/>
      <c r="L168" s="1011"/>
      <c r="M168" s="1020"/>
      <c r="N168" s="1011"/>
      <c r="O168" s="1020"/>
      <c r="P168" s="1011"/>
      <c r="Q168" s="1020"/>
      <c r="R168" s="1011"/>
      <c r="S168" s="1011"/>
      <c r="T168" s="1011"/>
      <c r="U168" s="1020"/>
      <c r="V168" s="1011"/>
      <c r="W168" s="972"/>
      <c r="X168" s="972"/>
      <c r="Y168" s="972"/>
    </row>
    <row r="169" spans="1:25" s="979" customFormat="1" outlineLevel="1">
      <c r="A169" s="972"/>
      <c r="B169" s="973" t="s">
        <v>1880</v>
      </c>
      <c r="C169" s="974"/>
      <c r="D169" s="975"/>
      <c r="E169" s="975"/>
      <c r="F169" s="976"/>
      <c r="G169" s="976"/>
      <c r="H169" s="972"/>
      <c r="I169" s="972"/>
      <c r="J169" s="977"/>
      <c r="K169" s="972"/>
      <c r="L169" s="977"/>
      <c r="M169" s="972"/>
      <c r="N169" s="978"/>
      <c r="O169" s="972"/>
      <c r="P169" s="977">
        <f>J169+L169+N169</f>
        <v>0</v>
      </c>
      <c r="Q169" s="972"/>
      <c r="R169" s="977"/>
      <c r="S169" s="977"/>
      <c r="T169" s="977">
        <f>P169</f>
        <v>0</v>
      </c>
      <c r="U169" s="972"/>
      <c r="V169" s="978">
        <f>T169-S169</f>
        <v>0</v>
      </c>
      <c r="W169" s="972"/>
      <c r="X169" s="972"/>
    </row>
    <row r="170" spans="1:25" s="979" customFormat="1" ht="5.0999999999999996" customHeight="1" outlineLevel="1">
      <c r="A170" s="1008"/>
      <c r="B170" s="1008"/>
      <c r="C170" s="1008"/>
      <c r="D170" s="975"/>
      <c r="E170" s="975"/>
      <c r="F170" s="972"/>
      <c r="G170" s="972"/>
      <c r="H170" s="972"/>
      <c r="I170" s="972"/>
      <c r="J170" s="1012"/>
      <c r="K170" s="972"/>
      <c r="L170" s="1012"/>
      <c r="M170" s="972"/>
      <c r="N170" s="1013"/>
      <c r="O170" s="972"/>
      <c r="P170" s="1012"/>
      <c r="Q170" s="972"/>
      <c r="R170" s="1012"/>
      <c r="S170" s="1012"/>
      <c r="T170" s="1012"/>
      <c r="U170" s="972"/>
      <c r="V170" s="1013"/>
      <c r="W170" s="972"/>
      <c r="X170" s="972"/>
      <c r="Y170" s="972"/>
    </row>
    <row r="171" spans="1:25" s="979" customFormat="1" ht="12.75" customHeight="1">
      <c r="A171" s="974" t="s">
        <v>1880</v>
      </c>
      <c r="B171" s="1008" t="s">
        <v>217</v>
      </c>
      <c r="C171" s="1008"/>
      <c r="D171" s="972"/>
      <c r="E171" s="972"/>
      <c r="F171" s="972" t="s">
        <v>1881</v>
      </c>
      <c r="G171" s="972"/>
      <c r="H171" s="972"/>
      <c r="I171" s="972"/>
      <c r="J171" s="1010">
        <f>SUM(J169:J170)</f>
        <v>0</v>
      </c>
      <c r="K171" s="972"/>
      <c r="L171" s="1010">
        <f>SUM(L169:L170)</f>
        <v>0</v>
      </c>
      <c r="M171" s="972"/>
      <c r="N171" s="1011">
        <f>SUM(N169:N170)</f>
        <v>0</v>
      </c>
      <c r="O171" s="972"/>
      <c r="P171" s="1010">
        <f>J171+L171+N171</f>
        <v>0</v>
      </c>
      <c r="Q171" s="972"/>
      <c r="R171" s="1010">
        <f>SUM(R169:R170)</f>
        <v>0</v>
      </c>
      <c r="S171" s="1010">
        <f>SUM(S169:S170)</f>
        <v>0</v>
      </c>
      <c r="T171" s="1010">
        <f>SUM(T169:T170)</f>
        <v>0</v>
      </c>
      <c r="U171" s="972"/>
      <c r="V171" s="1011">
        <f>SUM(V169:V170)</f>
        <v>0</v>
      </c>
      <c r="W171" s="972"/>
      <c r="X171" s="972"/>
      <c r="Y171" s="972"/>
    </row>
    <row r="172" spans="1:25" s="979" customFormat="1" outlineLevel="1">
      <c r="A172" s="1008"/>
      <c r="B172" s="974" t="s">
        <v>217</v>
      </c>
      <c r="C172" s="974"/>
      <c r="D172" s="972"/>
      <c r="E172" s="972"/>
      <c r="F172" s="972"/>
      <c r="G172" s="972"/>
      <c r="H172" s="972"/>
      <c r="I172" s="972"/>
      <c r="J172" s="1015"/>
      <c r="K172" s="972"/>
      <c r="L172" s="1015"/>
      <c r="M172" s="972"/>
      <c r="N172" s="978"/>
      <c r="O172" s="972"/>
      <c r="P172" s="1015"/>
      <c r="Q172" s="972"/>
      <c r="R172" s="1015"/>
      <c r="S172" s="1015"/>
      <c r="T172" s="1015"/>
      <c r="U172" s="972"/>
      <c r="V172" s="978"/>
      <c r="W172" s="972"/>
      <c r="X172" s="972"/>
      <c r="Y172" s="972"/>
    </row>
    <row r="173" spans="1:25" s="979" customFormat="1" outlineLevel="1">
      <c r="A173" s="972"/>
      <c r="B173" s="973" t="s">
        <v>1163</v>
      </c>
      <c r="C173" s="974"/>
      <c r="D173" s="975"/>
      <c r="E173" s="975"/>
      <c r="F173" s="976"/>
      <c r="G173" s="976"/>
      <c r="H173" s="972"/>
      <c r="I173" s="972"/>
      <c r="J173" s="977"/>
      <c r="K173" s="972"/>
      <c r="L173" s="977"/>
      <c r="M173" s="972"/>
      <c r="N173" s="978"/>
      <c r="O173" s="972"/>
      <c r="P173" s="977">
        <f>J173+L173+N173</f>
        <v>0</v>
      </c>
      <c r="Q173" s="972"/>
      <c r="R173" s="977"/>
      <c r="S173" s="977"/>
      <c r="T173" s="977">
        <f>P173</f>
        <v>0</v>
      </c>
      <c r="U173" s="972"/>
      <c r="V173" s="978">
        <f>T173-S173</f>
        <v>0</v>
      </c>
      <c r="W173" s="972"/>
      <c r="X173" s="972"/>
    </row>
    <row r="174" spans="1:25" s="979" customFormat="1" ht="5.0999999999999996" customHeight="1" outlineLevel="1">
      <c r="A174" s="974" t="s">
        <v>217</v>
      </c>
      <c r="B174" s="974" t="s">
        <v>217</v>
      </c>
      <c r="C174" s="974"/>
      <c r="D174" s="976"/>
      <c r="E174" s="976"/>
      <c r="F174" s="976"/>
      <c r="G174" s="976"/>
      <c r="H174" s="972"/>
      <c r="I174" s="972"/>
      <c r="J174" s="1012"/>
      <c r="K174" s="972"/>
      <c r="L174" s="1012"/>
      <c r="M174" s="972"/>
      <c r="N174" s="1013"/>
      <c r="O174" s="972"/>
      <c r="P174" s="1012"/>
      <c r="Q174" s="972"/>
      <c r="R174" s="1012"/>
      <c r="S174" s="1012"/>
      <c r="T174" s="1012"/>
      <c r="U174" s="972"/>
      <c r="V174" s="1013"/>
      <c r="W174" s="972"/>
      <c r="X174" s="972"/>
      <c r="Y174" s="972"/>
    </row>
    <row r="175" spans="1:25" s="979" customFormat="1" ht="12.75" customHeight="1">
      <c r="A175" s="974" t="s">
        <v>1163</v>
      </c>
      <c r="B175" s="974" t="s">
        <v>217</v>
      </c>
      <c r="C175" s="974"/>
      <c r="D175" s="972"/>
      <c r="E175" s="972"/>
      <c r="F175" s="975" t="s">
        <v>1882</v>
      </c>
      <c r="G175" s="972"/>
      <c r="H175" s="972"/>
      <c r="I175" s="972"/>
      <c r="J175" s="1010">
        <f>SUM(J173:J174)</f>
        <v>0</v>
      </c>
      <c r="K175" s="972"/>
      <c r="L175" s="1010">
        <f>SUM(L173:L174)</f>
        <v>0</v>
      </c>
      <c r="M175" s="972"/>
      <c r="N175" s="1011">
        <f>SUM(N173:N174)</f>
        <v>0</v>
      </c>
      <c r="O175" s="972"/>
      <c r="P175" s="1010">
        <f t="shared" ref="P175:P185" si="23">J175+L175+N175</f>
        <v>0</v>
      </c>
      <c r="Q175" s="972"/>
      <c r="R175" s="1010">
        <f>SUM(R173:R174)</f>
        <v>0</v>
      </c>
      <c r="S175" s="1010">
        <f>SUM(S173:S174)</f>
        <v>0</v>
      </c>
      <c r="T175" s="1010">
        <f>SUM(T173:T174)</f>
        <v>0</v>
      </c>
      <c r="U175" s="972"/>
      <c r="V175" s="1011">
        <f>SUM(V173:V174)</f>
        <v>0</v>
      </c>
      <c r="W175" s="972"/>
      <c r="X175" s="972"/>
      <c r="Y175" s="972"/>
    </row>
    <row r="176" spans="1:25" s="979" customFormat="1" outlineLevel="1">
      <c r="A176" s="972"/>
      <c r="B176" s="973" t="s">
        <v>1153</v>
      </c>
      <c r="C176" s="974"/>
      <c r="D176" s="975">
        <v>20120</v>
      </c>
      <c r="E176" s="975" t="s">
        <v>1883</v>
      </c>
      <c r="F176" s="976"/>
      <c r="G176" s="976"/>
      <c r="H176" s="972"/>
      <c r="I176" s="972"/>
      <c r="J176" s="977">
        <v>108700.88</v>
      </c>
      <c r="K176" s="972"/>
      <c r="L176" s="977">
        <v>0</v>
      </c>
      <c r="M176" s="972"/>
      <c r="N176" s="978">
        <v>0</v>
      </c>
      <c r="O176" s="972"/>
      <c r="P176" s="977">
        <f t="shared" si="23"/>
        <v>108700.88</v>
      </c>
      <c r="Q176" s="972"/>
      <c r="R176" s="977">
        <v>132505.54</v>
      </c>
      <c r="S176" s="977">
        <v>150960.81</v>
      </c>
      <c r="T176" s="977">
        <f t="shared" ref="T176:T185" si="24">P176</f>
        <v>108700.88</v>
      </c>
      <c r="U176" s="972"/>
      <c r="V176" s="978">
        <f t="shared" ref="V176:V185" si="25">T176-S176</f>
        <v>-42259.929999999993</v>
      </c>
      <c r="W176" s="972"/>
      <c r="X176" s="972"/>
    </row>
    <row r="177" spans="1:25" s="979" customFormat="1" outlineLevel="1">
      <c r="A177" s="972"/>
      <c r="B177" s="973" t="s">
        <v>223</v>
      </c>
      <c r="C177" s="974"/>
      <c r="D177" s="975">
        <v>20121</v>
      </c>
      <c r="E177" s="975" t="s">
        <v>1884</v>
      </c>
      <c r="F177" s="976"/>
      <c r="G177" s="976"/>
      <c r="H177" s="972"/>
      <c r="I177" s="972"/>
      <c r="J177" s="977">
        <v>59003.76</v>
      </c>
      <c r="K177" s="972"/>
      <c r="L177" s="977">
        <v>0</v>
      </c>
      <c r="M177" s="972"/>
      <c r="N177" s="978">
        <v>0</v>
      </c>
      <c r="O177" s="972"/>
      <c r="P177" s="977">
        <f t="shared" si="23"/>
        <v>59003.76</v>
      </c>
      <c r="Q177" s="972"/>
      <c r="R177" s="977">
        <v>0</v>
      </c>
      <c r="S177" s="977">
        <v>0</v>
      </c>
      <c r="T177" s="977">
        <f t="shared" si="24"/>
        <v>59003.76</v>
      </c>
      <c r="U177" s="972"/>
      <c r="V177" s="978">
        <f t="shared" si="25"/>
        <v>59003.76</v>
      </c>
      <c r="W177" s="972"/>
      <c r="X177" s="972"/>
    </row>
    <row r="178" spans="1:25" s="979" customFormat="1" outlineLevel="1">
      <c r="A178" s="972"/>
      <c r="B178" s="973" t="s">
        <v>223</v>
      </c>
      <c r="C178" s="974"/>
      <c r="D178" s="975">
        <v>20123</v>
      </c>
      <c r="E178" s="975" t="s">
        <v>1885</v>
      </c>
      <c r="F178" s="976"/>
      <c r="G178" s="976"/>
      <c r="H178" s="972"/>
      <c r="I178" s="972"/>
      <c r="J178" s="977">
        <v>29650.9</v>
      </c>
      <c r="K178" s="972"/>
      <c r="L178" s="977">
        <v>0</v>
      </c>
      <c r="M178" s="972"/>
      <c r="N178" s="978">
        <v>0</v>
      </c>
      <c r="O178" s="972"/>
      <c r="P178" s="977">
        <f t="shared" si="23"/>
        <v>29650.9</v>
      </c>
      <c r="Q178" s="972"/>
      <c r="R178" s="977">
        <v>30632.22</v>
      </c>
      <c r="S178" s="977">
        <v>24530.04</v>
      </c>
      <c r="T178" s="977">
        <f t="shared" si="24"/>
        <v>29650.9</v>
      </c>
      <c r="U178" s="972"/>
      <c r="V178" s="978">
        <f t="shared" si="25"/>
        <v>5120.8600000000006</v>
      </c>
      <c r="W178" s="972"/>
      <c r="X178" s="972"/>
    </row>
    <row r="179" spans="1:25" s="979" customFormat="1" outlineLevel="1">
      <c r="A179" s="972"/>
      <c r="B179" s="973" t="s">
        <v>223</v>
      </c>
      <c r="C179" s="974"/>
      <c r="D179" s="975">
        <v>20140</v>
      </c>
      <c r="E179" s="975" t="s">
        <v>1886</v>
      </c>
      <c r="F179" s="976"/>
      <c r="G179" s="976"/>
      <c r="H179" s="972"/>
      <c r="I179" s="972"/>
      <c r="J179" s="977">
        <v>30748.03</v>
      </c>
      <c r="K179" s="972"/>
      <c r="L179" s="977">
        <v>0</v>
      </c>
      <c r="M179" s="972"/>
      <c r="N179" s="978">
        <v>0</v>
      </c>
      <c r="O179" s="972"/>
      <c r="P179" s="977">
        <f t="shared" si="23"/>
        <v>30748.03</v>
      </c>
      <c r="Q179" s="972"/>
      <c r="R179" s="977">
        <v>6932.49</v>
      </c>
      <c r="S179" s="977">
        <v>10028.23</v>
      </c>
      <c r="T179" s="977">
        <f t="shared" si="24"/>
        <v>30748.03</v>
      </c>
      <c r="U179" s="972"/>
      <c r="V179" s="978">
        <f t="shared" si="25"/>
        <v>20719.8</v>
      </c>
      <c r="W179" s="972"/>
      <c r="X179" s="972"/>
    </row>
    <row r="180" spans="1:25" s="979" customFormat="1" outlineLevel="1">
      <c r="A180" s="972"/>
      <c r="B180" s="973" t="s">
        <v>223</v>
      </c>
      <c r="C180" s="974"/>
      <c r="D180" s="975">
        <v>20165</v>
      </c>
      <c r="E180" s="975" t="s">
        <v>1887</v>
      </c>
      <c r="F180" s="976"/>
      <c r="G180" s="976"/>
      <c r="H180" s="972"/>
      <c r="I180" s="972"/>
      <c r="J180" s="977">
        <v>1047.1400000000001</v>
      </c>
      <c r="K180" s="972"/>
      <c r="L180" s="977">
        <v>0</v>
      </c>
      <c r="M180" s="972"/>
      <c r="N180" s="978">
        <v>0</v>
      </c>
      <c r="O180" s="972"/>
      <c r="P180" s="977">
        <f t="shared" si="23"/>
        <v>1047.1400000000001</v>
      </c>
      <c r="Q180" s="972"/>
      <c r="R180" s="977">
        <v>0</v>
      </c>
      <c r="S180" s="977">
        <v>-130</v>
      </c>
      <c r="T180" s="977">
        <f t="shared" si="24"/>
        <v>1047.1400000000001</v>
      </c>
      <c r="U180" s="972"/>
      <c r="V180" s="978">
        <f t="shared" si="25"/>
        <v>1177.1400000000001</v>
      </c>
      <c r="W180" s="972"/>
      <c r="X180" s="972"/>
    </row>
    <row r="181" spans="1:25" s="979" customFormat="1" outlineLevel="1">
      <c r="A181" s="972"/>
      <c r="B181" s="973" t="s">
        <v>223</v>
      </c>
      <c r="C181" s="974"/>
      <c r="D181" s="975">
        <v>20170</v>
      </c>
      <c r="E181" s="975" t="s">
        <v>1888</v>
      </c>
      <c r="F181" s="976"/>
      <c r="G181" s="976"/>
      <c r="H181" s="972"/>
      <c r="I181" s="972"/>
      <c r="J181" s="977">
        <v>164680.84</v>
      </c>
      <c r="K181" s="972"/>
      <c r="L181" s="977">
        <v>0</v>
      </c>
      <c r="M181" s="972"/>
      <c r="N181" s="978">
        <v>0</v>
      </c>
      <c r="O181" s="972"/>
      <c r="P181" s="977">
        <f t="shared" si="23"/>
        <v>164680.84</v>
      </c>
      <c r="Q181" s="972"/>
      <c r="R181" s="977">
        <v>162365.14000000001</v>
      </c>
      <c r="S181" s="977">
        <v>165683.24</v>
      </c>
      <c r="T181" s="977">
        <f t="shared" si="24"/>
        <v>164680.84</v>
      </c>
      <c r="U181" s="972"/>
      <c r="V181" s="978">
        <f t="shared" si="25"/>
        <v>-1002.3999999999942</v>
      </c>
      <c r="W181" s="972"/>
      <c r="X181" s="972"/>
    </row>
    <row r="182" spans="1:25" s="979" customFormat="1" outlineLevel="1">
      <c r="A182" s="972"/>
      <c r="B182" s="973" t="s">
        <v>223</v>
      </c>
      <c r="C182" s="974"/>
      <c r="D182" s="975">
        <v>20175</v>
      </c>
      <c r="E182" s="975" t="s">
        <v>1889</v>
      </c>
      <c r="F182" s="976"/>
      <c r="G182" s="976"/>
      <c r="H182" s="972"/>
      <c r="I182" s="972"/>
      <c r="J182" s="977">
        <v>538320.46</v>
      </c>
      <c r="K182" s="972"/>
      <c r="L182" s="977">
        <v>0</v>
      </c>
      <c r="M182" s="972"/>
      <c r="N182" s="978">
        <v>0</v>
      </c>
      <c r="O182" s="972"/>
      <c r="P182" s="977">
        <f t="shared" si="23"/>
        <v>538320.46</v>
      </c>
      <c r="Q182" s="972"/>
      <c r="R182" s="977">
        <v>518392.43</v>
      </c>
      <c r="S182" s="977">
        <v>525380.23</v>
      </c>
      <c r="T182" s="977">
        <f t="shared" si="24"/>
        <v>538320.46</v>
      </c>
      <c r="U182" s="972"/>
      <c r="V182" s="978">
        <f t="shared" si="25"/>
        <v>12940.229999999981</v>
      </c>
      <c r="W182" s="972"/>
      <c r="X182" s="972"/>
    </row>
    <row r="183" spans="1:25" s="979" customFormat="1" outlineLevel="1">
      <c r="A183" s="972"/>
      <c r="B183" s="973" t="s">
        <v>223</v>
      </c>
      <c r="C183" s="974"/>
      <c r="D183" s="975">
        <v>20177</v>
      </c>
      <c r="E183" s="975" t="s">
        <v>1890</v>
      </c>
      <c r="F183" s="976"/>
      <c r="G183" s="976"/>
      <c r="H183" s="972"/>
      <c r="I183" s="972"/>
      <c r="J183" s="977">
        <v>32272.02</v>
      </c>
      <c r="K183" s="972"/>
      <c r="L183" s="977">
        <v>0</v>
      </c>
      <c r="M183" s="972"/>
      <c r="N183" s="978">
        <v>0</v>
      </c>
      <c r="O183" s="972"/>
      <c r="P183" s="977">
        <f t="shared" si="23"/>
        <v>32272.02</v>
      </c>
      <c r="Q183" s="972"/>
      <c r="R183" s="977">
        <v>31975.64</v>
      </c>
      <c r="S183" s="977">
        <v>32169.279999999999</v>
      </c>
      <c r="T183" s="977">
        <f t="shared" si="24"/>
        <v>32272.02</v>
      </c>
      <c r="U183" s="972"/>
      <c r="V183" s="978">
        <f t="shared" si="25"/>
        <v>102.7400000000016</v>
      </c>
      <c r="W183" s="972"/>
      <c r="X183" s="972"/>
    </row>
    <row r="184" spans="1:25" s="979" customFormat="1" outlineLevel="1">
      <c r="A184" s="972"/>
      <c r="B184" s="973" t="s">
        <v>223</v>
      </c>
      <c r="C184" s="974"/>
      <c r="D184" s="975">
        <v>20178</v>
      </c>
      <c r="E184" s="975" t="s">
        <v>1891</v>
      </c>
      <c r="F184" s="976"/>
      <c r="G184" s="976"/>
      <c r="H184" s="972"/>
      <c r="I184" s="972"/>
      <c r="J184" s="977">
        <v>79939.64</v>
      </c>
      <c r="K184" s="972"/>
      <c r="L184" s="977">
        <v>0</v>
      </c>
      <c r="M184" s="972"/>
      <c r="N184" s="978">
        <v>0</v>
      </c>
      <c r="O184" s="972"/>
      <c r="P184" s="977">
        <f t="shared" si="23"/>
        <v>79939.64</v>
      </c>
      <c r="Q184" s="972"/>
      <c r="R184" s="977">
        <v>61827.6</v>
      </c>
      <c r="S184" s="977">
        <v>71112.87</v>
      </c>
      <c r="T184" s="977">
        <f t="shared" si="24"/>
        <v>79939.64</v>
      </c>
      <c r="U184" s="972"/>
      <c r="V184" s="978">
        <f t="shared" si="25"/>
        <v>8826.7700000000041</v>
      </c>
      <c r="W184" s="972"/>
      <c r="X184" s="972"/>
    </row>
    <row r="185" spans="1:25" s="979" customFormat="1" outlineLevel="1">
      <c r="A185" s="972"/>
      <c r="B185" s="973" t="s">
        <v>223</v>
      </c>
      <c r="C185" s="974"/>
      <c r="D185" s="975">
        <v>20180</v>
      </c>
      <c r="E185" s="975" t="s">
        <v>1892</v>
      </c>
      <c r="F185" s="976"/>
      <c r="G185" s="976"/>
      <c r="H185" s="972"/>
      <c r="I185" s="972"/>
      <c r="J185" s="977">
        <v>178628.68</v>
      </c>
      <c r="K185" s="972"/>
      <c r="L185" s="977">
        <v>0</v>
      </c>
      <c r="M185" s="972"/>
      <c r="N185" s="978">
        <v>0</v>
      </c>
      <c r="O185" s="972"/>
      <c r="P185" s="977">
        <f t="shared" si="23"/>
        <v>178628.68</v>
      </c>
      <c r="Q185" s="972"/>
      <c r="R185" s="977">
        <v>176931.48</v>
      </c>
      <c r="S185" s="977">
        <v>182554.01</v>
      </c>
      <c r="T185" s="977">
        <f t="shared" si="24"/>
        <v>178628.68</v>
      </c>
      <c r="U185" s="972"/>
      <c r="V185" s="978">
        <f t="shared" si="25"/>
        <v>-3925.3300000000163</v>
      </c>
      <c r="W185" s="972"/>
      <c r="X185" s="972"/>
    </row>
    <row r="186" spans="1:25" s="979" customFormat="1" ht="5.0999999999999996" customHeight="1" outlineLevel="1">
      <c r="A186" s="974" t="s">
        <v>217</v>
      </c>
      <c r="B186" s="974" t="s">
        <v>217</v>
      </c>
      <c r="C186" s="974"/>
      <c r="D186" s="976"/>
      <c r="E186" s="976"/>
      <c r="F186" s="976"/>
      <c r="G186" s="976"/>
      <c r="H186" s="972"/>
      <c r="I186" s="972"/>
      <c r="J186" s="1012"/>
      <c r="K186" s="972"/>
      <c r="L186" s="1012"/>
      <c r="M186" s="972"/>
      <c r="N186" s="1013"/>
      <c r="O186" s="972"/>
      <c r="P186" s="1012"/>
      <c r="Q186" s="972"/>
      <c r="R186" s="1012"/>
      <c r="S186" s="1012"/>
      <c r="T186" s="1012"/>
      <c r="U186" s="972"/>
      <c r="V186" s="1013"/>
      <c r="W186" s="972"/>
      <c r="X186" s="972"/>
      <c r="Y186" s="972"/>
    </row>
    <row r="187" spans="1:25" s="979" customFormat="1">
      <c r="A187" s="974" t="s">
        <v>1153</v>
      </c>
      <c r="B187" s="974" t="s">
        <v>217</v>
      </c>
      <c r="C187" s="974"/>
      <c r="D187" s="972"/>
      <c r="E187" s="972"/>
      <c r="F187" s="975" t="s">
        <v>1893</v>
      </c>
      <c r="G187" s="972"/>
      <c r="H187" s="972"/>
      <c r="I187" s="972"/>
      <c r="J187" s="1010">
        <f>SUM(J176:J186)</f>
        <v>1222992.3500000001</v>
      </c>
      <c r="K187" s="972"/>
      <c r="L187" s="1010">
        <f>SUM(L176:L186)</f>
        <v>0</v>
      </c>
      <c r="M187" s="972"/>
      <c r="N187" s="1011">
        <f>SUM(N176:N186)</f>
        <v>0</v>
      </c>
      <c r="O187" s="972"/>
      <c r="P187" s="1010">
        <f>J187+L187+N187</f>
        <v>1222992.3500000001</v>
      </c>
      <c r="Q187" s="972"/>
      <c r="R187" s="1010">
        <f>SUM(R176:R186)</f>
        <v>1121562.54</v>
      </c>
      <c r="S187" s="1010">
        <f>SUM(S176:S186)</f>
        <v>1162288.71</v>
      </c>
      <c r="T187" s="1010">
        <f>SUM(T176:T186)</f>
        <v>1222992.3500000001</v>
      </c>
      <c r="U187" s="972"/>
      <c r="V187" s="1011">
        <f>SUM(V176:V186)</f>
        <v>60703.639999999985</v>
      </c>
      <c r="W187" s="972"/>
      <c r="X187" s="972"/>
      <c r="Y187" s="972"/>
    </row>
    <row r="188" spans="1:25" s="979" customFormat="1" outlineLevel="1">
      <c r="A188" s="972"/>
      <c r="B188" s="973" t="s">
        <v>1161</v>
      </c>
      <c r="C188" s="974"/>
      <c r="D188" s="975">
        <v>20300</v>
      </c>
      <c r="E188" s="975" t="s">
        <v>1894</v>
      </c>
      <c r="F188" s="976"/>
      <c r="G188" s="976"/>
      <c r="H188" s="972"/>
      <c r="I188" s="972"/>
      <c r="J188" s="977">
        <v>1324702.8700000001</v>
      </c>
      <c r="K188" s="972"/>
      <c r="L188" s="977">
        <v>0</v>
      </c>
      <c r="M188" s="972"/>
      <c r="N188" s="978">
        <v>0</v>
      </c>
      <c r="O188" s="972"/>
      <c r="P188" s="977">
        <f>J188+L188+N188</f>
        <v>1324702.8700000001</v>
      </c>
      <c r="Q188" s="972"/>
      <c r="R188" s="977">
        <v>1298502.56</v>
      </c>
      <c r="S188" s="977">
        <v>1366052.12</v>
      </c>
      <c r="T188" s="977">
        <f>P188</f>
        <v>1324702.8700000001</v>
      </c>
      <c r="U188" s="972"/>
      <c r="V188" s="978">
        <f>T188-S188</f>
        <v>-41349.25</v>
      </c>
      <c r="W188" s="972"/>
      <c r="X188" s="972"/>
    </row>
    <row r="189" spans="1:25" s="979" customFormat="1" ht="5.0999999999999996" customHeight="1" outlineLevel="1">
      <c r="A189" s="974" t="s">
        <v>217</v>
      </c>
      <c r="B189" s="1008" t="s">
        <v>217</v>
      </c>
      <c r="C189" s="1008"/>
      <c r="D189" s="976"/>
      <c r="E189" s="976"/>
      <c r="F189" s="976"/>
      <c r="G189" s="976"/>
      <c r="H189" s="972"/>
      <c r="I189" s="972"/>
      <c r="J189" s="1012"/>
      <c r="K189" s="972"/>
      <c r="L189" s="1012"/>
      <c r="M189" s="972"/>
      <c r="N189" s="1013"/>
      <c r="O189" s="972"/>
      <c r="P189" s="1012"/>
      <c r="Q189" s="972"/>
      <c r="R189" s="1012"/>
      <c r="S189" s="1012"/>
      <c r="T189" s="1012"/>
      <c r="U189" s="972"/>
      <c r="V189" s="1013"/>
      <c r="W189" s="972"/>
      <c r="X189" s="972"/>
      <c r="Y189" s="972"/>
    </row>
    <row r="190" spans="1:25" s="979" customFormat="1">
      <c r="A190" s="974" t="s">
        <v>1161</v>
      </c>
      <c r="B190" s="1008" t="s">
        <v>217</v>
      </c>
      <c r="C190" s="1008"/>
      <c r="D190" s="972"/>
      <c r="E190" s="972"/>
      <c r="F190" s="975" t="s">
        <v>1895</v>
      </c>
      <c r="G190" s="972"/>
      <c r="H190" s="972"/>
      <c r="I190" s="972"/>
      <c r="J190" s="1010">
        <f>SUM(J188:J189)</f>
        <v>1324702.8700000001</v>
      </c>
      <c r="K190" s="972"/>
      <c r="L190" s="1010">
        <f>SUM(L188:L189)</f>
        <v>0</v>
      </c>
      <c r="M190" s="972"/>
      <c r="N190" s="1011">
        <f>SUM(N188:N189)</f>
        <v>0</v>
      </c>
      <c r="O190" s="972"/>
      <c r="P190" s="1010">
        <f t="shared" ref="P190:P198" si="26">J190+L190+N190</f>
        <v>1324702.8700000001</v>
      </c>
      <c r="Q190" s="972"/>
      <c r="R190" s="1010">
        <f>SUM(R188:R189)</f>
        <v>1298502.56</v>
      </c>
      <c r="S190" s="1010">
        <f>SUM(S188:S189)</f>
        <v>1366052.12</v>
      </c>
      <c r="T190" s="1010">
        <f>SUM(T188:T189)</f>
        <v>1324702.8700000001</v>
      </c>
      <c r="U190" s="972"/>
      <c r="V190" s="1011">
        <f>SUM(V188:V189)</f>
        <v>-41349.25</v>
      </c>
      <c r="W190" s="972"/>
      <c r="X190" s="972"/>
      <c r="Y190" s="972"/>
    </row>
    <row r="191" spans="1:25" s="979" customFormat="1" outlineLevel="1">
      <c r="A191" s="972"/>
      <c r="B191" s="973" t="s">
        <v>1157</v>
      </c>
      <c r="C191" s="974"/>
      <c r="D191" s="975">
        <v>20320</v>
      </c>
      <c r="E191" s="975" t="s">
        <v>1896</v>
      </c>
      <c r="F191" s="976"/>
      <c r="G191" s="976"/>
      <c r="H191" s="972"/>
      <c r="I191" s="972"/>
      <c r="J191" s="977">
        <v>466406.71</v>
      </c>
      <c r="K191" s="972"/>
      <c r="L191" s="977">
        <v>0</v>
      </c>
      <c r="M191" s="972"/>
      <c r="N191" s="978">
        <v>0</v>
      </c>
      <c r="O191" s="972"/>
      <c r="P191" s="977">
        <f t="shared" si="26"/>
        <v>466406.71</v>
      </c>
      <c r="Q191" s="972"/>
      <c r="R191" s="977">
        <v>294543.55</v>
      </c>
      <c r="S191" s="977">
        <v>434003.83</v>
      </c>
      <c r="T191" s="977">
        <f t="shared" ref="T191:T198" si="27">P191</f>
        <v>466406.71</v>
      </c>
      <c r="U191" s="972"/>
      <c r="V191" s="978">
        <f t="shared" ref="V191:V198" si="28">T191-S191</f>
        <v>32402.880000000005</v>
      </c>
      <c r="W191" s="972"/>
      <c r="X191" s="972"/>
    </row>
    <row r="192" spans="1:25" s="979" customFormat="1" outlineLevel="1">
      <c r="A192" s="972"/>
      <c r="B192" s="973" t="s">
        <v>223</v>
      </c>
      <c r="C192" s="974"/>
      <c r="D192" s="975">
        <v>20321</v>
      </c>
      <c r="E192" s="975" t="s">
        <v>1897</v>
      </c>
      <c r="F192" s="976"/>
      <c r="G192" s="976"/>
      <c r="H192" s="972"/>
      <c r="I192" s="972"/>
      <c r="J192" s="977">
        <v>326954.49</v>
      </c>
      <c r="K192" s="972"/>
      <c r="L192" s="977">
        <v>0</v>
      </c>
      <c r="M192" s="972"/>
      <c r="N192" s="978">
        <v>0</v>
      </c>
      <c r="O192" s="972"/>
      <c r="P192" s="977">
        <f t="shared" si="26"/>
        <v>326954.49</v>
      </c>
      <c r="Q192" s="972"/>
      <c r="R192" s="977">
        <v>357770.79</v>
      </c>
      <c r="S192" s="977">
        <v>347729.93</v>
      </c>
      <c r="T192" s="977">
        <f t="shared" si="27"/>
        <v>326954.49</v>
      </c>
      <c r="U192" s="972"/>
      <c r="V192" s="978">
        <f t="shared" si="28"/>
        <v>-20775.440000000002</v>
      </c>
      <c r="W192" s="972"/>
      <c r="X192" s="972"/>
    </row>
    <row r="193" spans="1:25" s="979" customFormat="1" outlineLevel="1">
      <c r="A193" s="972"/>
      <c r="B193" s="973" t="s">
        <v>223</v>
      </c>
      <c r="C193" s="974"/>
      <c r="D193" s="975">
        <v>20325</v>
      </c>
      <c r="E193" s="975" t="s">
        <v>1898</v>
      </c>
      <c r="F193" s="976"/>
      <c r="G193" s="976"/>
      <c r="H193" s="972"/>
      <c r="I193" s="972"/>
      <c r="J193" s="977">
        <v>0</v>
      </c>
      <c r="K193" s="972"/>
      <c r="L193" s="977">
        <v>0</v>
      </c>
      <c r="M193" s="972"/>
      <c r="N193" s="978">
        <v>0</v>
      </c>
      <c r="O193" s="972"/>
      <c r="P193" s="977">
        <f t="shared" si="26"/>
        <v>0</v>
      </c>
      <c r="Q193" s="972"/>
      <c r="R193" s="977">
        <v>0</v>
      </c>
      <c r="S193" s="977">
        <v>0</v>
      </c>
      <c r="T193" s="977">
        <f t="shared" si="27"/>
        <v>0</v>
      </c>
      <c r="U193" s="972"/>
      <c r="V193" s="978">
        <f t="shared" si="28"/>
        <v>0</v>
      </c>
      <c r="W193" s="972"/>
      <c r="X193" s="972"/>
    </row>
    <row r="194" spans="1:25" s="979" customFormat="1" outlineLevel="1">
      <c r="A194" s="972"/>
      <c r="B194" s="973" t="s">
        <v>223</v>
      </c>
      <c r="C194" s="974"/>
      <c r="D194" s="975">
        <v>20340</v>
      </c>
      <c r="E194" s="975" t="s">
        <v>1899</v>
      </c>
      <c r="F194" s="976"/>
      <c r="G194" s="976"/>
      <c r="H194" s="972"/>
      <c r="I194" s="972"/>
      <c r="J194" s="977">
        <v>66880.13</v>
      </c>
      <c r="K194" s="972"/>
      <c r="L194" s="977">
        <v>0</v>
      </c>
      <c r="M194" s="972"/>
      <c r="N194" s="978">
        <v>0</v>
      </c>
      <c r="O194" s="972"/>
      <c r="P194" s="977">
        <f t="shared" si="26"/>
        <v>66880.13</v>
      </c>
      <c r="Q194" s="972"/>
      <c r="R194" s="977">
        <v>66144.78</v>
      </c>
      <c r="S194" s="977">
        <v>77814.2</v>
      </c>
      <c r="T194" s="977">
        <f t="shared" si="27"/>
        <v>66880.13</v>
      </c>
      <c r="U194" s="972"/>
      <c r="V194" s="978">
        <f t="shared" si="28"/>
        <v>-10934.069999999992</v>
      </c>
      <c r="W194" s="972"/>
      <c r="X194" s="972"/>
    </row>
    <row r="195" spans="1:25" s="979" customFormat="1" outlineLevel="1">
      <c r="A195" s="972"/>
      <c r="B195" s="973" t="s">
        <v>223</v>
      </c>
      <c r="C195" s="974"/>
      <c r="D195" s="975">
        <v>20351</v>
      </c>
      <c r="E195" s="975" t="s">
        <v>1900</v>
      </c>
      <c r="F195" s="976"/>
      <c r="G195" s="976"/>
      <c r="H195" s="972"/>
      <c r="I195" s="972"/>
      <c r="J195" s="977">
        <v>15927.51</v>
      </c>
      <c r="K195" s="972"/>
      <c r="L195" s="977">
        <v>0</v>
      </c>
      <c r="M195" s="972"/>
      <c r="N195" s="978">
        <v>0</v>
      </c>
      <c r="O195" s="972"/>
      <c r="P195" s="977">
        <f t="shared" si="26"/>
        <v>15927.51</v>
      </c>
      <c r="Q195" s="972"/>
      <c r="R195" s="977">
        <v>20302.03</v>
      </c>
      <c r="S195" s="977">
        <v>10618.34</v>
      </c>
      <c r="T195" s="977">
        <f t="shared" si="27"/>
        <v>15927.51</v>
      </c>
      <c r="U195" s="972"/>
      <c r="V195" s="978">
        <f t="shared" si="28"/>
        <v>5309.17</v>
      </c>
      <c r="W195" s="972"/>
      <c r="X195" s="972"/>
    </row>
    <row r="196" spans="1:25" s="979" customFormat="1" outlineLevel="1">
      <c r="A196" s="972"/>
      <c r="B196" s="973" t="s">
        <v>223</v>
      </c>
      <c r="C196" s="974"/>
      <c r="D196" s="975">
        <v>20360</v>
      </c>
      <c r="E196" s="975" t="s">
        <v>1901</v>
      </c>
      <c r="F196" s="976"/>
      <c r="G196" s="976"/>
      <c r="H196" s="972"/>
      <c r="I196" s="972"/>
      <c r="J196" s="977">
        <v>0</v>
      </c>
      <c r="K196" s="972"/>
      <c r="L196" s="977">
        <v>0</v>
      </c>
      <c r="M196" s="972"/>
      <c r="N196" s="978">
        <v>0</v>
      </c>
      <c r="O196" s="972"/>
      <c r="P196" s="977">
        <f t="shared" si="26"/>
        <v>0</v>
      </c>
      <c r="Q196" s="972"/>
      <c r="R196" s="977">
        <v>0</v>
      </c>
      <c r="S196" s="977">
        <v>0</v>
      </c>
      <c r="T196" s="977">
        <f t="shared" si="27"/>
        <v>0</v>
      </c>
      <c r="U196" s="972"/>
      <c r="V196" s="978">
        <f t="shared" si="28"/>
        <v>0</v>
      </c>
      <c r="W196" s="972"/>
      <c r="X196" s="972"/>
    </row>
    <row r="197" spans="1:25" s="979" customFormat="1" outlineLevel="1">
      <c r="A197" s="972"/>
      <c r="B197" s="973" t="s">
        <v>223</v>
      </c>
      <c r="C197" s="974"/>
      <c r="D197" s="975">
        <v>20397</v>
      </c>
      <c r="E197" s="975" t="s">
        <v>1902</v>
      </c>
      <c r="F197" s="976"/>
      <c r="G197" s="976"/>
      <c r="H197" s="972"/>
      <c r="I197" s="972"/>
      <c r="J197" s="977">
        <v>77.53</v>
      </c>
      <c r="K197" s="972"/>
      <c r="L197" s="977">
        <v>0</v>
      </c>
      <c r="M197" s="972"/>
      <c r="N197" s="978">
        <v>0</v>
      </c>
      <c r="O197" s="972"/>
      <c r="P197" s="977">
        <f t="shared" si="26"/>
        <v>77.53</v>
      </c>
      <c r="Q197" s="972"/>
      <c r="R197" s="977">
        <v>77.53</v>
      </c>
      <c r="S197" s="977">
        <v>77.53</v>
      </c>
      <c r="T197" s="977">
        <f t="shared" si="27"/>
        <v>77.53</v>
      </c>
      <c r="U197" s="972"/>
      <c r="V197" s="978">
        <f t="shared" si="28"/>
        <v>0</v>
      </c>
      <c r="W197" s="972"/>
      <c r="X197" s="972"/>
    </row>
    <row r="198" spans="1:25" s="979" customFormat="1" outlineLevel="1">
      <c r="A198" s="972"/>
      <c r="B198" s="973" t="s">
        <v>223</v>
      </c>
      <c r="C198" s="974"/>
      <c r="D198" s="975">
        <v>20709</v>
      </c>
      <c r="E198" s="975" t="s">
        <v>1903</v>
      </c>
      <c r="F198" s="976"/>
      <c r="G198" s="976"/>
      <c r="H198" s="972"/>
      <c r="I198" s="972"/>
      <c r="J198" s="977">
        <v>16390622.810000001</v>
      </c>
      <c r="K198" s="972"/>
      <c r="L198" s="977">
        <v>0</v>
      </c>
      <c r="M198" s="972"/>
      <c r="N198" s="978">
        <v>0</v>
      </c>
      <c r="O198" s="972"/>
      <c r="P198" s="977">
        <f t="shared" si="26"/>
        <v>16390622.810000001</v>
      </c>
      <c r="Q198" s="972"/>
      <c r="R198" s="977">
        <v>12728249.210000001</v>
      </c>
      <c r="S198" s="977">
        <v>14589455.460000001</v>
      </c>
      <c r="T198" s="977">
        <f t="shared" si="27"/>
        <v>16390622.810000001</v>
      </c>
      <c r="U198" s="972"/>
      <c r="V198" s="978">
        <f t="shared" si="28"/>
        <v>1801167.3499999996</v>
      </c>
      <c r="W198" s="972"/>
      <c r="X198" s="972"/>
    </row>
    <row r="199" spans="1:25" s="979" customFormat="1" ht="4.5" customHeight="1" outlineLevel="1">
      <c r="A199" s="1008" t="s">
        <v>217</v>
      </c>
      <c r="B199" s="1008" t="s">
        <v>217</v>
      </c>
      <c r="C199" s="1008"/>
      <c r="D199" s="1019"/>
      <c r="E199" s="972"/>
      <c r="F199" s="972"/>
      <c r="G199" s="972"/>
      <c r="H199" s="972"/>
      <c r="I199" s="972"/>
      <c r="J199" s="1012"/>
      <c r="K199" s="972"/>
      <c r="L199" s="1012"/>
      <c r="M199" s="972"/>
      <c r="N199" s="1013"/>
      <c r="O199" s="972"/>
      <c r="P199" s="1012"/>
      <c r="Q199" s="972"/>
      <c r="R199" s="1012"/>
      <c r="S199" s="1012"/>
      <c r="T199" s="1012"/>
      <c r="U199" s="972"/>
      <c r="V199" s="1013"/>
      <c r="W199" s="972"/>
      <c r="X199" s="972"/>
      <c r="Y199" s="972"/>
    </row>
    <row r="200" spans="1:25" s="979" customFormat="1">
      <c r="A200" s="974" t="s">
        <v>1157</v>
      </c>
      <c r="B200" s="1008" t="s">
        <v>217</v>
      </c>
      <c r="C200" s="1008"/>
      <c r="D200" s="972"/>
      <c r="E200" s="972"/>
      <c r="F200" s="972" t="s">
        <v>1904</v>
      </c>
      <c r="G200" s="972"/>
      <c r="H200" s="972"/>
      <c r="I200" s="972"/>
      <c r="J200" s="1010">
        <f>SUM(J191:J199)</f>
        <v>17266869.18</v>
      </c>
      <c r="K200" s="972"/>
      <c r="L200" s="1010">
        <f>SUM(L191:L199)</f>
        <v>0</v>
      </c>
      <c r="M200" s="972"/>
      <c r="N200" s="1011">
        <f>SUM(N191:N199)</f>
        <v>0</v>
      </c>
      <c r="O200" s="972"/>
      <c r="P200" s="1010">
        <f>J200+L200+N200</f>
        <v>17266869.18</v>
      </c>
      <c r="Q200" s="972"/>
      <c r="R200" s="1010">
        <f>SUM(R191:R199)</f>
        <v>13467087.890000001</v>
      </c>
      <c r="S200" s="1010">
        <f>SUM(S191:S199)</f>
        <v>15459699.290000001</v>
      </c>
      <c r="T200" s="1010">
        <f>SUM(T191:T199)</f>
        <v>17266869.18</v>
      </c>
      <c r="U200" s="972"/>
      <c r="V200" s="1011">
        <f>SUM(V191:V199)</f>
        <v>1807169.8899999997</v>
      </c>
      <c r="W200" s="972"/>
      <c r="X200" s="972"/>
      <c r="Y200" s="972"/>
    </row>
    <row r="201" spans="1:25" s="979" customFormat="1" ht="7.5" customHeight="1">
      <c r="A201" s="1008" t="s">
        <v>217</v>
      </c>
      <c r="B201" s="1008" t="s">
        <v>217</v>
      </c>
      <c r="C201" s="1008"/>
      <c r="D201" s="972"/>
      <c r="E201" s="972"/>
      <c r="F201" s="972"/>
      <c r="G201" s="972"/>
      <c r="H201" s="972"/>
      <c r="I201" s="972"/>
      <c r="J201" s="1015"/>
      <c r="K201" s="972"/>
      <c r="L201" s="1015"/>
      <c r="M201" s="972"/>
      <c r="N201" s="978"/>
      <c r="O201" s="972"/>
      <c r="P201" s="1015"/>
      <c r="Q201" s="972"/>
      <c r="R201" s="1015"/>
      <c r="S201" s="1015"/>
      <c r="T201" s="1015"/>
      <c r="U201" s="972"/>
      <c r="V201" s="978"/>
      <c r="W201" s="972"/>
      <c r="X201" s="972"/>
      <c r="Y201" s="972"/>
    </row>
    <row r="202" spans="1:25" s="979" customFormat="1">
      <c r="A202" s="1008" t="s">
        <v>217</v>
      </c>
      <c r="B202" s="1008" t="s">
        <v>217</v>
      </c>
      <c r="C202" s="1008"/>
      <c r="D202" s="972"/>
      <c r="E202" s="1016" t="s">
        <v>1905</v>
      </c>
      <c r="F202" s="972"/>
      <c r="G202" s="972"/>
      <c r="H202" s="972"/>
      <c r="I202" s="972"/>
      <c r="J202" s="1017">
        <f>SUM(J175,J187,J190,J200,J171)</f>
        <v>19814564.399999999</v>
      </c>
      <c r="K202" s="972"/>
      <c r="L202" s="1017">
        <f>SUM(L175,L187,L190,L200,L171)</f>
        <v>0</v>
      </c>
      <c r="M202" s="972"/>
      <c r="N202" s="1018">
        <f>SUM(N175,N187,N190,N200)</f>
        <v>0</v>
      </c>
      <c r="O202" s="972"/>
      <c r="P202" s="1017">
        <f>SUM(P175,P187,P190,P200,P171)</f>
        <v>19814564.399999999</v>
      </c>
      <c r="Q202" s="972"/>
      <c r="R202" s="1017">
        <f>SUM(R175,R187,R190,R200,R171)</f>
        <v>15887152.99</v>
      </c>
      <c r="S202" s="1017">
        <f>SUM(S175,S187,S190,S200,S171)</f>
        <v>17988040.120000001</v>
      </c>
      <c r="T202" s="1017">
        <f>SUM(T175,T187,T190,T200,T171)</f>
        <v>19814564.399999999</v>
      </c>
      <c r="U202" s="972"/>
      <c r="V202" s="1018">
        <f>SUM(V175,V187,V190,V200,V171)</f>
        <v>1826524.2799999996</v>
      </c>
      <c r="W202" s="972"/>
      <c r="X202" s="972"/>
      <c r="Y202" s="972"/>
    </row>
    <row r="203" spans="1:25" s="979" customFormat="1" ht="7.5" customHeight="1">
      <c r="A203" s="1008" t="s">
        <v>217</v>
      </c>
      <c r="B203" s="1008" t="s">
        <v>217</v>
      </c>
      <c r="C203" s="1008"/>
      <c r="D203" s="972"/>
      <c r="E203" s="972"/>
      <c r="F203" s="972"/>
      <c r="G203" s="972"/>
      <c r="H203" s="972"/>
      <c r="I203" s="972"/>
      <c r="J203" s="1015"/>
      <c r="K203" s="972"/>
      <c r="L203" s="1015"/>
      <c r="M203" s="972"/>
      <c r="N203" s="978"/>
      <c r="O203" s="972"/>
      <c r="P203" s="1015"/>
      <c r="Q203" s="972"/>
      <c r="R203" s="1015"/>
      <c r="S203" s="1015"/>
      <c r="T203" s="1015"/>
      <c r="U203" s="972"/>
      <c r="V203" s="978"/>
      <c r="W203" s="972"/>
      <c r="X203" s="972"/>
      <c r="Y203" s="972"/>
    </row>
    <row r="204" spans="1:25" s="979" customFormat="1" outlineLevel="1">
      <c r="A204" s="1008" t="s">
        <v>217</v>
      </c>
      <c r="B204" s="1008" t="s">
        <v>217</v>
      </c>
      <c r="C204" s="1008"/>
      <c r="D204" s="972"/>
      <c r="E204" s="972"/>
      <c r="F204" s="972"/>
      <c r="G204" s="972"/>
      <c r="H204" s="972"/>
      <c r="I204" s="972"/>
      <c r="J204" s="1015"/>
      <c r="K204" s="972"/>
      <c r="L204" s="1015"/>
      <c r="M204" s="972"/>
      <c r="N204" s="978"/>
      <c r="O204" s="972"/>
      <c r="P204" s="1015"/>
      <c r="Q204" s="972"/>
      <c r="R204" s="1015"/>
      <c r="S204" s="1015"/>
      <c r="T204" s="1015"/>
      <c r="U204" s="972"/>
      <c r="V204" s="978"/>
      <c r="W204" s="972"/>
      <c r="X204" s="972"/>
      <c r="Y204" s="972"/>
    </row>
    <row r="205" spans="1:25" s="979" customFormat="1" outlineLevel="1">
      <c r="A205" s="972"/>
      <c r="B205" s="973" t="s">
        <v>1906</v>
      </c>
      <c r="C205" s="974"/>
      <c r="D205" s="975">
        <v>21609</v>
      </c>
      <c r="E205" s="975" t="s">
        <v>1907</v>
      </c>
      <c r="F205" s="976"/>
      <c r="G205" s="976"/>
      <c r="H205" s="972"/>
      <c r="I205" s="972"/>
      <c r="J205" s="977">
        <v>371427164.10000002</v>
      </c>
      <c r="K205" s="972"/>
      <c r="L205" s="977">
        <v>0</v>
      </c>
      <c r="M205" s="972"/>
      <c r="N205" s="978">
        <v>0</v>
      </c>
      <c r="O205" s="972"/>
      <c r="P205" s="977">
        <f>J205+L205+N205</f>
        <v>371427164.10000002</v>
      </c>
      <c r="Q205" s="972"/>
      <c r="R205" s="977">
        <v>371427164.10000002</v>
      </c>
      <c r="S205" s="977">
        <v>371427164.10000002</v>
      </c>
      <c r="T205" s="977">
        <f>P205</f>
        <v>371427164.10000002</v>
      </c>
      <c r="U205" s="972"/>
      <c r="V205" s="978">
        <f>T205-S205</f>
        <v>0</v>
      </c>
      <c r="W205" s="972"/>
      <c r="X205" s="972"/>
    </row>
    <row r="206" spans="1:25" s="979" customFormat="1" ht="5.0999999999999996" customHeight="1" outlineLevel="1">
      <c r="A206" s="1008" t="s">
        <v>217</v>
      </c>
      <c r="B206" s="1008" t="s">
        <v>217</v>
      </c>
      <c r="C206" s="1008"/>
      <c r="D206" s="976"/>
      <c r="E206" s="976"/>
      <c r="F206" s="976"/>
      <c r="G206" s="976"/>
      <c r="H206" s="972"/>
      <c r="I206" s="972"/>
      <c r="J206" s="1012"/>
      <c r="K206" s="972"/>
      <c r="L206" s="1012"/>
      <c r="M206" s="972"/>
      <c r="N206" s="1013"/>
      <c r="O206" s="972"/>
      <c r="P206" s="1012"/>
      <c r="Q206" s="972"/>
      <c r="R206" s="1012"/>
      <c r="S206" s="1012"/>
      <c r="T206" s="1012"/>
      <c r="U206" s="972"/>
      <c r="V206" s="1013"/>
      <c r="W206" s="972"/>
      <c r="X206" s="972"/>
      <c r="Y206" s="972"/>
    </row>
    <row r="207" spans="1:25" s="979" customFormat="1">
      <c r="A207" s="974" t="s">
        <v>1906</v>
      </c>
      <c r="B207" s="1008" t="s">
        <v>217</v>
      </c>
      <c r="C207" s="1008"/>
      <c r="D207" s="972"/>
      <c r="E207" s="972"/>
      <c r="F207" s="975" t="s">
        <v>1908</v>
      </c>
      <c r="G207" s="972"/>
      <c r="H207" s="972"/>
      <c r="I207" s="972"/>
      <c r="J207" s="1010">
        <f>SUM(J205:J206)</f>
        <v>371427164.10000002</v>
      </c>
      <c r="K207" s="972"/>
      <c r="L207" s="1010">
        <f>SUM(L205:L206)</f>
        <v>0</v>
      </c>
      <c r="M207" s="972"/>
      <c r="N207" s="1011">
        <f>SUM(N205:N206)</f>
        <v>0</v>
      </c>
      <c r="O207" s="972"/>
      <c r="P207" s="1010">
        <f>J207+L207+N207</f>
        <v>371427164.10000002</v>
      </c>
      <c r="Q207" s="972"/>
      <c r="R207" s="1010">
        <f>SUM(R205:R206)</f>
        <v>371427164.10000002</v>
      </c>
      <c r="S207" s="1010">
        <f>SUM(S205:S206)</f>
        <v>371427164.10000002</v>
      </c>
      <c r="T207" s="1010">
        <f>SUM(T205:T206)</f>
        <v>371427164.10000002</v>
      </c>
      <c r="U207" s="972"/>
      <c r="V207" s="1011">
        <f>SUM(V205:V206)</f>
        <v>0</v>
      </c>
      <c r="W207" s="972"/>
      <c r="X207" s="972"/>
      <c r="Y207" s="972"/>
    </row>
    <row r="208" spans="1:25" s="979" customFormat="1" outlineLevel="1">
      <c r="A208" s="972"/>
      <c r="B208" s="973" t="s">
        <v>1155</v>
      </c>
      <c r="C208" s="974"/>
      <c r="D208" s="975"/>
      <c r="E208" s="975"/>
      <c r="F208" s="976"/>
      <c r="G208" s="976"/>
      <c r="H208" s="972"/>
      <c r="I208" s="972"/>
      <c r="J208" s="977"/>
      <c r="K208" s="972"/>
      <c r="L208" s="977"/>
      <c r="M208" s="972"/>
      <c r="N208" s="978"/>
      <c r="O208" s="972"/>
      <c r="P208" s="977">
        <f>J208+L208+N208</f>
        <v>0</v>
      </c>
      <c r="Q208" s="972"/>
      <c r="R208" s="977"/>
      <c r="S208" s="977"/>
      <c r="T208" s="977">
        <f>P208</f>
        <v>0</v>
      </c>
      <c r="U208" s="972"/>
      <c r="V208" s="978">
        <f>T208-S208</f>
        <v>0</v>
      </c>
      <c r="W208" s="972"/>
      <c r="X208" s="972"/>
    </row>
    <row r="209" spans="1:25" s="979" customFormat="1" ht="5.0999999999999996" customHeight="1" outlineLevel="1">
      <c r="A209" s="1008" t="s">
        <v>217</v>
      </c>
      <c r="B209" s="1008" t="s">
        <v>217</v>
      </c>
      <c r="C209" s="1008"/>
      <c r="D209" s="976"/>
      <c r="E209" s="976"/>
      <c r="F209" s="976"/>
      <c r="G209" s="976"/>
      <c r="H209" s="972"/>
      <c r="I209" s="972"/>
      <c r="J209" s="1012"/>
      <c r="K209" s="972"/>
      <c r="L209" s="1012"/>
      <c r="M209" s="972"/>
      <c r="N209" s="1013"/>
      <c r="O209" s="972"/>
      <c r="P209" s="1012"/>
      <c r="Q209" s="972"/>
      <c r="R209" s="1012"/>
      <c r="S209" s="1012"/>
      <c r="T209" s="1012"/>
      <c r="U209" s="972"/>
      <c r="V209" s="1013"/>
      <c r="W209" s="972"/>
      <c r="X209" s="972"/>
      <c r="Y209" s="972"/>
    </row>
    <row r="210" spans="1:25" s="979" customFormat="1">
      <c r="A210" s="974" t="s">
        <v>1155</v>
      </c>
      <c r="B210" s="1008" t="s">
        <v>217</v>
      </c>
      <c r="C210" s="1008"/>
      <c r="D210" s="972"/>
      <c r="E210" s="972"/>
      <c r="F210" s="975" t="s">
        <v>1909</v>
      </c>
      <c r="G210" s="972"/>
      <c r="H210" s="972"/>
      <c r="I210" s="972"/>
      <c r="J210" s="1010">
        <f>SUM(J208:J209)</f>
        <v>0</v>
      </c>
      <c r="K210" s="972"/>
      <c r="L210" s="1010">
        <f>SUM(L208:L209)</f>
        <v>0</v>
      </c>
      <c r="M210" s="972"/>
      <c r="N210" s="1011">
        <f>SUM(N208:N209)</f>
        <v>0</v>
      </c>
      <c r="O210" s="972"/>
      <c r="P210" s="1010">
        <f>J210+L210+N210</f>
        <v>0</v>
      </c>
      <c r="Q210" s="972"/>
      <c r="R210" s="1010">
        <f>SUM(R208:R209)</f>
        <v>0</v>
      </c>
      <c r="S210" s="1010">
        <f>SUM(S208:S209)</f>
        <v>0</v>
      </c>
      <c r="T210" s="1010">
        <f>SUM(T208:T209)</f>
        <v>0</v>
      </c>
      <c r="U210" s="972"/>
      <c r="V210" s="1011">
        <f>SUM(V208:V209)</f>
        <v>0</v>
      </c>
      <c r="W210" s="972"/>
      <c r="X210" s="972"/>
      <c r="Y210" s="972"/>
    </row>
    <row r="211" spans="1:25" s="979" customFormat="1" outlineLevel="1">
      <c r="A211" s="972"/>
      <c r="B211" s="973" t="s">
        <v>1172</v>
      </c>
      <c r="C211" s="974"/>
      <c r="D211" s="975">
        <v>22016</v>
      </c>
      <c r="E211" s="975" t="s">
        <v>1910</v>
      </c>
      <c r="F211" s="976"/>
      <c r="G211" s="976"/>
      <c r="H211" s="972"/>
      <c r="I211" s="972"/>
      <c r="J211" s="977">
        <v>11387.04</v>
      </c>
      <c r="K211" s="972"/>
      <c r="L211" s="977">
        <v>0</v>
      </c>
      <c r="M211" s="972"/>
      <c r="N211" s="978">
        <v>0</v>
      </c>
      <c r="O211" s="972"/>
      <c r="P211" s="977">
        <f>J211+L211+N211</f>
        <v>11387.04</v>
      </c>
      <c r="Q211" s="972"/>
      <c r="R211" s="977">
        <v>10553.16</v>
      </c>
      <c r="S211" s="977">
        <v>10970.1</v>
      </c>
      <c r="T211" s="977">
        <f>P211</f>
        <v>11387.04</v>
      </c>
      <c r="U211" s="972"/>
      <c r="V211" s="978">
        <f>T211-S211</f>
        <v>416.94000000000051</v>
      </c>
      <c r="W211" s="972"/>
      <c r="X211" s="972"/>
    </row>
    <row r="212" spans="1:25" s="979" customFormat="1" ht="5.0999999999999996" customHeight="1" outlineLevel="1">
      <c r="A212" s="1008" t="s">
        <v>217</v>
      </c>
      <c r="B212" s="974" t="s">
        <v>217</v>
      </c>
      <c r="C212" s="974"/>
      <c r="D212" s="976"/>
      <c r="E212" s="976"/>
      <c r="F212" s="976"/>
      <c r="G212" s="976"/>
      <c r="H212" s="972"/>
      <c r="I212" s="972"/>
      <c r="J212" s="1012"/>
      <c r="K212" s="972"/>
      <c r="L212" s="1012"/>
      <c r="M212" s="972"/>
      <c r="N212" s="1013"/>
      <c r="O212" s="972"/>
      <c r="P212" s="1012"/>
      <c r="Q212" s="972"/>
      <c r="R212" s="1012"/>
      <c r="S212" s="1012"/>
      <c r="T212" s="1012"/>
      <c r="U212" s="972"/>
      <c r="V212" s="1013"/>
      <c r="W212" s="972"/>
      <c r="X212" s="972"/>
      <c r="Y212" s="972"/>
    </row>
    <row r="213" spans="1:25" s="979" customFormat="1">
      <c r="A213" s="974" t="s">
        <v>1172</v>
      </c>
      <c r="B213" s="974" t="s">
        <v>217</v>
      </c>
      <c r="C213" s="974"/>
      <c r="D213" s="972"/>
      <c r="E213" s="972"/>
      <c r="F213" s="975" t="s">
        <v>1911</v>
      </c>
      <c r="G213" s="972"/>
      <c r="H213" s="972"/>
      <c r="I213" s="972"/>
      <c r="J213" s="1010">
        <f>SUM(J211:J212)</f>
        <v>11387.04</v>
      </c>
      <c r="K213" s="972"/>
      <c r="L213" s="1010">
        <f>SUM(L211:L212)</f>
        <v>0</v>
      </c>
      <c r="M213" s="972"/>
      <c r="N213" s="1011">
        <f>SUM(N211:N212)</f>
        <v>0</v>
      </c>
      <c r="O213" s="972"/>
      <c r="P213" s="1010">
        <f>J213+L213+N213</f>
        <v>11387.04</v>
      </c>
      <c r="Q213" s="972"/>
      <c r="R213" s="1010">
        <f>SUM(R211:R212)</f>
        <v>10553.16</v>
      </c>
      <c r="S213" s="1010">
        <f>SUM(S211:S212)</f>
        <v>10970.1</v>
      </c>
      <c r="T213" s="1010">
        <f>SUM(T211:T212)</f>
        <v>11387.04</v>
      </c>
      <c r="U213" s="972"/>
      <c r="V213" s="1011">
        <f>SUM(V211:V212)</f>
        <v>416.94000000000051</v>
      </c>
      <c r="W213" s="972"/>
      <c r="X213" s="972"/>
      <c r="Y213" s="972"/>
    </row>
    <row r="214" spans="1:25" s="979" customFormat="1" outlineLevel="1">
      <c r="A214" s="972"/>
      <c r="B214" s="973" t="s">
        <v>1912</v>
      </c>
      <c r="C214" s="974"/>
      <c r="D214" s="975"/>
      <c r="E214" s="975"/>
      <c r="F214" s="976"/>
      <c r="G214" s="976"/>
      <c r="H214" s="972"/>
      <c r="I214" s="972"/>
      <c r="J214" s="977"/>
      <c r="K214" s="972"/>
      <c r="L214" s="977"/>
      <c r="M214" s="972"/>
      <c r="N214" s="978"/>
      <c r="O214" s="972"/>
      <c r="P214" s="977">
        <f>J214+L214+N214</f>
        <v>0</v>
      </c>
      <c r="Q214" s="972"/>
      <c r="R214" s="977"/>
      <c r="S214" s="977"/>
      <c r="T214" s="977">
        <f>P214</f>
        <v>0</v>
      </c>
      <c r="U214" s="972"/>
      <c r="V214" s="978">
        <f>T214-S214</f>
        <v>0</v>
      </c>
      <c r="W214" s="972"/>
      <c r="X214" s="972"/>
    </row>
    <row r="215" spans="1:25" s="979" customFormat="1" ht="5.0999999999999996" customHeight="1" outlineLevel="1">
      <c r="A215" s="974" t="s">
        <v>217</v>
      </c>
      <c r="B215" s="1008"/>
      <c r="C215" s="1008"/>
      <c r="D215" s="975"/>
      <c r="E215" s="975"/>
      <c r="F215" s="972"/>
      <c r="G215" s="972"/>
      <c r="H215" s="972"/>
      <c r="I215" s="972"/>
      <c r="J215" s="1012"/>
      <c r="K215" s="972"/>
      <c r="L215" s="1012"/>
      <c r="M215" s="972"/>
      <c r="N215" s="1013"/>
      <c r="O215" s="972"/>
      <c r="P215" s="1012"/>
      <c r="Q215" s="972"/>
      <c r="R215" s="1012"/>
      <c r="S215" s="1012"/>
      <c r="T215" s="1012"/>
      <c r="U215" s="972"/>
      <c r="V215" s="1013"/>
      <c r="W215" s="972"/>
      <c r="X215" s="972"/>
      <c r="Y215" s="972"/>
    </row>
    <row r="216" spans="1:25" s="979" customFormat="1" ht="12.75" customHeight="1">
      <c r="A216" s="974" t="s">
        <v>1912</v>
      </c>
      <c r="B216" s="1008" t="s">
        <v>217</v>
      </c>
      <c r="C216" s="1008"/>
      <c r="D216" s="972"/>
      <c r="E216" s="972"/>
      <c r="F216" s="972" t="s">
        <v>1913</v>
      </c>
      <c r="G216" s="972"/>
      <c r="H216" s="972"/>
      <c r="I216" s="972"/>
      <c r="J216" s="1010">
        <f>SUM(J214:J215)</f>
        <v>0</v>
      </c>
      <c r="K216" s="972"/>
      <c r="L216" s="1010">
        <f>SUM(L214:L215)</f>
        <v>0</v>
      </c>
      <c r="M216" s="972"/>
      <c r="N216" s="1011">
        <f>SUM(N214:N215)</f>
        <v>0</v>
      </c>
      <c r="O216" s="972"/>
      <c r="P216" s="1010">
        <f>J216+L216+N216</f>
        <v>0</v>
      </c>
      <c r="Q216" s="972"/>
      <c r="R216" s="1010">
        <f>SUM(R214:R215)</f>
        <v>0</v>
      </c>
      <c r="S216" s="1010">
        <f>SUM(S214:S215)</f>
        <v>0</v>
      </c>
      <c r="T216" s="1010">
        <f>SUM(T214:T215)</f>
        <v>0</v>
      </c>
      <c r="U216" s="972"/>
      <c r="V216" s="1011">
        <f>SUM(V214:V215)</f>
        <v>0</v>
      </c>
      <c r="W216" s="972"/>
      <c r="X216" s="972"/>
      <c r="Y216" s="972"/>
    </row>
    <row r="217" spans="1:25" s="979" customFormat="1" outlineLevel="1">
      <c r="A217" s="972"/>
      <c r="B217" s="973" t="s">
        <v>1170</v>
      </c>
      <c r="C217" s="974"/>
      <c r="D217" s="975"/>
      <c r="E217" s="975"/>
      <c r="F217" s="976"/>
      <c r="G217" s="976"/>
      <c r="H217" s="972"/>
      <c r="I217" s="972"/>
      <c r="J217" s="977"/>
      <c r="K217" s="972"/>
      <c r="L217" s="977"/>
      <c r="M217" s="972"/>
      <c r="N217" s="978"/>
      <c r="O217" s="972"/>
      <c r="P217" s="977">
        <f>J217+L217+N217</f>
        <v>0</v>
      </c>
      <c r="Q217" s="972"/>
      <c r="R217" s="977"/>
      <c r="S217" s="977"/>
      <c r="T217" s="977">
        <f>P217</f>
        <v>0</v>
      </c>
      <c r="U217" s="972"/>
      <c r="V217" s="978">
        <f>T217-S217</f>
        <v>0</v>
      </c>
      <c r="W217" s="972"/>
      <c r="X217" s="972"/>
    </row>
    <row r="218" spans="1:25" s="979" customFormat="1" ht="5.0999999999999996" customHeight="1" outlineLevel="1">
      <c r="A218" s="1008" t="s">
        <v>217</v>
      </c>
      <c r="B218" s="974" t="s">
        <v>217</v>
      </c>
      <c r="C218" s="974"/>
      <c r="D218" s="976"/>
      <c r="E218" s="976"/>
      <c r="F218" s="976"/>
      <c r="G218" s="976"/>
      <c r="H218" s="972"/>
      <c r="I218" s="972"/>
      <c r="J218" s="1012"/>
      <c r="K218" s="972"/>
      <c r="L218" s="1012"/>
      <c r="M218" s="972"/>
      <c r="N218" s="1013"/>
      <c r="O218" s="972"/>
      <c r="P218" s="1012"/>
      <c r="Q218" s="972"/>
      <c r="R218" s="1012"/>
      <c r="S218" s="1012"/>
      <c r="T218" s="1012"/>
      <c r="U218" s="972"/>
      <c r="V218" s="1013"/>
      <c r="W218" s="972"/>
      <c r="X218" s="972"/>
      <c r="Y218" s="972"/>
    </row>
    <row r="219" spans="1:25" s="979" customFormat="1">
      <c r="A219" s="974" t="s">
        <v>1170</v>
      </c>
      <c r="B219" s="974" t="s">
        <v>217</v>
      </c>
      <c r="C219" s="974"/>
      <c r="D219" s="972"/>
      <c r="E219" s="972"/>
      <c r="F219" s="975" t="s">
        <v>1914</v>
      </c>
      <c r="G219" s="972"/>
      <c r="H219" s="972"/>
      <c r="I219" s="972"/>
      <c r="J219" s="1010">
        <f>SUM(J217:J218)</f>
        <v>0</v>
      </c>
      <c r="K219" s="972"/>
      <c r="L219" s="1010">
        <f>SUM(L217:L218)</f>
        <v>0</v>
      </c>
      <c r="M219" s="972"/>
      <c r="N219" s="1011">
        <f>SUM(N217:N218)</f>
        <v>0</v>
      </c>
      <c r="O219" s="972"/>
      <c r="P219" s="1010">
        <f>J219+L219+N219</f>
        <v>0</v>
      </c>
      <c r="Q219" s="972"/>
      <c r="R219" s="1010">
        <f>SUM(R217:R218)</f>
        <v>0</v>
      </c>
      <c r="S219" s="1010">
        <f>SUM(S217:S218)</f>
        <v>0</v>
      </c>
      <c r="T219" s="1010">
        <f>SUM(T217:T218)</f>
        <v>0</v>
      </c>
      <c r="U219" s="972"/>
      <c r="V219" s="1011">
        <f>SUM(V217:V218)</f>
        <v>0</v>
      </c>
      <c r="W219" s="972"/>
      <c r="X219" s="972"/>
      <c r="Y219" s="972"/>
    </row>
    <row r="220" spans="1:25" s="979" customFormat="1" outlineLevel="1">
      <c r="A220" s="972"/>
      <c r="B220" s="973" t="s">
        <v>1915</v>
      </c>
      <c r="C220" s="974"/>
      <c r="D220" s="975"/>
      <c r="E220" s="975"/>
      <c r="F220" s="976"/>
      <c r="G220" s="976"/>
      <c r="H220" s="972"/>
      <c r="I220" s="972"/>
      <c r="J220" s="977"/>
      <c r="K220" s="972"/>
      <c r="L220" s="977"/>
      <c r="M220" s="972"/>
      <c r="N220" s="978"/>
      <c r="O220" s="972"/>
      <c r="P220" s="977">
        <f>J220+L220+N220</f>
        <v>0</v>
      </c>
      <c r="Q220" s="972"/>
      <c r="R220" s="977"/>
      <c r="S220" s="977"/>
      <c r="T220" s="977">
        <f>P220</f>
        <v>0</v>
      </c>
      <c r="U220" s="972"/>
      <c r="V220" s="978">
        <f>T220-S220</f>
        <v>0</v>
      </c>
      <c r="W220" s="972"/>
      <c r="X220" s="972"/>
    </row>
    <row r="221" spans="1:25" s="979" customFormat="1" ht="5.0999999999999996" customHeight="1" outlineLevel="1">
      <c r="A221" s="974" t="s">
        <v>217</v>
      </c>
      <c r="B221" s="974" t="s">
        <v>217</v>
      </c>
      <c r="C221" s="974"/>
      <c r="D221" s="976"/>
      <c r="E221" s="976"/>
      <c r="F221" s="976"/>
      <c r="G221" s="976"/>
      <c r="H221" s="972"/>
      <c r="I221" s="972"/>
      <c r="J221" s="1012"/>
      <c r="K221" s="972"/>
      <c r="L221" s="1012"/>
      <c r="M221" s="972"/>
      <c r="N221" s="1013"/>
      <c r="O221" s="972"/>
      <c r="P221" s="1012"/>
      <c r="Q221" s="972"/>
      <c r="R221" s="1012"/>
      <c r="S221" s="1012"/>
      <c r="T221" s="1012"/>
      <c r="U221" s="972"/>
      <c r="V221" s="1013"/>
      <c r="W221" s="972"/>
      <c r="X221" s="972"/>
      <c r="Y221" s="972"/>
    </row>
    <row r="222" spans="1:25" s="979" customFormat="1">
      <c r="A222" s="974" t="s">
        <v>1915</v>
      </c>
      <c r="B222" s="974" t="s">
        <v>217</v>
      </c>
      <c r="C222" s="974"/>
      <c r="D222" s="972"/>
      <c r="E222" s="972"/>
      <c r="F222" s="975" t="s">
        <v>1916</v>
      </c>
      <c r="G222" s="972"/>
      <c r="H222" s="972"/>
      <c r="I222" s="972"/>
      <c r="J222" s="1010">
        <f>SUM(J220:J221)</f>
        <v>0</v>
      </c>
      <c r="K222" s="972"/>
      <c r="L222" s="1010">
        <f>SUM(L220:L221)</f>
        <v>0</v>
      </c>
      <c r="M222" s="972"/>
      <c r="N222" s="1011">
        <f>SUM(N220:N221)</f>
        <v>0</v>
      </c>
      <c r="O222" s="972"/>
      <c r="P222" s="1010">
        <f>J222+L222+N222</f>
        <v>0</v>
      </c>
      <c r="Q222" s="972"/>
      <c r="R222" s="1010">
        <f>SUM(R220:R221)</f>
        <v>0</v>
      </c>
      <c r="S222" s="1010">
        <f>SUM(S220:S221)</f>
        <v>0</v>
      </c>
      <c r="T222" s="1010">
        <f>SUM(T220:T221)</f>
        <v>0</v>
      </c>
      <c r="U222" s="972"/>
      <c r="V222" s="1011">
        <f>SUM(V220:V221)</f>
        <v>0</v>
      </c>
      <c r="W222" s="972"/>
      <c r="X222" s="972"/>
      <c r="Y222" s="972"/>
    </row>
    <row r="223" spans="1:25" s="979" customFormat="1" outlineLevel="1">
      <c r="A223" s="972"/>
      <c r="B223" s="973" t="s">
        <v>1917</v>
      </c>
      <c r="C223" s="974"/>
      <c r="D223" s="975"/>
      <c r="E223" s="975"/>
      <c r="F223" s="976"/>
      <c r="G223" s="976"/>
      <c r="H223" s="972"/>
      <c r="I223" s="972"/>
      <c r="J223" s="977"/>
      <c r="K223" s="972"/>
      <c r="L223" s="977"/>
      <c r="M223" s="972"/>
      <c r="N223" s="978"/>
      <c r="O223" s="972"/>
      <c r="P223" s="977">
        <f>J223+L223+N223</f>
        <v>0</v>
      </c>
      <c r="Q223" s="972"/>
      <c r="R223" s="977"/>
      <c r="S223" s="977"/>
      <c r="T223" s="977">
        <f>P223</f>
        <v>0</v>
      </c>
      <c r="U223" s="972"/>
      <c r="V223" s="978">
        <f>T223-S223</f>
        <v>0</v>
      </c>
      <c r="W223" s="972"/>
      <c r="X223" s="972"/>
    </row>
    <row r="224" spans="1:25" s="979" customFormat="1" ht="5.0999999999999996" customHeight="1" outlineLevel="1">
      <c r="A224" s="1008" t="s">
        <v>217</v>
      </c>
      <c r="B224" s="1008" t="s">
        <v>217</v>
      </c>
      <c r="C224" s="1008"/>
      <c r="D224" s="976"/>
      <c r="E224" s="976"/>
      <c r="F224" s="976"/>
      <c r="G224" s="976"/>
      <c r="H224" s="972"/>
      <c r="I224" s="972"/>
      <c r="J224" s="1012"/>
      <c r="K224" s="972"/>
      <c r="L224" s="1012"/>
      <c r="M224" s="972"/>
      <c r="N224" s="1013"/>
      <c r="O224" s="972"/>
      <c r="P224" s="1012"/>
      <c r="Q224" s="972"/>
      <c r="R224" s="1012"/>
      <c r="S224" s="1012"/>
      <c r="T224" s="1012"/>
      <c r="U224" s="972"/>
      <c r="V224" s="1013"/>
      <c r="W224" s="972"/>
      <c r="X224" s="972"/>
      <c r="Y224" s="972"/>
    </row>
    <row r="225" spans="1:25" s="979" customFormat="1">
      <c r="A225" s="974" t="s">
        <v>1917</v>
      </c>
      <c r="B225" s="974" t="s">
        <v>217</v>
      </c>
      <c r="C225" s="974"/>
      <c r="D225" s="972"/>
      <c r="E225" s="972"/>
      <c r="F225" s="975" t="s">
        <v>1918</v>
      </c>
      <c r="G225" s="972"/>
      <c r="H225" s="972"/>
      <c r="I225" s="972"/>
      <c r="J225" s="1010">
        <f>SUM(J223:J224)</f>
        <v>0</v>
      </c>
      <c r="K225" s="972"/>
      <c r="L225" s="1010">
        <f>SUM(L223:L224)</f>
        <v>0</v>
      </c>
      <c r="M225" s="972"/>
      <c r="N225" s="1011">
        <f>SUM(N223:N224)</f>
        <v>0</v>
      </c>
      <c r="O225" s="972"/>
      <c r="P225" s="1010">
        <f>J225+L225+N225</f>
        <v>0</v>
      </c>
      <c r="Q225" s="972"/>
      <c r="R225" s="1010">
        <f>SUM(R223:R224)</f>
        <v>0</v>
      </c>
      <c r="S225" s="1010">
        <f>SUM(S223:S224)</f>
        <v>0</v>
      </c>
      <c r="T225" s="1010">
        <f>SUM(T223:T224)</f>
        <v>0</v>
      </c>
      <c r="U225" s="972"/>
      <c r="V225" s="1011">
        <f>SUM(V223:V224)</f>
        <v>0</v>
      </c>
      <c r="W225" s="972"/>
      <c r="X225" s="972"/>
      <c r="Y225" s="972"/>
    </row>
    <row r="226" spans="1:25" s="979" customFormat="1" ht="7.5" customHeight="1">
      <c r="A226" s="974" t="s">
        <v>217</v>
      </c>
      <c r="B226" s="974" t="s">
        <v>217</v>
      </c>
      <c r="C226" s="974"/>
      <c r="D226" s="972"/>
      <c r="E226" s="972"/>
      <c r="F226" s="972"/>
      <c r="G226" s="972"/>
      <c r="H226" s="972"/>
      <c r="I226" s="972"/>
      <c r="J226" s="1015"/>
      <c r="K226" s="972"/>
      <c r="L226" s="1015"/>
      <c r="M226" s="972"/>
      <c r="N226" s="978"/>
      <c r="O226" s="972"/>
      <c r="P226" s="1015"/>
      <c r="Q226" s="972"/>
      <c r="R226" s="1015"/>
      <c r="S226" s="1015"/>
      <c r="T226" s="1015"/>
      <c r="U226" s="972"/>
      <c r="V226" s="978"/>
      <c r="W226" s="972"/>
      <c r="X226" s="972"/>
      <c r="Y226" s="972"/>
    </row>
    <row r="227" spans="1:25" s="979" customFormat="1">
      <c r="A227" s="974" t="s">
        <v>217</v>
      </c>
      <c r="B227" s="974" t="s">
        <v>217</v>
      </c>
      <c r="C227" s="974"/>
      <c r="D227" s="972"/>
      <c r="E227" s="1016" t="s">
        <v>1919</v>
      </c>
      <c r="F227" s="972"/>
      <c r="G227" s="972"/>
      <c r="H227" s="972"/>
      <c r="I227" s="972"/>
      <c r="J227" s="1017">
        <f>SUM(J207,J213,J222,J202,J210,J219,J216)</f>
        <v>391253115.54000002</v>
      </c>
      <c r="K227" s="972"/>
      <c r="L227" s="1017">
        <f>SUM(L207,L213,L222,L202,L210,L219,L216)</f>
        <v>0</v>
      </c>
      <c r="M227" s="972"/>
      <c r="N227" s="1018">
        <f>SUM(N207,N213,N222,N202,N210,N219,N216)</f>
        <v>0</v>
      </c>
      <c r="O227" s="972"/>
      <c r="P227" s="1017">
        <f>SUM(P207,P213,P222,P202,P210,P219,P216)</f>
        <v>391253115.54000002</v>
      </c>
      <c r="Q227" s="972"/>
      <c r="R227" s="1017">
        <f>SUM(R207,R213,R222,R202,R210,R219,R216)</f>
        <v>387324870.25000006</v>
      </c>
      <c r="S227" s="1017">
        <f>SUM(S207,S213,S222,S202,S210,S219,S216)</f>
        <v>389426174.32000005</v>
      </c>
      <c r="T227" s="1017">
        <f>SUM(T207,T213,T222,T202,T210,T219,T216)</f>
        <v>391253115.54000002</v>
      </c>
      <c r="U227" s="972"/>
      <c r="V227" s="1018">
        <f>SUM(V207,V213,V222,V202,V210,V219,V216)</f>
        <v>1826941.2199999995</v>
      </c>
      <c r="W227" s="972"/>
      <c r="X227" s="972"/>
      <c r="Y227" s="972"/>
    </row>
    <row r="228" spans="1:25" s="979" customFormat="1" ht="7.5" customHeight="1">
      <c r="A228" s="974" t="s">
        <v>217</v>
      </c>
      <c r="B228" s="974" t="s">
        <v>217</v>
      </c>
      <c r="C228" s="974"/>
      <c r="D228" s="972"/>
      <c r="E228" s="972"/>
      <c r="F228" s="972"/>
      <c r="G228" s="972"/>
      <c r="H228" s="972"/>
      <c r="I228" s="972"/>
      <c r="J228" s="1015"/>
      <c r="K228" s="972"/>
      <c r="L228" s="1015"/>
      <c r="M228" s="972"/>
      <c r="N228" s="978"/>
      <c r="O228" s="972"/>
      <c r="P228" s="1015"/>
      <c r="Q228" s="972"/>
      <c r="R228" s="1015"/>
      <c r="S228" s="1015"/>
      <c r="T228" s="1015"/>
      <c r="U228" s="972"/>
      <c r="V228" s="978"/>
      <c r="W228" s="972"/>
      <c r="X228" s="972"/>
      <c r="Y228" s="972"/>
    </row>
    <row r="229" spans="1:25" s="979" customFormat="1" outlineLevel="1">
      <c r="A229" s="972"/>
      <c r="B229" s="973" t="s">
        <v>1176</v>
      </c>
      <c r="C229" s="974"/>
      <c r="D229" s="975"/>
      <c r="E229" s="975"/>
      <c r="F229" s="976"/>
      <c r="G229" s="976"/>
      <c r="H229" s="972"/>
      <c r="I229" s="972"/>
      <c r="J229" s="977"/>
      <c r="K229" s="972"/>
      <c r="L229" s="977"/>
      <c r="M229" s="972"/>
      <c r="N229" s="978"/>
      <c r="O229" s="972"/>
      <c r="P229" s="977">
        <f>J229+L229+N229</f>
        <v>0</v>
      </c>
      <c r="Q229" s="972"/>
      <c r="R229" s="977"/>
      <c r="S229" s="977"/>
      <c r="T229" s="977">
        <f>P229</f>
        <v>0</v>
      </c>
      <c r="U229" s="972"/>
      <c r="V229" s="978">
        <f>T229-S229</f>
        <v>0</v>
      </c>
      <c r="W229" s="972"/>
      <c r="X229" s="972"/>
    </row>
    <row r="230" spans="1:25" s="979" customFormat="1" ht="5.0999999999999996" customHeight="1" outlineLevel="1">
      <c r="A230" s="974" t="s">
        <v>217</v>
      </c>
      <c r="B230" s="974" t="s">
        <v>217</v>
      </c>
      <c r="C230" s="974"/>
      <c r="D230" s="976"/>
      <c r="E230" s="976"/>
      <c r="F230" s="976"/>
      <c r="G230" s="976"/>
      <c r="H230" s="972"/>
      <c r="I230" s="972"/>
      <c r="J230" s="1012"/>
      <c r="K230" s="972"/>
      <c r="L230" s="1012"/>
      <c r="M230" s="972"/>
      <c r="N230" s="1013"/>
      <c r="O230" s="972"/>
      <c r="P230" s="1012"/>
      <c r="Q230" s="972"/>
      <c r="R230" s="1012"/>
      <c r="S230" s="1012"/>
      <c r="T230" s="1012"/>
      <c r="U230" s="972"/>
      <c r="V230" s="1013"/>
      <c r="W230" s="972"/>
      <c r="X230" s="972"/>
      <c r="Y230" s="972"/>
    </row>
    <row r="231" spans="1:25" s="979" customFormat="1">
      <c r="A231" s="974" t="s">
        <v>1176</v>
      </c>
      <c r="B231" s="974" t="s">
        <v>217</v>
      </c>
      <c r="C231" s="974"/>
      <c r="D231" s="972"/>
      <c r="E231" s="972"/>
      <c r="F231" s="975" t="s">
        <v>1920</v>
      </c>
      <c r="G231" s="972"/>
      <c r="H231" s="972"/>
      <c r="I231" s="972"/>
      <c r="J231" s="1010">
        <f>SUM(J229:J230)</f>
        <v>0</v>
      </c>
      <c r="K231" s="972"/>
      <c r="L231" s="1010">
        <f>SUM(L229:L230)</f>
        <v>0</v>
      </c>
      <c r="M231" s="972"/>
      <c r="N231" s="1011">
        <f>SUM(N229:N230)</f>
        <v>0</v>
      </c>
      <c r="O231" s="972"/>
      <c r="P231" s="1010">
        <f>J231+L231+N231</f>
        <v>0</v>
      </c>
      <c r="Q231" s="972"/>
      <c r="R231" s="1010">
        <f>SUM(R229:R230)</f>
        <v>0</v>
      </c>
      <c r="S231" s="1010">
        <f>SUM(S229:S230)</f>
        <v>0</v>
      </c>
      <c r="T231" s="1010">
        <f>SUM(T229:T230)</f>
        <v>0</v>
      </c>
      <c r="U231" s="972"/>
      <c r="V231" s="1011">
        <f>SUM(V229:V230)</f>
        <v>0</v>
      </c>
      <c r="W231" s="972"/>
      <c r="X231" s="972"/>
      <c r="Y231" s="972"/>
    </row>
    <row r="232" spans="1:25" s="979" customFormat="1" outlineLevel="1">
      <c r="A232" s="972"/>
      <c r="B232" s="973" t="s">
        <v>1180</v>
      </c>
      <c r="C232" s="974"/>
      <c r="D232" s="975"/>
      <c r="E232" s="975"/>
      <c r="F232" s="976"/>
      <c r="G232" s="976"/>
      <c r="H232" s="972"/>
      <c r="I232" s="972"/>
      <c r="J232" s="977"/>
      <c r="K232" s="972"/>
      <c r="L232" s="977"/>
      <c r="M232" s="972"/>
      <c r="N232" s="978"/>
      <c r="O232" s="972"/>
      <c r="P232" s="977">
        <f>J232+L232+N232</f>
        <v>0</v>
      </c>
      <c r="Q232" s="972"/>
      <c r="R232" s="977"/>
      <c r="S232" s="977"/>
      <c r="T232" s="977">
        <f>P232</f>
        <v>0</v>
      </c>
      <c r="U232" s="972"/>
      <c r="V232" s="978">
        <f>T232-S232</f>
        <v>0</v>
      </c>
      <c r="W232" s="972"/>
      <c r="X232" s="972"/>
    </row>
    <row r="233" spans="1:25" s="979" customFormat="1" ht="5.0999999999999996" customHeight="1" outlineLevel="1">
      <c r="A233" s="974" t="s">
        <v>217</v>
      </c>
      <c r="B233" s="974" t="s">
        <v>217</v>
      </c>
      <c r="C233" s="974"/>
      <c r="D233" s="976"/>
      <c r="E233" s="976"/>
      <c r="F233" s="976"/>
      <c r="G233" s="976"/>
      <c r="H233" s="972"/>
      <c r="I233" s="972"/>
      <c r="J233" s="1012"/>
      <c r="K233" s="972"/>
      <c r="L233" s="1012"/>
      <c r="M233" s="972"/>
      <c r="N233" s="1013"/>
      <c r="O233" s="972"/>
      <c r="P233" s="1012"/>
      <c r="Q233" s="972"/>
      <c r="R233" s="1012"/>
      <c r="S233" s="1012"/>
      <c r="T233" s="1012"/>
      <c r="U233" s="972"/>
      <c r="V233" s="1013"/>
      <c r="W233" s="972"/>
      <c r="X233" s="972"/>
      <c r="Y233" s="972"/>
    </row>
    <row r="234" spans="1:25" s="979" customFormat="1">
      <c r="A234" s="1024" t="s">
        <v>1180</v>
      </c>
      <c r="B234" s="974" t="s">
        <v>217</v>
      </c>
      <c r="C234" s="974"/>
      <c r="D234" s="972"/>
      <c r="E234" s="972"/>
      <c r="F234" s="975" t="s">
        <v>1921</v>
      </c>
      <c r="G234" s="972"/>
      <c r="H234" s="972"/>
      <c r="I234" s="972"/>
      <c r="J234" s="1010">
        <f>SUM(J232:J233)</f>
        <v>0</v>
      </c>
      <c r="K234" s="972"/>
      <c r="L234" s="1010">
        <f>SUM(L232:L233)</f>
        <v>0</v>
      </c>
      <c r="M234" s="972"/>
      <c r="N234" s="1011">
        <f>SUM(N232:N233)</f>
        <v>0</v>
      </c>
      <c r="O234" s="972"/>
      <c r="P234" s="1010">
        <f>J234+L234+N234</f>
        <v>0</v>
      </c>
      <c r="Q234" s="972"/>
      <c r="R234" s="1010">
        <f>SUM(R232:R233)</f>
        <v>0</v>
      </c>
      <c r="S234" s="1010">
        <f>SUM(S232:S233)</f>
        <v>0</v>
      </c>
      <c r="T234" s="1010">
        <f>SUM(T232:T233)</f>
        <v>0</v>
      </c>
      <c r="U234" s="972"/>
      <c r="V234" s="1011">
        <f>SUM(V232:V233)</f>
        <v>0</v>
      </c>
      <c r="W234" s="972"/>
      <c r="X234" s="972"/>
      <c r="Y234" s="972"/>
    </row>
    <row r="235" spans="1:25" s="979" customFormat="1" outlineLevel="1">
      <c r="A235" s="972"/>
      <c r="B235" s="973" t="s">
        <v>1182</v>
      </c>
      <c r="C235" s="974"/>
      <c r="D235" s="975"/>
      <c r="E235" s="975"/>
      <c r="F235" s="976"/>
      <c r="G235" s="976"/>
      <c r="H235" s="972"/>
      <c r="I235" s="972"/>
      <c r="J235" s="977"/>
      <c r="K235" s="972"/>
      <c r="L235" s="977"/>
      <c r="M235" s="972"/>
      <c r="N235" s="978"/>
      <c r="O235" s="972"/>
      <c r="P235" s="977">
        <f>J235+L235+N235</f>
        <v>0</v>
      </c>
      <c r="Q235" s="972"/>
      <c r="R235" s="977"/>
      <c r="S235" s="977"/>
      <c r="T235" s="977">
        <f>P235</f>
        <v>0</v>
      </c>
      <c r="U235" s="972"/>
      <c r="V235" s="978">
        <f>T235-S235</f>
        <v>0</v>
      </c>
      <c r="W235" s="972"/>
      <c r="X235" s="972"/>
    </row>
    <row r="236" spans="1:25" s="979" customFormat="1" ht="5.0999999999999996" customHeight="1" outlineLevel="1">
      <c r="A236" s="974" t="s">
        <v>217</v>
      </c>
      <c r="B236" s="974" t="s">
        <v>217</v>
      </c>
      <c r="C236" s="974"/>
      <c r="D236" s="976"/>
      <c r="E236" s="976"/>
      <c r="F236" s="976"/>
      <c r="G236" s="976"/>
      <c r="H236" s="972"/>
      <c r="I236" s="972"/>
      <c r="J236" s="1012"/>
      <c r="K236" s="972"/>
      <c r="L236" s="1012"/>
      <c r="M236" s="972"/>
      <c r="N236" s="1013"/>
      <c r="O236" s="972"/>
      <c r="P236" s="1012"/>
      <c r="Q236" s="972"/>
      <c r="R236" s="1012"/>
      <c r="S236" s="1012"/>
      <c r="T236" s="1012"/>
      <c r="U236" s="972"/>
      <c r="V236" s="1013"/>
      <c r="W236" s="972"/>
      <c r="X236" s="972"/>
      <c r="Y236" s="972"/>
    </row>
    <row r="237" spans="1:25" s="979" customFormat="1">
      <c r="A237" s="1024" t="s">
        <v>1182</v>
      </c>
      <c r="B237" s="974" t="s">
        <v>217</v>
      </c>
      <c r="C237" s="974"/>
      <c r="D237" s="972"/>
      <c r="E237" s="972"/>
      <c r="F237" s="975" t="s">
        <v>1922</v>
      </c>
      <c r="G237" s="972"/>
      <c r="H237" s="972"/>
      <c r="I237" s="972"/>
      <c r="J237" s="1010">
        <f>SUM(J235:J236)</f>
        <v>0</v>
      </c>
      <c r="K237" s="972"/>
      <c r="L237" s="1010">
        <f>SUM(L235:L236)</f>
        <v>0</v>
      </c>
      <c r="M237" s="972"/>
      <c r="N237" s="1011">
        <f>SUM(N235:N236)</f>
        <v>0</v>
      </c>
      <c r="O237" s="972"/>
      <c r="P237" s="1010">
        <f>J237+L237+N237</f>
        <v>0</v>
      </c>
      <c r="Q237" s="972"/>
      <c r="R237" s="1010">
        <f>SUM(R235:R236)</f>
        <v>0</v>
      </c>
      <c r="S237" s="1010">
        <f>SUM(S235:S236)</f>
        <v>0</v>
      </c>
      <c r="T237" s="1010">
        <f>SUM(T235:T236)</f>
        <v>0</v>
      </c>
      <c r="U237" s="972"/>
      <c r="V237" s="1011">
        <f>SUM(V235:V236)</f>
        <v>0</v>
      </c>
      <c r="W237" s="972"/>
      <c r="X237" s="972"/>
      <c r="Y237" s="972"/>
    </row>
    <row r="238" spans="1:25" s="979" customFormat="1" outlineLevel="1">
      <c r="A238" s="972"/>
      <c r="B238" s="973" t="s">
        <v>1190</v>
      </c>
      <c r="C238" s="974"/>
      <c r="D238" s="975"/>
      <c r="E238" s="975"/>
      <c r="F238" s="976"/>
      <c r="G238" s="976"/>
      <c r="H238" s="972"/>
      <c r="I238" s="972"/>
      <c r="J238" s="977"/>
      <c r="K238" s="972"/>
      <c r="L238" s="977"/>
      <c r="M238" s="972"/>
      <c r="N238" s="978"/>
      <c r="O238" s="972"/>
      <c r="P238" s="977">
        <f>J238+L238+N238</f>
        <v>0</v>
      </c>
      <c r="Q238" s="972"/>
      <c r="R238" s="977"/>
      <c r="S238" s="977"/>
      <c r="T238" s="977">
        <f>P238</f>
        <v>0</v>
      </c>
      <c r="U238" s="972"/>
      <c r="V238" s="978">
        <f>T238-S238</f>
        <v>0</v>
      </c>
      <c r="W238" s="972"/>
      <c r="X238" s="972"/>
    </row>
    <row r="239" spans="1:25" s="979" customFormat="1" ht="5.0999999999999996" customHeight="1" outlineLevel="1">
      <c r="A239" s="974" t="s">
        <v>217</v>
      </c>
      <c r="B239" s="974" t="s">
        <v>217</v>
      </c>
      <c r="C239" s="974"/>
      <c r="D239" s="976"/>
      <c r="E239" s="976"/>
      <c r="F239" s="976"/>
      <c r="G239" s="976"/>
      <c r="H239" s="972"/>
      <c r="I239" s="972"/>
      <c r="J239" s="1012"/>
      <c r="K239" s="972"/>
      <c r="L239" s="1012"/>
      <c r="M239" s="972"/>
      <c r="N239" s="1013"/>
      <c r="O239" s="972"/>
      <c r="P239" s="1012"/>
      <c r="Q239" s="972"/>
      <c r="R239" s="1012"/>
      <c r="S239" s="1012"/>
      <c r="T239" s="1012"/>
      <c r="U239" s="972"/>
      <c r="V239" s="1013"/>
      <c r="W239" s="972"/>
      <c r="X239" s="972"/>
      <c r="Y239" s="972"/>
    </row>
    <row r="240" spans="1:25" s="979" customFormat="1">
      <c r="A240" s="974" t="s">
        <v>1190</v>
      </c>
      <c r="B240" s="974" t="s">
        <v>217</v>
      </c>
      <c r="C240" s="974"/>
      <c r="D240" s="972"/>
      <c r="E240" s="972"/>
      <c r="F240" s="975" t="s">
        <v>1923</v>
      </c>
      <c r="G240" s="972"/>
      <c r="H240" s="972"/>
      <c r="I240" s="972"/>
      <c r="J240" s="1010">
        <f>SUM(J238:J239)</f>
        <v>0</v>
      </c>
      <c r="K240" s="972"/>
      <c r="L240" s="1010">
        <f>SUM(L238:L239)</f>
        <v>0</v>
      </c>
      <c r="M240" s="972"/>
      <c r="N240" s="1011">
        <f>SUM(N238:N239)</f>
        <v>0</v>
      </c>
      <c r="O240" s="972"/>
      <c r="P240" s="1010">
        <f>J240+L240+N240</f>
        <v>0</v>
      </c>
      <c r="Q240" s="972"/>
      <c r="R240" s="1010">
        <f>SUM(R238:R239)</f>
        <v>0</v>
      </c>
      <c r="S240" s="1010">
        <f>SUM(S238:S239)</f>
        <v>0</v>
      </c>
      <c r="T240" s="1010">
        <f>SUM(T238:T239)</f>
        <v>0</v>
      </c>
      <c r="U240" s="972"/>
      <c r="V240" s="1011">
        <f>SUM(V238:V239)</f>
        <v>0</v>
      </c>
      <c r="W240" s="972"/>
      <c r="X240" s="972"/>
      <c r="Y240" s="972"/>
    </row>
    <row r="241" spans="1:25" s="979" customFormat="1" outlineLevel="1">
      <c r="A241" s="972"/>
      <c r="B241" s="973" t="s">
        <v>1178</v>
      </c>
      <c r="C241" s="974"/>
      <c r="D241" s="975"/>
      <c r="E241" s="975"/>
      <c r="F241" s="976"/>
      <c r="G241" s="976"/>
      <c r="H241" s="972"/>
      <c r="I241" s="972"/>
      <c r="J241" s="977"/>
      <c r="K241" s="972"/>
      <c r="L241" s="977"/>
      <c r="M241" s="972"/>
      <c r="N241" s="978"/>
      <c r="O241" s="972"/>
      <c r="P241" s="977">
        <f>J241+L241+N241</f>
        <v>0</v>
      </c>
      <c r="Q241" s="972"/>
      <c r="R241" s="977"/>
      <c r="S241" s="977"/>
      <c r="T241" s="977">
        <f>P241</f>
        <v>0</v>
      </c>
      <c r="U241" s="972"/>
      <c r="V241" s="978">
        <f>T241-S241</f>
        <v>0</v>
      </c>
      <c r="W241" s="972"/>
      <c r="X241" s="972"/>
    </row>
    <row r="242" spans="1:25" s="979" customFormat="1" ht="5.0999999999999996" customHeight="1" outlineLevel="1">
      <c r="A242" s="974" t="s">
        <v>217</v>
      </c>
      <c r="B242" s="974" t="s">
        <v>217</v>
      </c>
      <c r="C242" s="974"/>
      <c r="D242" s="976"/>
      <c r="E242" s="976"/>
      <c r="F242" s="976"/>
      <c r="G242" s="976"/>
      <c r="H242" s="972"/>
      <c r="I242" s="972"/>
      <c r="J242" s="1012"/>
      <c r="K242" s="972"/>
      <c r="L242" s="1012"/>
      <c r="M242" s="972"/>
      <c r="N242" s="1013"/>
      <c r="O242" s="972"/>
      <c r="P242" s="1012"/>
      <c r="Q242" s="972"/>
      <c r="R242" s="1012"/>
      <c r="S242" s="1012"/>
      <c r="T242" s="1012"/>
      <c r="U242" s="972"/>
      <c r="V242" s="1013"/>
      <c r="W242" s="972"/>
      <c r="X242" s="972"/>
      <c r="Y242" s="972"/>
    </row>
    <row r="243" spans="1:25" s="979" customFormat="1">
      <c r="A243" s="974" t="s">
        <v>1178</v>
      </c>
      <c r="B243" s="974" t="s">
        <v>217</v>
      </c>
      <c r="C243" s="974"/>
      <c r="D243" s="972"/>
      <c r="E243" s="972"/>
      <c r="F243" s="975" t="s">
        <v>1924</v>
      </c>
      <c r="G243" s="972"/>
      <c r="H243" s="972"/>
      <c r="I243" s="972"/>
      <c r="J243" s="1010">
        <f>SUM(J241:J242)</f>
        <v>0</v>
      </c>
      <c r="K243" s="972"/>
      <c r="L243" s="1010">
        <f>SUM(L241:L242)</f>
        <v>0</v>
      </c>
      <c r="M243" s="972"/>
      <c r="N243" s="1011">
        <f>SUM(N241:N242)</f>
        <v>0</v>
      </c>
      <c r="O243" s="972"/>
      <c r="P243" s="1010">
        <f>J243+L243+N243</f>
        <v>0</v>
      </c>
      <c r="Q243" s="972"/>
      <c r="R243" s="1010">
        <f>SUM(R241:R242)</f>
        <v>0</v>
      </c>
      <c r="S243" s="1010">
        <f>SUM(S241:S242)</f>
        <v>0</v>
      </c>
      <c r="T243" s="1010">
        <f>SUM(T241:T242)</f>
        <v>0</v>
      </c>
      <c r="U243" s="972"/>
      <c r="V243" s="1011">
        <f>SUM(V241:V242)</f>
        <v>0</v>
      </c>
      <c r="W243" s="972"/>
      <c r="X243" s="972"/>
      <c r="Y243" s="972"/>
    </row>
    <row r="244" spans="1:25" s="979" customFormat="1" outlineLevel="1">
      <c r="A244" s="972"/>
      <c r="B244" s="973" t="s">
        <v>1184</v>
      </c>
      <c r="C244" s="974"/>
      <c r="D244" s="975"/>
      <c r="E244" s="975"/>
      <c r="F244" s="976"/>
      <c r="G244" s="976"/>
      <c r="H244" s="972"/>
      <c r="I244" s="972"/>
      <c r="J244" s="977"/>
      <c r="K244" s="972"/>
      <c r="L244" s="977"/>
      <c r="M244" s="972"/>
      <c r="N244" s="978"/>
      <c r="O244" s="972"/>
      <c r="P244" s="977">
        <f>J244+L244+N244</f>
        <v>0</v>
      </c>
      <c r="Q244" s="972"/>
      <c r="R244" s="977"/>
      <c r="S244" s="977"/>
      <c r="T244" s="977">
        <f>P244</f>
        <v>0</v>
      </c>
      <c r="U244" s="972"/>
      <c r="V244" s="978">
        <f>T244-S244</f>
        <v>0</v>
      </c>
      <c r="W244" s="972"/>
      <c r="X244" s="972"/>
    </row>
    <row r="245" spans="1:25" s="979" customFormat="1" ht="5.0999999999999996" customHeight="1" outlineLevel="1">
      <c r="A245" s="974" t="s">
        <v>217</v>
      </c>
      <c r="B245" s="974" t="s">
        <v>217</v>
      </c>
      <c r="C245" s="974"/>
      <c r="D245" s="976"/>
      <c r="E245" s="976"/>
      <c r="F245" s="976"/>
      <c r="G245" s="976"/>
      <c r="H245" s="972"/>
      <c r="I245" s="972"/>
      <c r="J245" s="1012"/>
      <c r="K245" s="972"/>
      <c r="L245" s="1012"/>
      <c r="M245" s="972"/>
      <c r="N245" s="1013"/>
      <c r="O245" s="972"/>
      <c r="P245" s="1012"/>
      <c r="Q245" s="972"/>
      <c r="R245" s="1012"/>
      <c r="S245" s="1012"/>
      <c r="T245" s="1012"/>
      <c r="U245" s="972"/>
      <c r="V245" s="1013"/>
      <c r="W245" s="972"/>
      <c r="X245" s="972"/>
      <c r="Y245" s="972"/>
    </row>
    <row r="246" spans="1:25" s="979" customFormat="1">
      <c r="A246" s="974" t="s">
        <v>1184</v>
      </c>
      <c r="B246" s="974" t="s">
        <v>217</v>
      </c>
      <c r="C246" s="974"/>
      <c r="D246" s="972"/>
      <c r="E246" s="972"/>
      <c r="F246" s="975" t="s">
        <v>1925</v>
      </c>
      <c r="G246" s="972"/>
      <c r="H246" s="972"/>
      <c r="I246" s="972"/>
      <c r="J246" s="1010">
        <f>SUM(J244:J245)</f>
        <v>0</v>
      </c>
      <c r="K246" s="972"/>
      <c r="L246" s="1010">
        <f>SUM(L244:L245)</f>
        <v>0</v>
      </c>
      <c r="M246" s="972"/>
      <c r="N246" s="1011">
        <f>SUM(N244:N245)</f>
        <v>0</v>
      </c>
      <c r="O246" s="972"/>
      <c r="P246" s="1010">
        <f>J246+L246+N246</f>
        <v>0</v>
      </c>
      <c r="Q246" s="972"/>
      <c r="R246" s="1010">
        <f>SUM(R244:R245)</f>
        <v>0</v>
      </c>
      <c r="S246" s="1010">
        <f>SUM(S244:S245)</f>
        <v>0</v>
      </c>
      <c r="T246" s="1010">
        <f>SUM(T244:T245)</f>
        <v>0</v>
      </c>
      <c r="U246" s="972"/>
      <c r="V246" s="1011">
        <f>SUM(V244:V245)</f>
        <v>0</v>
      </c>
      <c r="W246" s="972"/>
      <c r="X246" s="972"/>
      <c r="Y246" s="972"/>
    </row>
    <row r="247" spans="1:25" s="979" customFormat="1" outlineLevel="1">
      <c r="A247" s="972"/>
      <c r="B247" s="973" t="s">
        <v>1186</v>
      </c>
      <c r="C247" s="974"/>
      <c r="D247" s="975"/>
      <c r="E247" s="975"/>
      <c r="F247" s="976"/>
      <c r="G247" s="976"/>
      <c r="H247" s="972"/>
      <c r="I247" s="972"/>
      <c r="J247" s="977"/>
      <c r="K247" s="972"/>
      <c r="L247" s="977"/>
      <c r="M247" s="972"/>
      <c r="N247" s="978"/>
      <c r="O247" s="972"/>
      <c r="P247" s="977">
        <f>J247+L247+N247</f>
        <v>0</v>
      </c>
      <c r="Q247" s="972"/>
      <c r="R247" s="977"/>
      <c r="S247" s="977"/>
      <c r="T247" s="977">
        <f>P247</f>
        <v>0</v>
      </c>
      <c r="U247" s="972"/>
      <c r="V247" s="978">
        <f>T247-S247</f>
        <v>0</v>
      </c>
      <c r="W247" s="972"/>
      <c r="X247" s="972"/>
    </row>
    <row r="248" spans="1:25" s="979" customFormat="1" ht="5.0999999999999996" customHeight="1" outlineLevel="1">
      <c r="A248" s="974" t="s">
        <v>217</v>
      </c>
      <c r="B248" s="1008"/>
      <c r="C248" s="1008"/>
      <c r="D248" s="976"/>
      <c r="E248" s="976"/>
      <c r="F248" s="976"/>
      <c r="G248" s="976"/>
      <c r="H248" s="972"/>
      <c r="I248" s="972"/>
      <c r="J248" s="1012"/>
      <c r="K248" s="972"/>
      <c r="L248" s="1012"/>
      <c r="M248" s="972"/>
      <c r="N248" s="1013"/>
      <c r="O248" s="972"/>
      <c r="P248" s="1012"/>
      <c r="Q248" s="972"/>
      <c r="R248" s="1012"/>
      <c r="S248" s="1012"/>
      <c r="T248" s="1012"/>
      <c r="U248" s="972"/>
      <c r="V248" s="1013"/>
      <c r="W248" s="972"/>
      <c r="X248" s="972"/>
      <c r="Y248" s="972"/>
    </row>
    <row r="249" spans="1:25" s="979" customFormat="1">
      <c r="A249" s="974" t="s">
        <v>1186</v>
      </c>
      <c r="B249" s="1008"/>
      <c r="C249" s="1008"/>
      <c r="D249" s="972"/>
      <c r="E249" s="972"/>
      <c r="F249" s="975" t="s">
        <v>1926</v>
      </c>
      <c r="G249" s="972"/>
      <c r="H249" s="972"/>
      <c r="I249" s="972"/>
      <c r="J249" s="1010">
        <f>SUM(J247:J248)</f>
        <v>0</v>
      </c>
      <c r="K249" s="972"/>
      <c r="L249" s="1010">
        <f>SUM(L247:L248)</f>
        <v>0</v>
      </c>
      <c r="M249" s="972"/>
      <c r="N249" s="1011">
        <f>SUM(N247:N248)</f>
        <v>0</v>
      </c>
      <c r="O249" s="972"/>
      <c r="P249" s="1010">
        <f>J249+L249+N249</f>
        <v>0</v>
      </c>
      <c r="Q249" s="972"/>
      <c r="R249" s="1010">
        <f>SUM(R247:R248)</f>
        <v>0</v>
      </c>
      <c r="S249" s="1010">
        <f>SUM(S247:S248)</f>
        <v>0</v>
      </c>
      <c r="T249" s="1010">
        <f>SUM(T247:T248)</f>
        <v>0</v>
      </c>
      <c r="U249" s="972"/>
      <c r="V249" s="1011">
        <f>SUM(V247:V248)</f>
        <v>0</v>
      </c>
      <c r="W249" s="972"/>
      <c r="X249" s="972"/>
      <c r="Y249" s="972"/>
    </row>
    <row r="250" spans="1:25" s="979" customFormat="1" ht="7.5" hidden="1" customHeight="1">
      <c r="A250" s="1008"/>
      <c r="B250" s="974"/>
      <c r="C250" s="974"/>
      <c r="D250" s="972"/>
      <c r="E250" s="972"/>
      <c r="F250" s="972"/>
      <c r="G250" s="972"/>
      <c r="H250" s="972"/>
      <c r="I250" s="972"/>
      <c r="J250" s="1015"/>
      <c r="K250" s="972"/>
      <c r="L250" s="1015"/>
      <c r="M250" s="972"/>
      <c r="N250" s="978"/>
      <c r="O250" s="972"/>
      <c r="P250" s="1015"/>
      <c r="Q250" s="972"/>
      <c r="R250" s="1015"/>
      <c r="S250" s="1015"/>
      <c r="T250" s="1015"/>
      <c r="U250" s="972"/>
      <c r="V250" s="978"/>
      <c r="W250" s="972"/>
      <c r="X250" s="972"/>
      <c r="Y250" s="972"/>
    </row>
    <row r="251" spans="1:25" s="979" customFormat="1" outlineLevel="1">
      <c r="A251" s="972"/>
      <c r="B251" s="973" t="s">
        <v>1188</v>
      </c>
      <c r="C251" s="974"/>
      <c r="D251" s="975">
        <v>29100</v>
      </c>
      <c r="E251" s="975" t="s">
        <v>1927</v>
      </c>
      <c r="F251" s="976"/>
      <c r="G251" s="976"/>
      <c r="H251" s="972"/>
      <c r="I251" s="972"/>
      <c r="J251" s="977">
        <v>80154243.980000004</v>
      </c>
      <c r="K251" s="972"/>
      <c r="L251" s="977">
        <v>0</v>
      </c>
      <c r="M251" s="972"/>
      <c r="N251" s="978">
        <v>0</v>
      </c>
      <c r="O251" s="972"/>
      <c r="P251" s="977">
        <f>J251+L251+N251</f>
        <v>80154243.980000004</v>
      </c>
      <c r="Q251" s="972"/>
      <c r="R251" s="977">
        <v>82215755.590000004</v>
      </c>
      <c r="S251" s="977">
        <v>81102294.989999995</v>
      </c>
      <c r="T251" s="977">
        <f>P251</f>
        <v>80154243.980000004</v>
      </c>
      <c r="U251" s="972"/>
      <c r="V251" s="978">
        <f>T251-S251</f>
        <v>-948051.00999999046</v>
      </c>
      <c r="W251" s="972"/>
      <c r="X251" s="972"/>
    </row>
    <row r="252" spans="1:25" s="979" customFormat="1" ht="5.0999999999999996" customHeight="1" outlineLevel="1">
      <c r="A252" s="974" t="s">
        <v>217</v>
      </c>
      <c r="B252" s="1008"/>
      <c r="C252" s="1008"/>
      <c r="D252" s="976"/>
      <c r="E252" s="976"/>
      <c r="F252" s="976"/>
      <c r="G252" s="976"/>
      <c r="H252" s="972"/>
      <c r="I252" s="972"/>
      <c r="J252" s="1012"/>
      <c r="K252" s="972"/>
      <c r="L252" s="1012"/>
      <c r="M252" s="972"/>
      <c r="N252" s="1013"/>
      <c r="O252" s="972"/>
      <c r="P252" s="1012"/>
      <c r="Q252" s="972"/>
      <c r="R252" s="1012"/>
      <c r="S252" s="1012"/>
      <c r="T252" s="1012"/>
      <c r="U252" s="972"/>
      <c r="V252" s="1013"/>
      <c r="W252" s="972"/>
      <c r="X252" s="972"/>
      <c r="Y252" s="972"/>
    </row>
    <row r="253" spans="1:25" s="979" customFormat="1">
      <c r="A253" s="974" t="s">
        <v>1188</v>
      </c>
      <c r="B253" s="1008"/>
      <c r="C253" s="1008"/>
      <c r="D253" s="972"/>
      <c r="E253" s="972"/>
      <c r="F253" s="975" t="s">
        <v>1927</v>
      </c>
      <c r="G253" s="972"/>
      <c r="H253" s="972"/>
      <c r="I253" s="972"/>
      <c r="J253" s="1010">
        <f>SUM(J251:J252)</f>
        <v>80154243.980000004</v>
      </c>
      <c r="K253" s="972"/>
      <c r="L253" s="1010">
        <f>SUM(L251:L252)</f>
        <v>0</v>
      </c>
      <c r="M253" s="972"/>
      <c r="N253" s="1011">
        <f>SUM(N251:N252)</f>
        <v>0</v>
      </c>
      <c r="O253" s="972"/>
      <c r="P253" s="1010">
        <f>J253+L253+N253</f>
        <v>80154243.980000004</v>
      </c>
      <c r="Q253" s="972"/>
      <c r="R253" s="1010">
        <f>SUM(R251:R252)</f>
        <v>82215755.590000004</v>
      </c>
      <c r="S253" s="1010">
        <f>SUM(S251:S252)</f>
        <v>81102294.989999995</v>
      </c>
      <c r="T253" s="1010">
        <f>SUM(T251:T252)</f>
        <v>80154243.980000004</v>
      </c>
      <c r="U253" s="972"/>
      <c r="V253" s="1011">
        <f>SUM(V251:V252)</f>
        <v>-948051.00999999046</v>
      </c>
      <c r="W253" s="972"/>
      <c r="X253" s="972"/>
      <c r="Y253" s="972"/>
    </row>
    <row r="254" spans="1:25" s="979" customFormat="1" ht="7.5" customHeight="1">
      <c r="A254" s="1008"/>
      <c r="B254" s="974"/>
      <c r="C254" s="974"/>
      <c r="D254" s="972"/>
      <c r="E254" s="972"/>
      <c r="F254" s="972"/>
      <c r="G254" s="972"/>
      <c r="H254" s="972"/>
      <c r="I254" s="972"/>
      <c r="J254" s="1015"/>
      <c r="K254" s="972"/>
      <c r="L254" s="1015"/>
      <c r="M254" s="972"/>
      <c r="N254" s="978"/>
      <c r="O254" s="972"/>
      <c r="P254" s="1015"/>
      <c r="Q254" s="972"/>
      <c r="R254" s="1015"/>
      <c r="S254" s="1015"/>
      <c r="T254" s="1015"/>
      <c r="U254" s="972"/>
      <c r="V254" s="978"/>
      <c r="W254" s="972"/>
      <c r="X254" s="972"/>
      <c r="Y254" s="972"/>
    </row>
    <row r="255" spans="1:25" s="979" customFormat="1">
      <c r="A255" s="1008"/>
      <c r="B255" s="974"/>
      <c r="C255" s="974"/>
      <c r="D255" s="972"/>
      <c r="E255" s="1016" t="s">
        <v>1927</v>
      </c>
      <c r="F255" s="972"/>
      <c r="G255" s="972"/>
      <c r="H255" s="972"/>
      <c r="I255" s="972"/>
      <c r="J255" s="1017">
        <f>SUM(J231,J237,J243,J249,J240,J234,J246,J253)</f>
        <v>80154243.980000004</v>
      </c>
      <c r="K255" s="972"/>
      <c r="L255" s="1017">
        <f>SUM(L231,L237,L243,L249,L240,L234,L246,L253)</f>
        <v>0</v>
      </c>
      <c r="M255" s="972"/>
      <c r="N255" s="1018">
        <f>SUM(N231,N237,N243,N249,N240,N234,N246,N253)</f>
        <v>0</v>
      </c>
      <c r="O255" s="972"/>
      <c r="P255" s="1017">
        <f>SUM(P231,P237,P243,P249,P240,P234,P246,P253)</f>
        <v>80154243.980000004</v>
      </c>
      <c r="Q255" s="972"/>
      <c r="R255" s="1017">
        <f>SUM(R231,R237,R243,R249,R240,R234,R246,R253)</f>
        <v>82215755.590000004</v>
      </c>
      <c r="S255" s="1017">
        <f>SUM(S231,S237,S243,S249,S240,S234,S246,S253)</f>
        <v>81102294.989999995</v>
      </c>
      <c r="T255" s="1017">
        <f>SUM(T231,T237,T243,T249,T240,T234,T246,T253)</f>
        <v>80154243.980000004</v>
      </c>
      <c r="U255" s="972"/>
      <c r="V255" s="1018">
        <f>SUM(V231,V237,V243,V249,V240,V234,V246,V253)</f>
        <v>-948051.00999999046</v>
      </c>
      <c r="W255" s="972"/>
      <c r="X255" s="972"/>
      <c r="Y255" s="972"/>
    </row>
    <row r="256" spans="1:25" s="979" customFormat="1" ht="7.5" customHeight="1">
      <c r="A256" s="974"/>
      <c r="B256" s="974"/>
      <c r="C256" s="974"/>
      <c r="D256" s="972"/>
      <c r="E256" s="972"/>
      <c r="F256" s="972"/>
      <c r="G256" s="972"/>
      <c r="H256" s="972"/>
      <c r="I256" s="972"/>
      <c r="J256" s="1015"/>
      <c r="K256" s="972"/>
      <c r="L256" s="1015"/>
      <c r="M256" s="972"/>
      <c r="N256" s="978"/>
      <c r="O256" s="972"/>
      <c r="P256" s="1015"/>
      <c r="Q256" s="972"/>
      <c r="R256" s="1015"/>
      <c r="S256" s="1015"/>
      <c r="T256" s="1015"/>
      <c r="U256" s="972"/>
      <c r="V256" s="978"/>
      <c r="W256" s="972"/>
      <c r="X256" s="972"/>
      <c r="Y256" s="972"/>
    </row>
    <row r="257" spans="1:25" s="979" customFormat="1" ht="13.5" thickBot="1">
      <c r="A257" s="974"/>
      <c r="B257" s="974"/>
      <c r="C257" s="974"/>
      <c r="D257" s="972"/>
      <c r="E257" s="1016" t="s">
        <v>1928</v>
      </c>
      <c r="F257" s="972"/>
      <c r="G257" s="972"/>
      <c r="H257" s="972"/>
      <c r="I257" s="972"/>
      <c r="J257" s="1022">
        <f>+J227+J255</f>
        <v>471407359.52000004</v>
      </c>
      <c r="K257" s="972"/>
      <c r="L257" s="1022">
        <f>+L227+L255</f>
        <v>0</v>
      </c>
      <c r="M257" s="972"/>
      <c r="N257" s="1023">
        <f>+N227+N255</f>
        <v>0</v>
      </c>
      <c r="O257" s="972"/>
      <c r="P257" s="1022">
        <f>+P227+P255</f>
        <v>471407359.52000004</v>
      </c>
      <c r="Q257" s="972"/>
      <c r="R257" s="1022">
        <f>+R227+R255</f>
        <v>469540625.84000003</v>
      </c>
      <c r="S257" s="1022">
        <f>+S227+S255</f>
        <v>470528469.31000006</v>
      </c>
      <c r="T257" s="1022">
        <f>+T227+T255</f>
        <v>471407359.52000004</v>
      </c>
      <c r="U257" s="972"/>
      <c r="V257" s="1023">
        <f>+V227+V255</f>
        <v>878890.21000000904</v>
      </c>
      <c r="W257" s="972"/>
      <c r="X257" s="972"/>
      <c r="Y257" s="972"/>
    </row>
    <row r="258" spans="1:25" s="979" customFormat="1" ht="7.5" customHeight="1" thickTop="1">
      <c r="A258" s="974"/>
      <c r="B258" s="974"/>
      <c r="C258" s="974"/>
      <c r="D258" s="972"/>
      <c r="E258" s="972"/>
      <c r="F258" s="972"/>
      <c r="G258" s="972"/>
      <c r="H258" s="972"/>
      <c r="I258" s="972"/>
      <c r="J258" s="1015"/>
      <c r="K258" s="972"/>
      <c r="L258" s="1015"/>
      <c r="M258" s="972"/>
      <c r="N258" s="978"/>
      <c r="O258" s="972"/>
      <c r="P258" s="1015"/>
      <c r="Q258" s="972"/>
      <c r="R258" s="1015"/>
      <c r="S258" s="1015"/>
      <c r="T258" s="1015"/>
      <c r="U258" s="972"/>
      <c r="V258" s="978"/>
      <c r="W258" s="972"/>
      <c r="X258" s="972"/>
      <c r="Y258" s="972"/>
    </row>
    <row r="259" spans="1:25" s="1025" customFormat="1" ht="12">
      <c r="A259" s="974"/>
      <c r="B259" s="974"/>
      <c r="C259" s="974"/>
      <c r="D259" s="972"/>
      <c r="E259" s="972"/>
      <c r="F259" s="972" t="s">
        <v>1929</v>
      </c>
      <c r="G259" s="972"/>
      <c r="H259" s="972"/>
      <c r="I259" s="972"/>
      <c r="J259" s="1015">
        <f>J167-J257</f>
        <v>0</v>
      </c>
      <c r="K259" s="972"/>
      <c r="L259" s="1015">
        <f>L167-L257</f>
        <v>0</v>
      </c>
      <c r="M259" s="972"/>
      <c r="N259" s="1015">
        <f>N167-N257</f>
        <v>0</v>
      </c>
      <c r="O259" s="972"/>
      <c r="P259" s="1015">
        <f>P167-P257</f>
        <v>0</v>
      </c>
      <c r="Q259" s="972"/>
      <c r="R259" s="1015">
        <f>R167-R257</f>
        <v>0</v>
      </c>
      <c r="S259" s="1015">
        <f>S167-S257</f>
        <v>0</v>
      </c>
      <c r="T259" s="1015">
        <f>T167-T257</f>
        <v>0</v>
      </c>
      <c r="U259" s="972"/>
      <c r="V259" s="1015">
        <f>V167-V257</f>
        <v>-1.4784745872020721E-8</v>
      </c>
      <c r="W259" s="972"/>
      <c r="X259" s="972"/>
      <c r="Y259" s="972"/>
    </row>
    <row r="260" spans="1:25" s="1027" customFormat="1" ht="9.75" customHeight="1">
      <c r="A260" s="974"/>
      <c r="B260" s="1008"/>
      <c r="C260" s="1008"/>
      <c r="D260" s="972"/>
      <c r="E260" s="972"/>
      <c r="F260" s="975"/>
      <c r="G260" s="972"/>
      <c r="H260" s="974"/>
      <c r="I260" s="974"/>
      <c r="J260" s="1026"/>
      <c r="K260" s="974"/>
      <c r="L260" s="974"/>
      <c r="M260" s="974"/>
      <c r="N260" s="974"/>
      <c r="O260" s="974"/>
      <c r="P260" s="974"/>
      <c r="Q260" s="974"/>
      <c r="R260" s="974"/>
      <c r="S260" s="974"/>
      <c r="T260" s="974"/>
      <c r="U260" s="974"/>
      <c r="V260" s="974"/>
      <c r="W260" s="974"/>
      <c r="X260" s="974"/>
      <c r="Y260" s="974"/>
    </row>
    <row r="261" spans="1:25" s="979" customFormat="1" outlineLevel="1">
      <c r="A261" s="974"/>
      <c r="B261" s="973" t="s">
        <v>337</v>
      </c>
      <c r="C261" s="974"/>
      <c r="D261" s="975"/>
      <c r="E261" s="975"/>
      <c r="F261" s="976"/>
      <c r="G261" s="976"/>
      <c r="H261" s="972"/>
      <c r="I261" s="972"/>
      <c r="J261" s="977"/>
      <c r="K261" s="972"/>
      <c r="L261" s="977"/>
      <c r="M261" s="972"/>
      <c r="N261" s="978"/>
      <c r="O261" s="972"/>
      <c r="P261" s="977"/>
      <c r="Q261" s="972"/>
      <c r="R261" s="977"/>
      <c r="S261" s="977"/>
      <c r="T261" s="977"/>
      <c r="U261" s="972"/>
      <c r="V261" s="978"/>
      <c r="W261" s="972"/>
      <c r="X261" s="972"/>
      <c r="Y261" s="972"/>
    </row>
    <row r="262" spans="1:25" ht="6" customHeight="1" outlineLevel="1">
      <c r="A262" s="1008"/>
      <c r="B262" s="974"/>
      <c r="C262" s="974"/>
      <c r="D262" s="974"/>
      <c r="E262" s="974"/>
      <c r="F262" s="974"/>
      <c r="G262" s="974"/>
      <c r="H262" s="974"/>
      <c r="I262" s="974"/>
      <c r="J262" s="1012"/>
      <c r="K262" s="1015"/>
      <c r="L262" s="1012"/>
      <c r="M262" s="974"/>
      <c r="N262" s="1012"/>
      <c r="O262" s="974"/>
      <c r="P262" s="1012"/>
      <c r="Q262" s="974"/>
      <c r="R262" s="1012"/>
      <c r="S262" s="1012"/>
      <c r="T262" s="1012"/>
      <c r="U262" s="974"/>
      <c r="V262" s="1012"/>
      <c r="W262" s="974"/>
      <c r="X262" s="974"/>
      <c r="Y262" s="974"/>
    </row>
    <row r="263" spans="1:25" s="4" customFormat="1">
      <c r="A263" s="974" t="s">
        <v>337</v>
      </c>
      <c r="B263" s="1028"/>
      <c r="C263" s="1028"/>
      <c r="D263" s="1028"/>
      <c r="E263" s="1028" t="s">
        <v>338</v>
      </c>
      <c r="F263" s="1028"/>
      <c r="G263" s="1028"/>
      <c r="H263" s="1028"/>
      <c r="I263" s="1028"/>
      <c r="J263" s="1029">
        <f>SUM(J261:J262)</f>
        <v>0</v>
      </c>
      <c r="K263" s="1030"/>
      <c r="L263" s="1029">
        <f>SUM(L261:L262)</f>
        <v>0</v>
      </c>
      <c r="M263" s="1030"/>
      <c r="N263" s="1029">
        <f>SUM(N261:N262)</f>
        <v>0</v>
      </c>
      <c r="O263" s="1030"/>
      <c r="P263" s="1029">
        <f>SUM(P261:P262)</f>
        <v>0</v>
      </c>
      <c r="Q263" s="1030"/>
      <c r="R263" s="1029">
        <f>SUM(R261:R262)</f>
        <v>0</v>
      </c>
      <c r="S263" s="1029">
        <f>SUM(S261:S262)</f>
        <v>0</v>
      </c>
      <c r="T263" s="1029">
        <f>SUM(T261:T262)</f>
        <v>0</v>
      </c>
      <c r="U263" s="1030"/>
      <c r="V263" s="1029">
        <f>SUM(V261:V262)</f>
        <v>0</v>
      </c>
      <c r="W263" s="974"/>
      <c r="X263" s="974"/>
      <c r="Y263" s="974"/>
    </row>
    <row r="264" spans="1:25">
      <c r="A264" s="1031"/>
      <c r="B264" s="974"/>
      <c r="C264" s="974"/>
      <c r="D264" s="974"/>
      <c r="E264" s="974"/>
      <c r="F264" s="974"/>
      <c r="G264" s="974"/>
      <c r="H264" s="974"/>
      <c r="I264" s="974"/>
      <c r="J264" s="1032"/>
      <c r="K264" s="1032"/>
      <c r="L264" s="1033"/>
      <c r="M264" s="1033"/>
      <c r="N264" s="1033"/>
      <c r="O264" s="1033"/>
      <c r="P264" s="1033"/>
      <c r="Q264" s="1033"/>
      <c r="R264" s="1033"/>
      <c r="S264" s="1033"/>
      <c r="T264" s="1033"/>
      <c r="U264" s="1033"/>
      <c r="V264" s="1033"/>
      <c r="W264" s="974"/>
      <c r="X264" s="974"/>
      <c r="Y264" s="974"/>
    </row>
    <row r="265" spans="1:25">
      <c r="B265" s="974"/>
      <c r="C265" s="974"/>
      <c r="D265" s="974"/>
      <c r="E265" s="974"/>
      <c r="F265" s="974"/>
      <c r="G265" s="974"/>
      <c r="H265" s="974"/>
      <c r="I265" s="974"/>
      <c r="J265" s="974"/>
      <c r="K265" s="974"/>
      <c r="L265" s="974"/>
      <c r="M265" s="974"/>
      <c r="N265" s="974"/>
      <c r="O265" s="974"/>
      <c r="P265" s="974"/>
      <c r="Q265" s="974"/>
      <c r="R265" s="974"/>
      <c r="S265" s="974"/>
      <c r="T265" s="974"/>
      <c r="U265" s="974"/>
      <c r="V265" s="974"/>
      <c r="W265" s="974"/>
      <c r="X265" s="974"/>
      <c r="Y265" s="974"/>
    </row>
    <row r="266" spans="1:25">
      <c r="B266" s="974"/>
      <c r="C266" s="974"/>
      <c r="D266" s="974"/>
      <c r="E266" s="974"/>
      <c r="F266" s="974"/>
      <c r="G266" s="974"/>
      <c r="H266" s="974"/>
      <c r="I266" s="974"/>
      <c r="J266" s="974"/>
      <c r="K266" s="974"/>
      <c r="L266" s="974"/>
      <c r="M266" s="974"/>
      <c r="N266" s="974"/>
      <c r="O266" s="974"/>
      <c r="P266" s="974"/>
      <c r="Q266" s="974"/>
      <c r="R266" s="974"/>
      <c r="S266" s="974"/>
      <c r="T266" s="974"/>
      <c r="U266" s="974"/>
      <c r="V266" s="974"/>
      <c r="W266" s="974"/>
      <c r="X266" s="974"/>
      <c r="Y266" s="974"/>
    </row>
  </sheetData>
  <dataValidations disablePrompts="1" count="1">
    <dataValidation type="list" allowBlank="1" showInputMessage="1" showErrorMessage="1" sqref="V7">
      <formula1>"TRUE,FALSE"</formula1>
    </dataValidation>
  </dataValidations>
  <pageMargins left="0.5" right="0.5" top="0.39" bottom="0.4" header="0.25" footer="0.25"/>
  <pageSetup scale="70" fitToHeight="0" orientation="landscape" errors="blank" r:id="rId1"/>
  <headerFooter alignWithMargins="0">
    <oddFooter xml:space="preserve">&amp;L&amp;F - &amp;A
&amp;RPage &amp;P of &amp;N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Y264"/>
  <sheetViews>
    <sheetView showGridLines="0" view="pageBreakPreview" topLeftCell="A97" zoomScale="60" zoomScaleNormal="75" workbookViewId="0">
      <selection activeCell="AI26" sqref="AI26"/>
    </sheetView>
  </sheetViews>
  <sheetFormatPr defaultColWidth="13.85546875" defaultRowHeight="12.75" outlineLevelRow="1"/>
  <cols>
    <col min="1" max="1" width="116.7109375" style="1" customWidth="1"/>
    <col min="2" max="2" width="16.5703125" style="1" customWidth="1"/>
    <col min="3" max="3" width="12.42578125" style="1" customWidth="1"/>
    <col min="4" max="4" width="6.85546875" style="1" customWidth="1"/>
    <col min="5" max="6" width="2.28515625" style="1" customWidth="1"/>
    <col min="7" max="7" width="25.5703125" style="1" customWidth="1"/>
    <col min="8" max="8" width="3.85546875" style="1" customWidth="1"/>
    <col min="9" max="9" width="2" style="1" customWidth="1"/>
    <col min="10" max="10" width="15.5703125" style="1" customWidth="1"/>
    <col min="11" max="11" width="1.85546875" style="1" customWidth="1"/>
    <col min="12" max="12" width="15.5703125" style="1" customWidth="1"/>
    <col min="13" max="13" width="1.85546875" style="1" customWidth="1"/>
    <col min="14" max="14" width="15.5703125" style="1" customWidth="1"/>
    <col min="15" max="15" width="1.85546875" style="1" customWidth="1"/>
    <col min="16" max="16" width="15.5703125" style="1" customWidth="1"/>
    <col min="17" max="17" width="3.140625" style="1" customWidth="1"/>
    <col min="18" max="20" width="16.28515625" style="1" bestFit="1" customWidth="1"/>
    <col min="21" max="21" width="1.85546875" style="1" customWidth="1"/>
    <col min="22" max="22" width="15.5703125" style="1" customWidth="1"/>
    <col min="23" max="23" width="2.85546875" style="1" customWidth="1"/>
    <col min="24" max="16384" width="13.85546875" style="1"/>
  </cols>
  <sheetData>
    <row r="1" spans="1:25">
      <c r="D1" s="1" t="s">
        <v>198</v>
      </c>
      <c r="E1" s="1" t="s">
        <v>199</v>
      </c>
      <c r="F1" s="2"/>
      <c r="G1" s="3"/>
      <c r="J1" s="1" t="s">
        <v>211</v>
      </c>
      <c r="L1" s="1" t="s">
        <v>1747</v>
      </c>
      <c r="N1" s="1" t="s">
        <v>1748</v>
      </c>
      <c r="R1" s="971" t="s">
        <v>209</v>
      </c>
      <c r="S1" s="971" t="s">
        <v>210</v>
      </c>
    </row>
    <row r="2" spans="1:25" s="979" customFormat="1" outlineLevel="1">
      <c r="A2" s="972"/>
      <c r="B2" s="973"/>
      <c r="C2" s="974"/>
      <c r="D2" s="975"/>
      <c r="E2" s="975"/>
      <c r="F2" s="976"/>
      <c r="G2" s="976"/>
      <c r="H2" s="972"/>
      <c r="I2" s="972"/>
      <c r="J2" s="977">
        <v>0</v>
      </c>
      <c r="K2" s="972"/>
      <c r="L2" s="977">
        <v>0</v>
      </c>
      <c r="M2" s="972"/>
      <c r="N2" s="978">
        <v>0</v>
      </c>
      <c r="O2" s="972"/>
      <c r="P2" s="977">
        <f>J2+L2+N2</f>
        <v>0</v>
      </c>
      <c r="Q2" s="972"/>
      <c r="R2" s="977">
        <v>0</v>
      </c>
      <c r="S2" s="977">
        <v>0</v>
      </c>
      <c r="T2" s="977">
        <f>P2</f>
        <v>0</v>
      </c>
      <c r="U2" s="972"/>
      <c r="V2" s="978">
        <f>T2-S2</f>
        <v>0</v>
      </c>
      <c r="W2" s="972"/>
      <c r="X2" s="972"/>
    </row>
    <row r="3" spans="1:25">
      <c r="G3" s="3"/>
      <c r="J3" s="1" t="str">
        <f>D9</f>
        <v>2016-09</v>
      </c>
      <c r="L3" s="1" t="str">
        <f>D9</f>
        <v>2016-09</v>
      </c>
      <c r="N3" s="1" t="str">
        <f>YearMonth</f>
        <v>2016-09</v>
      </c>
      <c r="P3" s="1" t="str">
        <f>D9</f>
        <v>2016-09</v>
      </c>
      <c r="R3" s="1" t="str">
        <f>IFERROR(TEXT(EDATE($B$7,MID(LEFT(R1,FIND(")",R1)-1),FIND("(",R1)+1,LEN(R1))),"yyyy-mm"),"")</f>
        <v>2016-07</v>
      </c>
      <c r="S3" s="1" t="str">
        <f>IFERROR(TEXT(EDATE($B$7,MID(LEFT(S1,FIND(")",S1)-1),FIND("(",S1)+1,LEN(S1))),"yyyy-mm"),"")</f>
        <v>2016-08</v>
      </c>
      <c r="T3" s="1" t="str">
        <f>D9</f>
        <v>2016-09</v>
      </c>
    </row>
    <row r="4" spans="1:25">
      <c r="A4" s="1" t="str">
        <f>_xll.jBinder("MarkerCell")</f>
        <v>jBinderOption{MarkerCell}: This cell will be used to note the tab was created from the binder.</v>
      </c>
      <c r="B4" s="1" t="str">
        <f ca="1">_xll.ReportVariable("FinCube",B11:B264,A1:Y1,A2:Y2,_xll.Param("BS"&amp;IF(ExcludeIC=TRUE,",!Eliminated",""),District,System,,,,"*",,RIGHT(YearMonth,2),LEFT(YearMonth,4),,,1,,FALSE))</f>
        <v>OK!: ReportVariable Formula OK [jAction{}]</v>
      </c>
      <c r="G4" s="3"/>
      <c r="J4" s="1" t="s">
        <v>1749</v>
      </c>
      <c r="L4" s="1" t="s">
        <v>1750</v>
      </c>
      <c r="N4" s="1" t="s">
        <v>1748</v>
      </c>
      <c r="P4" s="1" t="s">
        <v>1566</v>
      </c>
      <c r="R4" s="1" t="s">
        <v>1566</v>
      </c>
      <c r="S4" s="1" t="s">
        <v>1566</v>
      </c>
      <c r="T4" s="1" t="s">
        <v>1566</v>
      </c>
    </row>
    <row r="5" spans="1:25">
      <c r="A5" s="1" t="str">
        <f>_xll.jBinder("ChooseSegmentListtoIterateThru","Dist")</f>
        <v>jBinderOption{ChooseSegmentListtoIterateThru|Dist}: Option "ChooseSegmentListtoIterateThru" has value "Dist"</v>
      </c>
      <c r="B5" s="1" t="str">
        <f ca="1">_xll.ReportDrill(,"JEQuery_WithStaged",_xll.PairGroup(_xll.PairExt("C:d","Accounts"),_xll.PairExt(System,"Systems","N"),_xll.PairExt("R:3","DateFrom","Y"),_xll.PairExt("R:3","DateTo","Y"),_xll.PairExt(District,"Districts"),_xll.PairExt("","SubSystems","n"),_xll.PairExt("","VendorCode","n"),_xll.PairExt("","AmountFrom","N"),_xll.PairExt("","AmountTo","n"),_xll.PairExt("R:4","Posting","Y")),"Drill To JEQuery")</f>
        <v>OK!: ReportDrill 'Drill To JEQuery' Formula OK [jAction{}]</v>
      </c>
    </row>
    <row r="6" spans="1:25">
      <c r="A6" s="1" t="str">
        <f>_xll.jBinder("CreateSummaryTab","False")</f>
        <v>jBinderOption{CreateSummaryTab|False}: Option "CreateSummaryTab" has value "False"</v>
      </c>
      <c r="B6" s="1" t="str">
        <f ca="1">_xll.ReportDrill(,"JEQuery_WithStaged",_xll.PairGroup(_xll.PairExt("C:a","Accounts"),_xll.PairExt(System,"Systems","N"),_xll.PairExt("R:3","DateFrom","Y"),_xll.PairExt("R:3","DateTo","Y"),_xll.PairExt(District,"Districts"),_xll.PairExt("","SubSystems","n"),_xll.PairExt("","VendorCode","n"),_xll.PairExt("","AmountFrom","N"),_xll.PairExt("","AmountTo","n"),_xll.PairExt("R:4","Posting","Y")),"Drill To JEQuery")</f>
        <v>OK!: ReportDrill 'Drill To JEQuery' Formula OK [jAction{}]</v>
      </c>
    </row>
    <row r="7" spans="1:25" s="982" customFormat="1" ht="15.75">
      <c r="A7" s="1" t="str">
        <f ca="1">_xll.jBinder("Dist",District)</f>
        <v>jBinderOption{Dist||N7}: "Dist" can iterate on cell "N7"</v>
      </c>
      <c r="B7" s="980">
        <f>DATEVALUE(RIGHT(YearMonth,2)&amp;"/1/"&amp;LEFT(YearMonth,4))</f>
        <v>42614</v>
      </c>
      <c r="C7" s="1"/>
      <c r="D7" s="981" t="s">
        <v>212</v>
      </c>
      <c r="L7" s="983" t="s">
        <v>213</v>
      </c>
      <c r="N7" s="984">
        <v>2010</v>
      </c>
      <c r="T7" s="983" t="s">
        <v>215</v>
      </c>
      <c r="U7" s="985"/>
      <c r="V7" s="984"/>
      <c r="X7" s="986"/>
    </row>
    <row r="8" spans="1:25" s="982" customFormat="1" ht="15.75">
      <c r="A8" s="982" t="str">
        <f>_xll.jBinder("TabSuffix","_BS")</f>
        <v>jBinderOption{TabSuffix|_BS}: Option "TabSuffix" has value "_BS"</v>
      </c>
      <c r="B8" s="987"/>
      <c r="C8" s="987"/>
      <c r="D8" s="981" t="s">
        <v>1751</v>
      </c>
      <c r="J8" s="988" t="str">
        <f>IF(ISERROR($B$7),"The date cell in D9  must be in YYYY-MM format","")</f>
        <v/>
      </c>
      <c r="N8" s="984"/>
      <c r="T8" s="983" t="s">
        <v>218</v>
      </c>
      <c r="V8" s="989" t="s">
        <v>217</v>
      </c>
    </row>
    <row r="9" spans="1:25" s="982" customFormat="1" ht="15.75">
      <c r="B9" s="987"/>
      <c r="C9" s="987"/>
      <c r="D9" s="990" t="s">
        <v>1930</v>
      </c>
      <c r="J9" s="991" t="s">
        <v>1752</v>
      </c>
      <c r="K9" s="992"/>
      <c r="L9" s="991" t="s">
        <v>1752</v>
      </c>
      <c r="M9" s="992"/>
      <c r="N9" s="991" t="s">
        <v>1752</v>
      </c>
      <c r="O9" s="992"/>
      <c r="P9" s="991" t="s">
        <v>1752</v>
      </c>
      <c r="Q9" s="992"/>
      <c r="R9" s="991" t="s">
        <v>1752</v>
      </c>
      <c r="S9" s="991" t="s">
        <v>1752</v>
      </c>
      <c r="T9" s="991" t="s">
        <v>1752</v>
      </c>
    </row>
    <row r="10" spans="1:25" s="982" customFormat="1" ht="15">
      <c r="B10" s="974"/>
      <c r="C10" s="974"/>
      <c r="D10" s="993"/>
      <c r="E10" s="994"/>
      <c r="F10" s="994"/>
      <c r="G10" s="994"/>
      <c r="H10" s="994"/>
      <c r="I10" s="994"/>
      <c r="J10" s="995" t="s">
        <v>1753</v>
      </c>
      <c r="K10" s="995"/>
      <c r="L10" s="995"/>
      <c r="M10" s="995"/>
      <c r="N10" s="995"/>
      <c r="O10" s="995"/>
      <c r="P10" s="995"/>
      <c r="Q10" s="994"/>
      <c r="R10" s="995" t="s">
        <v>1754</v>
      </c>
      <c r="S10" s="995"/>
      <c r="T10" s="995"/>
      <c r="U10" s="994"/>
      <c r="V10" s="994"/>
      <c r="W10" s="994"/>
      <c r="X10" s="994"/>
      <c r="Y10" s="994"/>
    </row>
    <row r="11" spans="1:25" s="996" customFormat="1">
      <c r="B11" s="974"/>
      <c r="C11" s="974"/>
      <c r="D11" s="994"/>
      <c r="E11" s="994"/>
      <c r="F11" s="994"/>
      <c r="G11" s="994"/>
      <c r="H11" s="994"/>
      <c r="I11" s="994"/>
      <c r="J11" s="994"/>
      <c r="K11" s="994"/>
      <c r="L11" s="994"/>
      <c r="M11" s="994"/>
      <c r="N11" s="994"/>
      <c r="O11" s="994"/>
      <c r="P11" s="994"/>
      <c r="Q11" s="994"/>
      <c r="R11" s="994"/>
      <c r="S11" s="994"/>
      <c r="T11" s="997"/>
      <c r="U11" s="994"/>
      <c r="V11" s="994"/>
      <c r="W11" s="994"/>
      <c r="X11" s="994"/>
      <c r="Y11" s="994"/>
    </row>
    <row r="12" spans="1:25" s="996" customFormat="1">
      <c r="B12" s="974"/>
      <c r="C12" s="974"/>
      <c r="D12" s="994"/>
      <c r="E12" s="994"/>
      <c r="F12" s="994"/>
      <c r="G12" s="994"/>
      <c r="H12" s="994"/>
      <c r="I12" s="994"/>
      <c r="J12" s="994"/>
      <c r="K12" s="994"/>
      <c r="L12" s="998" t="s">
        <v>1755</v>
      </c>
      <c r="M12" s="999"/>
      <c r="N12" s="998"/>
      <c r="O12" s="994"/>
      <c r="P12" s="1000"/>
      <c r="Q12" s="994"/>
      <c r="R12" s="1001"/>
      <c r="S12" s="1001"/>
      <c r="T12" s="1002" t="s">
        <v>27</v>
      </c>
      <c r="U12" s="994"/>
      <c r="V12" s="1003" t="s">
        <v>1756</v>
      </c>
      <c r="W12" s="994"/>
      <c r="X12" s="994"/>
      <c r="Y12" s="994"/>
    </row>
    <row r="13" spans="1:25" s="996" customFormat="1" ht="13.5" thickBot="1">
      <c r="B13" s="974"/>
      <c r="C13" s="974"/>
      <c r="D13" s="994"/>
      <c r="E13" s="994"/>
      <c r="F13" s="994"/>
      <c r="G13" s="994"/>
      <c r="H13" s="994"/>
      <c r="I13" s="994"/>
      <c r="J13" s="1004" t="s">
        <v>1749</v>
      </c>
      <c r="K13" s="994"/>
      <c r="L13" s="1004" t="s">
        <v>1750</v>
      </c>
      <c r="M13" s="994"/>
      <c r="N13" s="1005" t="s">
        <v>1748</v>
      </c>
      <c r="O13" s="994"/>
      <c r="P13" s="1004" t="s">
        <v>27</v>
      </c>
      <c r="Q13" s="994"/>
      <c r="R13" s="1006">
        <f>IFERROR(EDATE(S13,-1),"")</f>
        <v>42552</v>
      </c>
      <c r="S13" s="1006">
        <f>IFERROR(EDATE(T13,-1),"")</f>
        <v>42583</v>
      </c>
      <c r="T13" s="1006">
        <f>$B$7</f>
        <v>42614</v>
      </c>
      <c r="U13" s="994"/>
      <c r="V13" s="1005" t="s">
        <v>1757</v>
      </c>
      <c r="W13" s="994"/>
      <c r="X13" s="994"/>
      <c r="Y13" s="994"/>
    </row>
    <row r="14" spans="1:25" s="996" customFormat="1" ht="5.25" customHeight="1">
      <c r="B14" s="974"/>
      <c r="C14" s="974"/>
      <c r="D14" s="994"/>
      <c r="E14" s="994"/>
      <c r="F14" s="1007"/>
      <c r="G14" s="994"/>
      <c r="H14" s="994"/>
      <c r="I14" s="994"/>
      <c r="J14" s="991"/>
      <c r="K14" s="994"/>
      <c r="L14" s="991"/>
      <c r="M14" s="994"/>
      <c r="N14" s="991"/>
      <c r="O14" s="994"/>
      <c r="P14" s="991"/>
      <c r="Q14" s="994"/>
      <c r="R14" s="991"/>
      <c r="S14" s="991"/>
      <c r="T14" s="991"/>
      <c r="U14" s="994"/>
      <c r="V14" s="991"/>
      <c r="W14" s="994"/>
      <c r="X14" s="994"/>
      <c r="Y14" s="994"/>
    </row>
    <row r="15" spans="1:25" s="979" customFormat="1" ht="4.5" customHeight="1">
      <c r="B15" s="974"/>
      <c r="C15" s="974"/>
      <c r="D15" s="972"/>
      <c r="E15" s="972"/>
      <c r="F15" s="972"/>
      <c r="G15" s="972"/>
      <c r="H15" s="972"/>
      <c r="I15" s="972"/>
      <c r="J15" s="972"/>
      <c r="K15" s="972"/>
      <c r="L15" s="972"/>
      <c r="M15" s="972"/>
      <c r="N15" s="972"/>
      <c r="O15" s="972"/>
      <c r="P15" s="972"/>
      <c r="Q15" s="994"/>
      <c r="R15" s="972"/>
      <c r="S15" s="972"/>
      <c r="T15" s="972"/>
      <c r="U15" s="972"/>
      <c r="V15" s="972"/>
      <c r="W15" s="972"/>
      <c r="X15" s="972"/>
      <c r="Y15" s="972"/>
    </row>
    <row r="16" spans="1:25" s="979" customFormat="1" outlineLevel="1">
      <c r="A16" s="972"/>
      <c r="B16" s="973" t="s">
        <v>1128</v>
      </c>
      <c r="C16" s="974"/>
      <c r="D16" s="975">
        <v>10050</v>
      </c>
      <c r="E16" s="975" t="s">
        <v>1758</v>
      </c>
      <c r="F16" s="976"/>
      <c r="G16" s="976"/>
      <c r="H16" s="972"/>
      <c r="I16" s="972"/>
      <c r="J16" s="977">
        <v>26323.53</v>
      </c>
      <c r="K16" s="972"/>
      <c r="L16" s="977">
        <v>0</v>
      </c>
      <c r="M16" s="972"/>
      <c r="N16" s="978">
        <v>0</v>
      </c>
      <c r="O16" s="972"/>
      <c r="P16" s="977">
        <f t="shared" ref="P16:P26" si="0">J16+L16+N16</f>
        <v>26323.53</v>
      </c>
      <c r="Q16" s="972"/>
      <c r="R16" s="977">
        <v>15332.2</v>
      </c>
      <c r="S16" s="977">
        <v>4076.9</v>
      </c>
      <c r="T16" s="977">
        <f t="shared" ref="T16:T26" si="1">P16</f>
        <v>26323.53</v>
      </c>
      <c r="U16" s="972"/>
      <c r="V16" s="978">
        <f t="shared" ref="V16:V26" si="2">T16-S16</f>
        <v>22246.629999999997</v>
      </c>
      <c r="W16" s="972"/>
      <c r="X16" s="972"/>
    </row>
    <row r="17" spans="1:25" s="979" customFormat="1" outlineLevel="1">
      <c r="A17" s="972"/>
      <c r="B17" s="973" t="s">
        <v>223</v>
      </c>
      <c r="C17" s="974"/>
      <c r="D17" s="975">
        <v>10051</v>
      </c>
      <c r="E17" s="975" t="s">
        <v>1759</v>
      </c>
      <c r="F17" s="976"/>
      <c r="G17" s="976"/>
      <c r="H17" s="972"/>
      <c r="I17" s="972"/>
      <c r="J17" s="977">
        <v>1330</v>
      </c>
      <c r="K17" s="972"/>
      <c r="L17" s="977">
        <v>0</v>
      </c>
      <c r="M17" s="972"/>
      <c r="N17" s="978">
        <v>0</v>
      </c>
      <c r="O17" s="972"/>
      <c r="P17" s="977">
        <f t="shared" si="0"/>
        <v>1330</v>
      </c>
      <c r="Q17" s="972"/>
      <c r="R17" s="977">
        <v>1330</v>
      </c>
      <c r="S17" s="977">
        <v>1330</v>
      </c>
      <c r="T17" s="977">
        <f t="shared" si="1"/>
        <v>1330</v>
      </c>
      <c r="U17" s="972"/>
      <c r="V17" s="978">
        <f t="shared" si="2"/>
        <v>0</v>
      </c>
      <c r="W17" s="972"/>
      <c r="X17" s="972"/>
    </row>
    <row r="18" spans="1:25" s="979" customFormat="1" outlineLevel="1">
      <c r="A18" s="972"/>
      <c r="B18" s="973" t="s">
        <v>223</v>
      </c>
      <c r="C18" s="974"/>
      <c r="D18" s="975">
        <v>10070</v>
      </c>
      <c r="E18" s="975" t="s">
        <v>1760</v>
      </c>
      <c r="F18" s="976"/>
      <c r="G18" s="976"/>
      <c r="H18" s="972"/>
      <c r="I18" s="972"/>
      <c r="J18" s="977">
        <v>-204707.8</v>
      </c>
      <c r="K18" s="972"/>
      <c r="L18" s="977">
        <v>0</v>
      </c>
      <c r="M18" s="972"/>
      <c r="N18" s="978">
        <v>0</v>
      </c>
      <c r="O18" s="972"/>
      <c r="P18" s="977">
        <f t="shared" si="0"/>
        <v>-204707.8</v>
      </c>
      <c r="Q18" s="972"/>
      <c r="R18" s="977">
        <v>-204707.8</v>
      </c>
      <c r="S18" s="977">
        <v>-204707.8</v>
      </c>
      <c r="T18" s="977">
        <f t="shared" si="1"/>
        <v>-204707.8</v>
      </c>
      <c r="U18" s="972"/>
      <c r="V18" s="978">
        <f t="shared" si="2"/>
        <v>0</v>
      </c>
      <c r="W18" s="972"/>
      <c r="X18" s="972"/>
    </row>
    <row r="19" spans="1:25" s="979" customFormat="1" outlineLevel="1">
      <c r="A19" s="972"/>
      <c r="B19" s="973" t="s">
        <v>223</v>
      </c>
      <c r="C19" s="974"/>
      <c r="D19" s="975">
        <v>10071</v>
      </c>
      <c r="E19" s="975" t="s">
        <v>1761</v>
      </c>
      <c r="F19" s="976"/>
      <c r="G19" s="976"/>
      <c r="H19" s="972"/>
      <c r="I19" s="972"/>
      <c r="J19" s="977">
        <v>204707.8</v>
      </c>
      <c r="K19" s="972"/>
      <c r="L19" s="977">
        <v>0</v>
      </c>
      <c r="M19" s="972"/>
      <c r="N19" s="978">
        <v>0</v>
      </c>
      <c r="O19" s="972"/>
      <c r="P19" s="977">
        <f t="shared" si="0"/>
        <v>204707.8</v>
      </c>
      <c r="Q19" s="972"/>
      <c r="R19" s="977">
        <v>204707.8</v>
      </c>
      <c r="S19" s="977">
        <v>204707.8</v>
      </c>
      <c r="T19" s="977">
        <f t="shared" si="1"/>
        <v>204707.8</v>
      </c>
      <c r="U19" s="972"/>
      <c r="V19" s="978">
        <f t="shared" si="2"/>
        <v>0</v>
      </c>
      <c r="W19" s="972"/>
      <c r="X19" s="972"/>
    </row>
    <row r="20" spans="1:25" s="979" customFormat="1" outlineLevel="1">
      <c r="A20" s="972"/>
      <c r="B20" s="973" t="s">
        <v>223</v>
      </c>
      <c r="C20" s="974"/>
      <c r="D20" s="975">
        <v>10092</v>
      </c>
      <c r="E20" s="975" t="s">
        <v>1762</v>
      </c>
      <c r="F20" s="976"/>
      <c r="G20" s="976"/>
      <c r="H20" s="972"/>
      <c r="I20" s="972"/>
      <c r="J20" s="977">
        <v>0</v>
      </c>
      <c r="K20" s="972"/>
      <c r="L20" s="977">
        <v>0</v>
      </c>
      <c r="M20" s="972"/>
      <c r="N20" s="978">
        <v>0</v>
      </c>
      <c r="O20" s="972"/>
      <c r="P20" s="977">
        <f t="shared" si="0"/>
        <v>0</v>
      </c>
      <c r="Q20" s="972"/>
      <c r="R20" s="977">
        <v>0</v>
      </c>
      <c r="S20" s="977">
        <v>0</v>
      </c>
      <c r="T20" s="977">
        <f t="shared" si="1"/>
        <v>0</v>
      </c>
      <c r="U20" s="972"/>
      <c r="V20" s="978">
        <f t="shared" si="2"/>
        <v>0</v>
      </c>
      <c r="W20" s="972"/>
      <c r="X20" s="972"/>
    </row>
    <row r="21" spans="1:25" s="979" customFormat="1" outlineLevel="1">
      <c r="A21" s="972"/>
      <c r="B21" s="973" t="s">
        <v>223</v>
      </c>
      <c r="C21" s="974"/>
      <c r="D21" s="975">
        <v>10093</v>
      </c>
      <c r="E21" s="975" t="s">
        <v>1763</v>
      </c>
      <c r="F21" s="976"/>
      <c r="G21" s="976"/>
      <c r="H21" s="972"/>
      <c r="I21" s="972"/>
      <c r="J21" s="977">
        <v>0</v>
      </c>
      <c r="K21" s="972"/>
      <c r="L21" s="977">
        <v>0</v>
      </c>
      <c r="M21" s="972"/>
      <c r="N21" s="978">
        <v>0</v>
      </c>
      <c r="O21" s="972"/>
      <c r="P21" s="977">
        <f t="shared" si="0"/>
        <v>0</v>
      </c>
      <c r="Q21" s="972"/>
      <c r="R21" s="977">
        <v>0</v>
      </c>
      <c r="S21" s="977">
        <v>0</v>
      </c>
      <c r="T21" s="977">
        <f t="shared" si="1"/>
        <v>0</v>
      </c>
      <c r="U21" s="972"/>
      <c r="V21" s="978">
        <f t="shared" si="2"/>
        <v>0</v>
      </c>
      <c r="W21" s="972"/>
      <c r="X21" s="972"/>
    </row>
    <row r="22" spans="1:25" s="979" customFormat="1" outlineLevel="1">
      <c r="A22" s="972"/>
      <c r="B22" s="973" t="s">
        <v>223</v>
      </c>
      <c r="C22" s="974"/>
      <c r="D22" s="975">
        <v>10095</v>
      </c>
      <c r="E22" s="975" t="s">
        <v>1764</v>
      </c>
      <c r="F22" s="976"/>
      <c r="G22" s="976"/>
      <c r="H22" s="972"/>
      <c r="I22" s="972"/>
      <c r="J22" s="977">
        <v>164.45</v>
      </c>
      <c r="K22" s="972"/>
      <c r="L22" s="977">
        <v>0</v>
      </c>
      <c r="M22" s="972"/>
      <c r="N22" s="978">
        <v>0</v>
      </c>
      <c r="O22" s="972"/>
      <c r="P22" s="977">
        <f t="shared" si="0"/>
        <v>164.45</v>
      </c>
      <c r="Q22" s="972"/>
      <c r="R22" s="977">
        <v>-698.49</v>
      </c>
      <c r="S22" s="977">
        <v>-51.47</v>
      </c>
      <c r="T22" s="977">
        <f t="shared" si="1"/>
        <v>164.45</v>
      </c>
      <c r="U22" s="972"/>
      <c r="V22" s="978">
        <f t="shared" si="2"/>
        <v>215.92</v>
      </c>
      <c r="W22" s="972"/>
      <c r="X22" s="972"/>
    </row>
    <row r="23" spans="1:25" s="979" customFormat="1" outlineLevel="1">
      <c r="A23" s="972"/>
      <c r="B23" s="973" t="s">
        <v>223</v>
      </c>
      <c r="C23" s="974"/>
      <c r="D23" s="975">
        <v>10096</v>
      </c>
      <c r="E23" s="975" t="s">
        <v>1765</v>
      </c>
      <c r="F23" s="976"/>
      <c r="G23" s="976"/>
      <c r="H23" s="972"/>
      <c r="I23" s="972"/>
      <c r="J23" s="977">
        <v>0</v>
      </c>
      <c r="K23" s="972"/>
      <c r="L23" s="977">
        <v>0</v>
      </c>
      <c r="M23" s="972"/>
      <c r="N23" s="978">
        <v>0</v>
      </c>
      <c r="O23" s="972"/>
      <c r="P23" s="977">
        <f t="shared" si="0"/>
        <v>0</v>
      </c>
      <c r="Q23" s="972"/>
      <c r="R23" s="977">
        <v>575.16999999999996</v>
      </c>
      <c r="S23" s="977">
        <v>0</v>
      </c>
      <c r="T23" s="977">
        <f t="shared" si="1"/>
        <v>0</v>
      </c>
      <c r="U23" s="972"/>
      <c r="V23" s="978">
        <f t="shared" si="2"/>
        <v>0</v>
      </c>
      <c r="W23" s="972"/>
      <c r="X23" s="972"/>
    </row>
    <row r="24" spans="1:25" s="979" customFormat="1" outlineLevel="1">
      <c r="A24" s="972"/>
      <c r="B24" s="973" t="s">
        <v>223</v>
      </c>
      <c r="C24" s="974"/>
      <c r="D24" s="975">
        <v>10097</v>
      </c>
      <c r="E24" s="975" t="s">
        <v>1766</v>
      </c>
      <c r="F24" s="976"/>
      <c r="G24" s="976"/>
      <c r="H24" s="972"/>
      <c r="I24" s="972"/>
      <c r="J24" s="977">
        <v>-3359.38</v>
      </c>
      <c r="K24" s="972"/>
      <c r="L24" s="977">
        <v>0</v>
      </c>
      <c r="M24" s="972"/>
      <c r="N24" s="978">
        <v>0</v>
      </c>
      <c r="O24" s="972"/>
      <c r="P24" s="977">
        <f t="shared" si="0"/>
        <v>-3359.38</v>
      </c>
      <c r="Q24" s="972"/>
      <c r="R24" s="977">
        <v>0</v>
      </c>
      <c r="S24" s="977">
        <v>0</v>
      </c>
      <c r="T24" s="977">
        <f t="shared" si="1"/>
        <v>-3359.38</v>
      </c>
      <c r="U24" s="972"/>
      <c r="V24" s="978">
        <f t="shared" si="2"/>
        <v>-3359.38</v>
      </c>
      <c r="W24" s="972"/>
      <c r="X24" s="972"/>
    </row>
    <row r="25" spans="1:25" s="979" customFormat="1" outlineLevel="1">
      <c r="A25" s="972"/>
      <c r="B25" s="973" t="s">
        <v>223</v>
      </c>
      <c r="C25" s="974"/>
      <c r="D25" s="975">
        <v>10098</v>
      </c>
      <c r="E25" s="975" t="s">
        <v>1767</v>
      </c>
      <c r="F25" s="976"/>
      <c r="G25" s="976"/>
      <c r="H25" s="972"/>
      <c r="I25" s="972"/>
      <c r="J25" s="977">
        <v>0</v>
      </c>
      <c r="K25" s="972"/>
      <c r="L25" s="977">
        <v>0</v>
      </c>
      <c r="M25" s="972"/>
      <c r="N25" s="978">
        <v>0</v>
      </c>
      <c r="O25" s="972"/>
      <c r="P25" s="977">
        <f t="shared" si="0"/>
        <v>0</v>
      </c>
      <c r="Q25" s="972"/>
      <c r="R25" s="977">
        <v>0</v>
      </c>
      <c r="S25" s="977">
        <v>0</v>
      </c>
      <c r="T25" s="977">
        <f t="shared" si="1"/>
        <v>0</v>
      </c>
      <c r="U25" s="972"/>
      <c r="V25" s="978">
        <f t="shared" si="2"/>
        <v>0</v>
      </c>
      <c r="W25" s="972"/>
      <c r="X25" s="972"/>
    </row>
    <row r="26" spans="1:25" s="979" customFormat="1" outlineLevel="1">
      <c r="A26" s="972"/>
      <c r="B26" s="973" t="s">
        <v>223</v>
      </c>
      <c r="C26" s="974"/>
      <c r="D26" s="975">
        <v>10099</v>
      </c>
      <c r="E26" s="975" t="s">
        <v>1768</v>
      </c>
      <c r="F26" s="976"/>
      <c r="G26" s="976"/>
      <c r="H26" s="972"/>
      <c r="I26" s="972"/>
      <c r="J26" s="977">
        <v>292.62</v>
      </c>
      <c r="K26" s="972"/>
      <c r="L26" s="977">
        <v>0</v>
      </c>
      <c r="M26" s="972"/>
      <c r="N26" s="978">
        <v>0</v>
      </c>
      <c r="O26" s="972"/>
      <c r="P26" s="977">
        <f t="shared" si="0"/>
        <v>292.62</v>
      </c>
      <c r="Q26" s="972"/>
      <c r="R26" s="977">
        <v>0</v>
      </c>
      <c r="S26" s="977">
        <v>0</v>
      </c>
      <c r="T26" s="977">
        <f t="shared" si="1"/>
        <v>292.62</v>
      </c>
      <c r="U26" s="972"/>
      <c r="V26" s="978">
        <f t="shared" si="2"/>
        <v>292.62</v>
      </c>
      <c r="W26" s="972"/>
      <c r="X26" s="972"/>
    </row>
    <row r="27" spans="1:25" s="979" customFormat="1" ht="4.5" customHeight="1" outlineLevel="1">
      <c r="A27" s="44"/>
      <c r="B27" s="1008" t="s">
        <v>217</v>
      </c>
      <c r="C27" s="1008"/>
      <c r="D27" s="972"/>
      <c r="E27" s="972"/>
      <c r="F27" s="972"/>
      <c r="G27" s="972"/>
      <c r="H27" s="972"/>
      <c r="I27" s="972"/>
      <c r="J27" s="1009"/>
      <c r="K27" s="972"/>
      <c r="L27" s="1009"/>
      <c r="M27" s="972"/>
      <c r="N27" s="1009"/>
      <c r="O27" s="972"/>
      <c r="P27" s="1009"/>
      <c r="Q27" s="972"/>
      <c r="R27" s="1009"/>
      <c r="S27" s="1009"/>
      <c r="T27" s="1009"/>
      <c r="U27" s="972"/>
      <c r="V27" s="1009"/>
      <c r="W27" s="972"/>
      <c r="X27" s="972"/>
      <c r="Y27" s="972"/>
    </row>
    <row r="28" spans="1:25" s="979" customFormat="1">
      <c r="A28" s="974" t="s">
        <v>1128</v>
      </c>
      <c r="B28" s="974" t="s">
        <v>217</v>
      </c>
      <c r="C28" s="974"/>
      <c r="D28" s="972"/>
      <c r="E28" s="972"/>
      <c r="F28" s="972" t="s">
        <v>1769</v>
      </c>
      <c r="G28" s="972"/>
      <c r="H28" s="972"/>
      <c r="I28" s="972"/>
      <c r="J28" s="1010">
        <f>SUM(J16:J27)</f>
        <v>24751.219999999998</v>
      </c>
      <c r="K28" s="972"/>
      <c r="L28" s="1010">
        <f>SUM(L16:L27)</f>
        <v>0</v>
      </c>
      <c r="M28" s="972"/>
      <c r="N28" s="1011">
        <f>SUM(N16:N27)</f>
        <v>0</v>
      </c>
      <c r="O28" s="972"/>
      <c r="P28" s="1010">
        <f t="shared" ref="P28:P38" si="3">J28+L28+N28</f>
        <v>24751.219999999998</v>
      </c>
      <c r="Q28" s="972"/>
      <c r="R28" s="1010">
        <f>SUM(R16:R27)</f>
        <v>16538.880000000012</v>
      </c>
      <c r="S28" s="1010">
        <f>SUM(S16:S27)</f>
        <v>5355.4299999999939</v>
      </c>
      <c r="T28" s="1010">
        <f>SUM(T16:T27)</f>
        <v>24751.219999999998</v>
      </c>
      <c r="U28" s="972"/>
      <c r="V28" s="1011">
        <f>SUM(V16:V27)</f>
        <v>19395.789999999994</v>
      </c>
      <c r="W28" s="972"/>
      <c r="X28" s="972"/>
      <c r="Y28" s="972"/>
    </row>
    <row r="29" spans="1:25" s="979" customFormat="1" outlineLevel="1">
      <c r="A29" s="972"/>
      <c r="B29" s="973" t="s">
        <v>1130</v>
      </c>
      <c r="C29" s="974"/>
      <c r="D29" s="975">
        <v>11501</v>
      </c>
      <c r="E29" s="975" t="s">
        <v>1770</v>
      </c>
      <c r="F29" s="976"/>
      <c r="G29" s="976"/>
      <c r="H29" s="972"/>
      <c r="I29" s="972"/>
      <c r="J29" s="977">
        <v>6199787.3700000001</v>
      </c>
      <c r="K29" s="972"/>
      <c r="L29" s="977">
        <v>0</v>
      </c>
      <c r="M29" s="972"/>
      <c r="N29" s="978">
        <v>0</v>
      </c>
      <c r="O29" s="972"/>
      <c r="P29" s="977">
        <f t="shared" si="3"/>
        <v>6199787.3700000001</v>
      </c>
      <c r="Q29" s="972"/>
      <c r="R29" s="977">
        <v>6435114.2400000002</v>
      </c>
      <c r="S29" s="977">
        <v>6415466.6200000001</v>
      </c>
      <c r="T29" s="977">
        <f t="shared" ref="T29:T38" si="4">P29</f>
        <v>6199787.3700000001</v>
      </c>
      <c r="U29" s="972"/>
      <c r="V29" s="978">
        <f t="shared" ref="V29:V38" si="5">T29-S29</f>
        <v>-215679.25</v>
      </c>
      <c r="W29" s="972"/>
      <c r="X29" s="972"/>
    </row>
    <row r="30" spans="1:25" s="979" customFormat="1" outlineLevel="1">
      <c r="A30" s="972"/>
      <c r="B30" s="973" t="s">
        <v>223</v>
      </c>
      <c r="C30" s="974"/>
      <c r="D30" s="975">
        <v>11502</v>
      </c>
      <c r="E30" s="975" t="s">
        <v>1931</v>
      </c>
      <c r="F30" s="976"/>
      <c r="G30" s="976"/>
      <c r="H30" s="972"/>
      <c r="I30" s="972"/>
      <c r="J30" s="977">
        <v>0</v>
      </c>
      <c r="K30" s="972"/>
      <c r="L30" s="977">
        <v>0</v>
      </c>
      <c r="M30" s="972"/>
      <c r="N30" s="978">
        <v>0</v>
      </c>
      <c r="O30" s="972"/>
      <c r="P30" s="977">
        <f t="shared" si="3"/>
        <v>0</v>
      </c>
      <c r="Q30" s="972"/>
      <c r="R30" s="977">
        <v>0</v>
      </c>
      <c r="S30" s="977">
        <v>0</v>
      </c>
      <c r="T30" s="977">
        <f t="shared" si="4"/>
        <v>0</v>
      </c>
      <c r="U30" s="972"/>
      <c r="V30" s="978">
        <f t="shared" si="5"/>
        <v>0</v>
      </c>
      <c r="W30" s="972"/>
      <c r="X30" s="972"/>
    </row>
    <row r="31" spans="1:25" s="979" customFormat="1" outlineLevel="1">
      <c r="A31" s="972"/>
      <c r="B31" s="973" t="s">
        <v>223</v>
      </c>
      <c r="C31" s="974"/>
      <c r="D31" s="975">
        <v>11510</v>
      </c>
      <c r="E31" s="975" t="s">
        <v>1771</v>
      </c>
      <c r="F31" s="976"/>
      <c r="G31" s="976"/>
      <c r="H31" s="972"/>
      <c r="I31" s="972"/>
      <c r="J31" s="977">
        <v>60793.02</v>
      </c>
      <c r="K31" s="972"/>
      <c r="L31" s="977">
        <v>0</v>
      </c>
      <c r="M31" s="972"/>
      <c r="N31" s="978">
        <v>0</v>
      </c>
      <c r="O31" s="972"/>
      <c r="P31" s="977">
        <f t="shared" si="3"/>
        <v>60793.02</v>
      </c>
      <c r="Q31" s="972"/>
      <c r="R31" s="977">
        <v>45557.18</v>
      </c>
      <c r="S31" s="977">
        <v>47848.959999999999</v>
      </c>
      <c r="T31" s="977">
        <f t="shared" si="4"/>
        <v>60793.02</v>
      </c>
      <c r="U31" s="972"/>
      <c r="V31" s="978">
        <f t="shared" si="5"/>
        <v>12944.059999999998</v>
      </c>
      <c r="W31" s="972"/>
      <c r="X31" s="972"/>
    </row>
    <row r="32" spans="1:25" s="979" customFormat="1" outlineLevel="1">
      <c r="A32" s="972"/>
      <c r="B32" s="973" t="s">
        <v>223</v>
      </c>
      <c r="C32" s="974"/>
      <c r="D32" s="975">
        <v>11511</v>
      </c>
      <c r="E32" s="975" t="s">
        <v>1772</v>
      </c>
      <c r="F32" s="976"/>
      <c r="G32" s="976"/>
      <c r="H32" s="972"/>
      <c r="I32" s="972"/>
      <c r="J32" s="977">
        <v>198038.82</v>
      </c>
      <c r="K32" s="972"/>
      <c r="L32" s="977">
        <v>0</v>
      </c>
      <c r="M32" s="972"/>
      <c r="N32" s="978">
        <v>0</v>
      </c>
      <c r="O32" s="972"/>
      <c r="P32" s="977">
        <f t="shared" si="3"/>
        <v>198038.82</v>
      </c>
      <c r="Q32" s="972"/>
      <c r="R32" s="977">
        <v>293161.3</v>
      </c>
      <c r="S32" s="977">
        <v>294859.2</v>
      </c>
      <c r="T32" s="977">
        <f t="shared" si="4"/>
        <v>198038.82</v>
      </c>
      <c r="U32" s="972"/>
      <c r="V32" s="978">
        <f t="shared" si="5"/>
        <v>-96820.38</v>
      </c>
      <c r="W32" s="972"/>
      <c r="X32" s="972"/>
    </row>
    <row r="33" spans="1:25" s="979" customFormat="1" outlineLevel="1">
      <c r="A33" s="972"/>
      <c r="B33" s="973" t="s">
        <v>223</v>
      </c>
      <c r="C33" s="974"/>
      <c r="D33" s="975">
        <v>11701</v>
      </c>
      <c r="E33" s="975" t="s">
        <v>1932</v>
      </c>
      <c r="F33" s="976"/>
      <c r="G33" s="976"/>
      <c r="H33" s="972"/>
      <c r="I33" s="972"/>
      <c r="J33" s="977">
        <v>0</v>
      </c>
      <c r="K33" s="972"/>
      <c r="L33" s="977">
        <v>0</v>
      </c>
      <c r="M33" s="972"/>
      <c r="N33" s="978">
        <v>0</v>
      </c>
      <c r="O33" s="972"/>
      <c r="P33" s="977">
        <f t="shared" si="3"/>
        <v>0</v>
      </c>
      <c r="Q33" s="972"/>
      <c r="R33" s="977">
        <v>0</v>
      </c>
      <c r="S33" s="977">
        <v>0</v>
      </c>
      <c r="T33" s="977">
        <f t="shared" si="4"/>
        <v>0</v>
      </c>
      <c r="U33" s="972"/>
      <c r="V33" s="978">
        <f t="shared" si="5"/>
        <v>0</v>
      </c>
      <c r="W33" s="972"/>
      <c r="X33" s="972"/>
    </row>
    <row r="34" spans="1:25" s="979" customFormat="1" outlineLevel="1">
      <c r="A34" s="972"/>
      <c r="B34" s="973" t="s">
        <v>223</v>
      </c>
      <c r="C34" s="974"/>
      <c r="D34" s="975">
        <v>11800</v>
      </c>
      <c r="E34" s="975" t="s">
        <v>1773</v>
      </c>
      <c r="F34" s="976"/>
      <c r="G34" s="976"/>
      <c r="H34" s="972"/>
      <c r="I34" s="972"/>
      <c r="J34" s="977">
        <v>42464</v>
      </c>
      <c r="K34" s="972"/>
      <c r="L34" s="977">
        <v>0</v>
      </c>
      <c r="M34" s="972"/>
      <c r="N34" s="978">
        <v>0</v>
      </c>
      <c r="O34" s="972"/>
      <c r="P34" s="977">
        <f t="shared" si="3"/>
        <v>42464</v>
      </c>
      <c r="Q34" s="972"/>
      <c r="R34" s="977">
        <v>42193.02</v>
      </c>
      <c r="S34" s="977">
        <v>46864.58</v>
      </c>
      <c r="T34" s="977">
        <f t="shared" si="4"/>
        <v>42464</v>
      </c>
      <c r="U34" s="972"/>
      <c r="V34" s="978">
        <f t="shared" si="5"/>
        <v>-4400.5800000000017</v>
      </c>
      <c r="W34" s="972"/>
      <c r="X34" s="972"/>
    </row>
    <row r="35" spans="1:25" s="979" customFormat="1" outlineLevel="1">
      <c r="A35" s="972"/>
      <c r="B35" s="973" t="s">
        <v>223</v>
      </c>
      <c r="C35" s="974"/>
      <c r="D35" s="975">
        <v>11900</v>
      </c>
      <c r="E35" s="975" t="s">
        <v>1774</v>
      </c>
      <c r="F35" s="976"/>
      <c r="G35" s="976"/>
      <c r="H35" s="972"/>
      <c r="I35" s="972"/>
      <c r="J35" s="977">
        <v>-870121.46</v>
      </c>
      <c r="K35" s="972"/>
      <c r="L35" s="977">
        <v>0</v>
      </c>
      <c r="M35" s="972"/>
      <c r="N35" s="978">
        <v>0</v>
      </c>
      <c r="O35" s="972"/>
      <c r="P35" s="977">
        <f t="shared" si="3"/>
        <v>-870121.46</v>
      </c>
      <c r="Q35" s="972"/>
      <c r="R35" s="977">
        <v>-870121.46</v>
      </c>
      <c r="S35" s="977">
        <v>-870121.46</v>
      </c>
      <c r="T35" s="977">
        <f t="shared" si="4"/>
        <v>-870121.46</v>
      </c>
      <c r="U35" s="972"/>
      <c r="V35" s="978">
        <f t="shared" si="5"/>
        <v>0</v>
      </c>
      <c r="W35" s="972"/>
      <c r="X35" s="972"/>
    </row>
    <row r="36" spans="1:25" s="979" customFormat="1" outlineLevel="1">
      <c r="A36" s="972"/>
      <c r="B36" s="973" t="s">
        <v>223</v>
      </c>
      <c r="C36" s="974"/>
      <c r="D36" s="975">
        <v>11901</v>
      </c>
      <c r="E36" s="975" t="s">
        <v>1775</v>
      </c>
      <c r="F36" s="976"/>
      <c r="G36" s="976"/>
      <c r="H36" s="972"/>
      <c r="I36" s="972"/>
      <c r="J36" s="977">
        <v>-2230422.14</v>
      </c>
      <c r="K36" s="972"/>
      <c r="L36" s="977">
        <v>0</v>
      </c>
      <c r="M36" s="972"/>
      <c r="N36" s="978">
        <v>0</v>
      </c>
      <c r="O36" s="972"/>
      <c r="P36" s="977">
        <f t="shared" si="3"/>
        <v>-2230422.14</v>
      </c>
      <c r="Q36" s="972"/>
      <c r="R36" s="977">
        <v>-2203743.7000000002</v>
      </c>
      <c r="S36" s="977">
        <v>-2219505.91</v>
      </c>
      <c r="T36" s="977">
        <f t="shared" si="4"/>
        <v>-2230422.14</v>
      </c>
      <c r="U36" s="972"/>
      <c r="V36" s="978">
        <f t="shared" si="5"/>
        <v>-10916.229999999981</v>
      </c>
      <c r="W36" s="972"/>
      <c r="X36" s="972"/>
    </row>
    <row r="37" spans="1:25" s="979" customFormat="1" outlineLevel="1">
      <c r="A37" s="972"/>
      <c r="B37" s="973" t="s">
        <v>223</v>
      </c>
      <c r="C37" s="974"/>
      <c r="D37" s="975">
        <v>11902</v>
      </c>
      <c r="E37" s="975" t="s">
        <v>1776</v>
      </c>
      <c r="F37" s="976"/>
      <c r="G37" s="976"/>
      <c r="H37" s="972"/>
      <c r="I37" s="972"/>
      <c r="J37" s="977">
        <v>4806864.92</v>
      </c>
      <c r="K37" s="972"/>
      <c r="L37" s="977">
        <v>0</v>
      </c>
      <c r="M37" s="972"/>
      <c r="N37" s="978">
        <v>0</v>
      </c>
      <c r="O37" s="972"/>
      <c r="P37" s="977">
        <f t="shared" si="3"/>
        <v>4806864.92</v>
      </c>
      <c r="Q37" s="972"/>
      <c r="R37" s="977">
        <v>4763652.4400000004</v>
      </c>
      <c r="S37" s="977">
        <v>4786466.93</v>
      </c>
      <c r="T37" s="977">
        <f t="shared" si="4"/>
        <v>4806864.92</v>
      </c>
      <c r="U37" s="972"/>
      <c r="V37" s="978">
        <f t="shared" si="5"/>
        <v>20397.990000000224</v>
      </c>
      <c r="W37" s="972"/>
      <c r="X37" s="972"/>
    </row>
    <row r="38" spans="1:25" s="979" customFormat="1" outlineLevel="1">
      <c r="A38" s="972"/>
      <c r="B38" s="973" t="s">
        <v>223</v>
      </c>
      <c r="C38" s="974"/>
      <c r="D38" s="975">
        <v>11903</v>
      </c>
      <c r="E38" s="975" t="s">
        <v>1777</v>
      </c>
      <c r="F38" s="976"/>
      <c r="G38" s="976"/>
      <c r="H38" s="972"/>
      <c r="I38" s="972"/>
      <c r="J38" s="977">
        <v>-1779444.77</v>
      </c>
      <c r="K38" s="972"/>
      <c r="L38" s="977">
        <v>0</v>
      </c>
      <c r="M38" s="972"/>
      <c r="N38" s="978">
        <v>0</v>
      </c>
      <c r="O38" s="972"/>
      <c r="P38" s="977">
        <f t="shared" si="3"/>
        <v>-1779444.77</v>
      </c>
      <c r="Q38" s="972"/>
      <c r="R38" s="977">
        <v>-1762244.3</v>
      </c>
      <c r="S38" s="977">
        <v>-1771530.22</v>
      </c>
      <c r="T38" s="977">
        <f t="shared" si="4"/>
        <v>-1779444.77</v>
      </c>
      <c r="U38" s="972"/>
      <c r="V38" s="978">
        <f t="shared" si="5"/>
        <v>-7914.5500000000466</v>
      </c>
      <c r="W38" s="972"/>
      <c r="X38" s="972"/>
    </row>
    <row r="39" spans="1:25" s="979" customFormat="1" ht="5.0999999999999996" customHeight="1" outlineLevel="1">
      <c r="A39" s="974" t="s">
        <v>217</v>
      </c>
      <c r="B39" s="1008" t="s">
        <v>217</v>
      </c>
      <c r="C39" s="1008"/>
      <c r="D39" s="976"/>
      <c r="E39" s="976"/>
      <c r="F39" s="976"/>
      <c r="G39" s="976"/>
      <c r="H39" s="972"/>
      <c r="I39" s="972"/>
      <c r="J39" s="1012"/>
      <c r="K39" s="972"/>
      <c r="L39" s="1012"/>
      <c r="M39" s="972"/>
      <c r="N39" s="1013"/>
      <c r="O39" s="972"/>
      <c r="P39" s="1012"/>
      <c r="Q39" s="972"/>
      <c r="R39" s="1012"/>
      <c r="S39" s="1012"/>
      <c r="T39" s="1012"/>
      <c r="U39" s="972"/>
      <c r="V39" s="1013"/>
      <c r="W39" s="972"/>
      <c r="X39" s="972"/>
      <c r="Y39" s="972"/>
    </row>
    <row r="40" spans="1:25" s="979" customFormat="1">
      <c r="A40" s="974" t="s">
        <v>1130</v>
      </c>
      <c r="B40" s="974" t="s">
        <v>217</v>
      </c>
      <c r="C40" s="974"/>
      <c r="D40" s="972"/>
      <c r="E40" s="972"/>
      <c r="F40" s="975" t="s">
        <v>1778</v>
      </c>
      <c r="G40" s="972"/>
      <c r="H40" s="972"/>
      <c r="I40" s="972"/>
      <c r="J40" s="1010">
        <f>SUM(J29:J39)</f>
        <v>6427959.7599999998</v>
      </c>
      <c r="K40" s="972"/>
      <c r="L40" s="1010">
        <f>SUM(L29:L39)</f>
        <v>0</v>
      </c>
      <c r="M40" s="972"/>
      <c r="N40" s="1011">
        <f>SUM(N29:N39)</f>
        <v>0</v>
      </c>
      <c r="O40" s="972"/>
      <c r="P40" s="1010">
        <f>J40+L40+N40</f>
        <v>6427959.7599999998</v>
      </c>
      <c r="Q40" s="972"/>
      <c r="R40" s="1010">
        <f>SUM(R29:R39)</f>
        <v>6743568.7199999997</v>
      </c>
      <c r="S40" s="1010">
        <f>SUM(S29:S39)</f>
        <v>6730348.7000000002</v>
      </c>
      <c r="T40" s="1010">
        <f>SUM(T29:T39)</f>
        <v>6427959.7599999998</v>
      </c>
      <c r="U40" s="972"/>
      <c r="V40" s="1011">
        <f>SUM(V29:V39)</f>
        <v>-302388.93999999983</v>
      </c>
      <c r="W40" s="972"/>
      <c r="X40" s="972"/>
      <c r="Y40" s="972"/>
    </row>
    <row r="41" spans="1:25" s="979" customFormat="1" outlineLevel="1">
      <c r="A41" s="972"/>
      <c r="B41" s="973" t="s">
        <v>1134</v>
      </c>
      <c r="C41" s="974"/>
      <c r="D41" s="975">
        <v>12001</v>
      </c>
      <c r="E41" s="975" t="s">
        <v>1779</v>
      </c>
      <c r="F41" s="976"/>
      <c r="G41" s="976"/>
      <c r="H41" s="972"/>
      <c r="I41" s="972"/>
      <c r="J41" s="977">
        <v>119679.3</v>
      </c>
      <c r="K41" s="972"/>
      <c r="L41" s="977">
        <v>0</v>
      </c>
      <c r="M41" s="972"/>
      <c r="N41" s="978">
        <v>0</v>
      </c>
      <c r="O41" s="972"/>
      <c r="P41" s="977">
        <f>J41+L41+N41</f>
        <v>119679.3</v>
      </c>
      <c r="Q41" s="972"/>
      <c r="R41" s="977">
        <v>107279.42</v>
      </c>
      <c r="S41" s="977">
        <v>107279.42</v>
      </c>
      <c r="T41" s="977">
        <f t="shared" ref="T41:T44" si="6">P41</f>
        <v>119679.3</v>
      </c>
      <c r="U41" s="972"/>
      <c r="V41" s="978">
        <f t="shared" ref="V41:V44" si="7">T41-S41</f>
        <v>12399.880000000005</v>
      </c>
      <c r="W41" s="972"/>
      <c r="X41" s="972"/>
    </row>
    <row r="42" spans="1:25" s="979" customFormat="1" outlineLevel="1">
      <c r="A42" s="972"/>
      <c r="B42" s="973" t="s">
        <v>223</v>
      </c>
      <c r="C42" s="974"/>
      <c r="D42" s="975">
        <v>12002</v>
      </c>
      <c r="E42" s="975" t="s">
        <v>1780</v>
      </c>
      <c r="F42" s="976"/>
      <c r="G42" s="976"/>
      <c r="H42" s="972"/>
      <c r="I42" s="972"/>
      <c r="J42" s="977">
        <v>21588.52</v>
      </c>
      <c r="K42" s="972"/>
      <c r="L42" s="977">
        <v>0</v>
      </c>
      <c r="M42" s="972"/>
      <c r="N42" s="978">
        <v>0</v>
      </c>
      <c r="O42" s="972"/>
      <c r="P42" s="977">
        <f>J42+L42+N42</f>
        <v>21588.52</v>
      </c>
      <c r="Q42" s="972"/>
      <c r="R42" s="977">
        <v>16102.57</v>
      </c>
      <c r="S42" s="977">
        <v>16493.98</v>
      </c>
      <c r="T42" s="977">
        <f t="shared" si="6"/>
        <v>21588.52</v>
      </c>
      <c r="U42" s="972"/>
      <c r="V42" s="978">
        <f t="shared" si="7"/>
        <v>5094.5400000000009</v>
      </c>
      <c r="W42" s="972"/>
      <c r="X42" s="972"/>
    </row>
    <row r="43" spans="1:25" s="979" customFormat="1" outlineLevel="1">
      <c r="A43" s="972"/>
      <c r="B43" s="973" t="s">
        <v>223</v>
      </c>
      <c r="C43" s="974"/>
      <c r="D43" s="975">
        <v>12003</v>
      </c>
      <c r="E43" s="975" t="s">
        <v>1781</v>
      </c>
      <c r="F43" s="976"/>
      <c r="G43" s="976"/>
      <c r="H43" s="972"/>
      <c r="I43" s="972"/>
      <c r="J43" s="977">
        <v>4425.43</v>
      </c>
      <c r="K43" s="972"/>
      <c r="L43" s="977">
        <v>0</v>
      </c>
      <c r="M43" s="972"/>
      <c r="N43" s="978">
        <v>0</v>
      </c>
      <c r="O43" s="972"/>
      <c r="P43" s="977">
        <f>J43+L43+N43</f>
        <v>4425.43</v>
      </c>
      <c r="Q43" s="972"/>
      <c r="R43" s="977">
        <v>3858.53</v>
      </c>
      <c r="S43" s="977">
        <v>3858.53</v>
      </c>
      <c r="T43" s="977">
        <f t="shared" si="6"/>
        <v>4425.43</v>
      </c>
      <c r="U43" s="972"/>
      <c r="V43" s="978">
        <f t="shared" si="7"/>
        <v>566.90000000000009</v>
      </c>
      <c r="W43" s="972"/>
      <c r="X43" s="972"/>
    </row>
    <row r="44" spans="1:25" s="979" customFormat="1" outlineLevel="1">
      <c r="A44" s="972"/>
      <c r="B44" s="973" t="s">
        <v>223</v>
      </c>
      <c r="C44" s="974"/>
      <c r="D44" s="975">
        <v>12004</v>
      </c>
      <c r="E44" s="975" t="s">
        <v>1782</v>
      </c>
      <c r="F44" s="976"/>
      <c r="G44" s="976"/>
      <c r="H44" s="972"/>
      <c r="I44" s="972"/>
      <c r="J44" s="977">
        <v>22497.32</v>
      </c>
      <c r="K44" s="972"/>
      <c r="L44" s="977">
        <v>0</v>
      </c>
      <c r="M44" s="972"/>
      <c r="N44" s="978">
        <v>0</v>
      </c>
      <c r="O44" s="972"/>
      <c r="P44" s="977">
        <f>J44+L44+N44</f>
        <v>22497.32</v>
      </c>
      <c r="Q44" s="972"/>
      <c r="R44" s="977">
        <v>25709.7</v>
      </c>
      <c r="S44" s="977">
        <v>24306.66</v>
      </c>
      <c r="T44" s="977">
        <f t="shared" si="6"/>
        <v>22497.32</v>
      </c>
      <c r="U44" s="972"/>
      <c r="V44" s="978">
        <f t="shared" si="7"/>
        <v>-1809.3400000000001</v>
      </c>
      <c r="W44" s="972"/>
      <c r="X44" s="972"/>
    </row>
    <row r="45" spans="1:25" s="979" customFormat="1" ht="5.0999999999999996" customHeight="1" outlineLevel="1">
      <c r="A45" s="974" t="s">
        <v>217</v>
      </c>
      <c r="B45" s="1008" t="s">
        <v>217</v>
      </c>
      <c r="C45" s="1008"/>
      <c r="D45" s="976"/>
      <c r="E45" s="976"/>
      <c r="F45" s="976"/>
      <c r="G45" s="976"/>
      <c r="H45" s="972"/>
      <c r="I45" s="972"/>
      <c r="J45" s="1012"/>
      <c r="K45" s="972"/>
      <c r="L45" s="1012"/>
      <c r="M45" s="972"/>
      <c r="N45" s="1013"/>
      <c r="O45" s="972"/>
      <c r="P45" s="1012"/>
      <c r="Q45" s="972"/>
      <c r="R45" s="1012"/>
      <c r="S45" s="1012"/>
      <c r="T45" s="1012"/>
      <c r="U45" s="972"/>
      <c r="V45" s="1013"/>
      <c r="W45" s="972"/>
      <c r="X45" s="972"/>
      <c r="Y45" s="972"/>
    </row>
    <row r="46" spans="1:25" s="979" customFormat="1">
      <c r="A46" s="974" t="s">
        <v>1134</v>
      </c>
      <c r="B46" s="974" t="s">
        <v>217</v>
      </c>
      <c r="C46" s="974"/>
      <c r="D46" s="972"/>
      <c r="E46" s="972"/>
      <c r="F46" s="975" t="s">
        <v>1135</v>
      </c>
      <c r="G46" s="972"/>
      <c r="H46" s="972"/>
      <c r="I46" s="972"/>
      <c r="J46" s="1010">
        <f>SUM(J41:J45)</f>
        <v>168190.57</v>
      </c>
      <c r="K46" s="972"/>
      <c r="L46" s="1010">
        <f>SUM(L41:L45)</f>
        <v>0</v>
      </c>
      <c r="M46" s="972"/>
      <c r="N46" s="1011">
        <f>SUM(N41:N45)</f>
        <v>0</v>
      </c>
      <c r="O46" s="972"/>
      <c r="P46" s="1010">
        <f t="shared" ref="P46:P52" si="8">J46+L46+N46</f>
        <v>168190.57</v>
      </c>
      <c r="Q46" s="972"/>
      <c r="R46" s="1010">
        <f>SUM(R41:R45)</f>
        <v>152950.22</v>
      </c>
      <c r="S46" s="1010">
        <f>SUM(S41:S45)</f>
        <v>151938.59</v>
      </c>
      <c r="T46" s="1010">
        <f>SUM(T41:T45)</f>
        <v>168190.57</v>
      </c>
      <c r="U46" s="972"/>
      <c r="V46" s="1011">
        <f>SUM(V41:V45)</f>
        <v>16251.980000000007</v>
      </c>
      <c r="W46" s="972"/>
      <c r="X46" s="972"/>
      <c r="Y46" s="972"/>
    </row>
    <row r="47" spans="1:25" s="979" customFormat="1" outlineLevel="1">
      <c r="A47" s="972"/>
      <c r="B47" s="973" t="s">
        <v>1136</v>
      </c>
      <c r="C47" s="974"/>
      <c r="D47" s="975">
        <v>13001</v>
      </c>
      <c r="E47" s="975" t="s">
        <v>1784</v>
      </c>
      <c r="F47" s="976"/>
      <c r="G47" s="976"/>
      <c r="H47" s="972"/>
      <c r="I47" s="972"/>
      <c r="J47" s="977">
        <v>129566.25</v>
      </c>
      <c r="K47" s="972"/>
      <c r="L47" s="977">
        <v>0</v>
      </c>
      <c r="M47" s="972"/>
      <c r="N47" s="978">
        <v>0</v>
      </c>
      <c r="O47" s="972"/>
      <c r="P47" s="977">
        <f t="shared" si="8"/>
        <v>129566.25</v>
      </c>
      <c r="Q47" s="972"/>
      <c r="R47" s="977">
        <v>148891.95000000001</v>
      </c>
      <c r="S47" s="977">
        <v>139229.1</v>
      </c>
      <c r="T47" s="977">
        <f t="shared" ref="T47:T52" si="9">P47</f>
        <v>129566.25</v>
      </c>
      <c r="U47" s="972"/>
      <c r="V47" s="978">
        <f t="shared" ref="V47:V52" si="10">T47-S47</f>
        <v>-9662.8500000000058</v>
      </c>
      <c r="W47" s="972"/>
      <c r="X47" s="972"/>
    </row>
    <row r="48" spans="1:25" s="979" customFormat="1" outlineLevel="1">
      <c r="A48" s="972"/>
      <c r="B48" s="973" t="s">
        <v>223</v>
      </c>
      <c r="C48" s="974"/>
      <c r="D48" s="975">
        <v>13002</v>
      </c>
      <c r="E48" s="975" t="s">
        <v>1785</v>
      </c>
      <c r="F48" s="976"/>
      <c r="G48" s="976"/>
      <c r="H48" s="972"/>
      <c r="I48" s="972"/>
      <c r="J48" s="977">
        <v>31193.15</v>
      </c>
      <c r="K48" s="972"/>
      <c r="L48" s="977">
        <v>0</v>
      </c>
      <c r="M48" s="972"/>
      <c r="N48" s="978">
        <v>0</v>
      </c>
      <c r="O48" s="972"/>
      <c r="P48" s="977">
        <f t="shared" si="8"/>
        <v>31193.15</v>
      </c>
      <c r="Q48" s="972"/>
      <c r="R48" s="977">
        <v>38466.33</v>
      </c>
      <c r="S48" s="977">
        <v>34829.74</v>
      </c>
      <c r="T48" s="977">
        <f t="shared" si="9"/>
        <v>31193.15</v>
      </c>
      <c r="U48" s="972"/>
      <c r="V48" s="978">
        <f t="shared" si="10"/>
        <v>-3636.5899999999965</v>
      </c>
      <c r="W48" s="972"/>
      <c r="X48" s="972"/>
    </row>
    <row r="49" spans="1:25" s="979" customFormat="1" outlineLevel="1">
      <c r="A49" s="972"/>
      <c r="B49" s="973" t="s">
        <v>223</v>
      </c>
      <c r="C49" s="974"/>
      <c r="D49" s="975">
        <v>13003</v>
      </c>
      <c r="E49" s="975" t="s">
        <v>1786</v>
      </c>
      <c r="F49" s="976"/>
      <c r="G49" s="976"/>
      <c r="H49" s="972"/>
      <c r="I49" s="972"/>
      <c r="J49" s="977">
        <v>0</v>
      </c>
      <c r="K49" s="972"/>
      <c r="L49" s="977">
        <v>0</v>
      </c>
      <c r="M49" s="972"/>
      <c r="N49" s="978">
        <v>0</v>
      </c>
      <c r="O49" s="972"/>
      <c r="P49" s="977">
        <f t="shared" si="8"/>
        <v>0</v>
      </c>
      <c r="Q49" s="972"/>
      <c r="R49" s="977">
        <v>0</v>
      </c>
      <c r="S49" s="977">
        <v>0</v>
      </c>
      <c r="T49" s="977">
        <f t="shared" si="9"/>
        <v>0</v>
      </c>
      <c r="U49" s="972"/>
      <c r="V49" s="978">
        <f t="shared" si="10"/>
        <v>0</v>
      </c>
      <c r="W49" s="972"/>
      <c r="X49" s="972"/>
    </row>
    <row r="50" spans="1:25" s="979" customFormat="1" outlineLevel="1">
      <c r="A50" s="972"/>
      <c r="B50" s="973" t="s">
        <v>223</v>
      </c>
      <c r="C50" s="974"/>
      <c r="D50" s="975">
        <v>13004</v>
      </c>
      <c r="E50" s="975" t="s">
        <v>1787</v>
      </c>
      <c r="F50" s="976"/>
      <c r="G50" s="976"/>
      <c r="H50" s="972"/>
      <c r="I50" s="972"/>
      <c r="J50" s="977">
        <v>0</v>
      </c>
      <c r="K50" s="972"/>
      <c r="L50" s="977">
        <v>0</v>
      </c>
      <c r="M50" s="972"/>
      <c r="N50" s="978">
        <v>0</v>
      </c>
      <c r="O50" s="972"/>
      <c r="P50" s="977">
        <f t="shared" si="8"/>
        <v>0</v>
      </c>
      <c r="Q50" s="972"/>
      <c r="R50" s="977">
        <v>0</v>
      </c>
      <c r="S50" s="977">
        <v>0</v>
      </c>
      <c r="T50" s="977">
        <f t="shared" si="9"/>
        <v>0</v>
      </c>
      <c r="U50" s="972"/>
      <c r="V50" s="978">
        <f t="shared" si="10"/>
        <v>0</v>
      </c>
      <c r="W50" s="972"/>
      <c r="X50" s="972"/>
    </row>
    <row r="51" spans="1:25" s="979" customFormat="1" outlineLevel="1">
      <c r="A51" s="972"/>
      <c r="B51" s="973" t="s">
        <v>223</v>
      </c>
      <c r="C51" s="974"/>
      <c r="D51" s="975">
        <v>13005</v>
      </c>
      <c r="E51" s="975" t="s">
        <v>1788</v>
      </c>
      <c r="F51" s="976"/>
      <c r="G51" s="976"/>
      <c r="H51" s="972"/>
      <c r="I51" s="972"/>
      <c r="J51" s="977">
        <v>27742</v>
      </c>
      <c r="K51" s="972"/>
      <c r="L51" s="977">
        <v>0</v>
      </c>
      <c r="M51" s="972"/>
      <c r="N51" s="978">
        <v>0</v>
      </c>
      <c r="O51" s="972"/>
      <c r="P51" s="977">
        <f t="shared" si="8"/>
        <v>27742</v>
      </c>
      <c r="Q51" s="972"/>
      <c r="R51" s="977">
        <v>27742</v>
      </c>
      <c r="S51" s="977">
        <v>27742</v>
      </c>
      <c r="T51" s="977">
        <f t="shared" si="9"/>
        <v>27742</v>
      </c>
      <c r="U51" s="972"/>
      <c r="V51" s="978">
        <f t="shared" si="10"/>
        <v>0</v>
      </c>
      <c r="W51" s="972"/>
      <c r="X51" s="972"/>
    </row>
    <row r="52" spans="1:25" s="979" customFormat="1" outlineLevel="1">
      <c r="A52" s="972"/>
      <c r="B52" s="973" t="s">
        <v>223</v>
      </c>
      <c r="C52" s="974"/>
      <c r="D52" s="975">
        <v>13008</v>
      </c>
      <c r="E52" s="975" t="s">
        <v>1790</v>
      </c>
      <c r="F52" s="976"/>
      <c r="G52" s="976"/>
      <c r="H52" s="972"/>
      <c r="I52" s="972"/>
      <c r="J52" s="977">
        <v>50634.99</v>
      </c>
      <c r="K52" s="972"/>
      <c r="L52" s="977">
        <v>0</v>
      </c>
      <c r="M52" s="972"/>
      <c r="N52" s="978">
        <v>0</v>
      </c>
      <c r="O52" s="972"/>
      <c r="P52" s="977">
        <f t="shared" si="8"/>
        <v>50634.99</v>
      </c>
      <c r="Q52" s="972"/>
      <c r="R52" s="977">
        <v>14670.87</v>
      </c>
      <c r="S52" s="977">
        <v>43342.94</v>
      </c>
      <c r="T52" s="977">
        <f t="shared" si="9"/>
        <v>50634.99</v>
      </c>
      <c r="U52" s="972"/>
      <c r="V52" s="978">
        <f t="shared" si="10"/>
        <v>7292.0499999999956</v>
      </c>
      <c r="W52" s="972"/>
      <c r="X52" s="972"/>
    </row>
    <row r="53" spans="1:25" s="979" customFormat="1" ht="3.75" customHeight="1" outlineLevel="1">
      <c r="A53" s="974" t="s">
        <v>217</v>
      </c>
      <c r="B53" s="1008" t="s">
        <v>217</v>
      </c>
      <c r="C53" s="1008"/>
      <c r="D53" s="976"/>
      <c r="E53" s="976"/>
      <c r="F53" s="976"/>
      <c r="G53" s="976"/>
      <c r="H53" s="972"/>
      <c r="I53" s="972"/>
      <c r="J53" s="1012"/>
      <c r="K53" s="972"/>
      <c r="L53" s="1012"/>
      <c r="M53" s="972"/>
      <c r="N53" s="1013"/>
      <c r="O53" s="972"/>
      <c r="P53" s="1012"/>
      <c r="Q53" s="972"/>
      <c r="R53" s="1012"/>
      <c r="S53" s="1012"/>
      <c r="T53" s="1012"/>
      <c r="U53" s="972"/>
      <c r="V53" s="1013"/>
      <c r="W53" s="972"/>
      <c r="X53" s="972"/>
      <c r="Y53" s="972"/>
    </row>
    <row r="54" spans="1:25" s="979" customFormat="1">
      <c r="A54" s="974" t="s">
        <v>1136</v>
      </c>
      <c r="B54" s="974" t="s">
        <v>217</v>
      </c>
      <c r="C54" s="974"/>
      <c r="D54" s="972"/>
      <c r="E54" s="972"/>
      <c r="F54" s="975" t="s">
        <v>1791</v>
      </c>
      <c r="G54" s="972"/>
      <c r="H54" s="972"/>
      <c r="I54" s="972"/>
      <c r="J54" s="1010">
        <f>SUM(J47:J53)</f>
        <v>239136.38999999998</v>
      </c>
      <c r="K54" s="972"/>
      <c r="L54" s="1010">
        <f>SUM(L47:L53)</f>
        <v>0</v>
      </c>
      <c r="M54" s="972"/>
      <c r="N54" s="1011">
        <f>SUM(N47:N53)</f>
        <v>0</v>
      </c>
      <c r="O54" s="972"/>
      <c r="P54" s="1010">
        <f>J54+L54+N54</f>
        <v>239136.38999999998</v>
      </c>
      <c r="Q54" s="972"/>
      <c r="R54" s="1010">
        <f>SUM(R47:R53)</f>
        <v>229771.15000000002</v>
      </c>
      <c r="S54" s="1010">
        <f>SUM(S47:S53)</f>
        <v>245143.78</v>
      </c>
      <c r="T54" s="1010">
        <f>SUM(T47:T53)</f>
        <v>239136.38999999998</v>
      </c>
      <c r="U54" s="1014"/>
      <c r="V54" s="1011">
        <f>SUM(V47:V53)</f>
        <v>-6007.3900000000067</v>
      </c>
      <c r="W54" s="972"/>
      <c r="X54" s="972"/>
      <c r="Y54" s="972"/>
    </row>
    <row r="55" spans="1:25" s="979" customFormat="1" outlineLevel="1">
      <c r="A55" s="972"/>
      <c r="B55" s="973" t="s">
        <v>1132</v>
      </c>
      <c r="C55" s="974"/>
      <c r="D55" s="975"/>
      <c r="E55" s="975"/>
      <c r="F55" s="976"/>
      <c r="G55" s="976"/>
      <c r="H55" s="972"/>
      <c r="I55" s="972"/>
      <c r="J55" s="977"/>
      <c r="K55" s="972"/>
      <c r="L55" s="977"/>
      <c r="M55" s="972"/>
      <c r="N55" s="978"/>
      <c r="O55" s="972"/>
      <c r="P55" s="977">
        <f>J55+L55+N55</f>
        <v>0</v>
      </c>
      <c r="Q55" s="972"/>
      <c r="R55" s="977"/>
      <c r="S55" s="977"/>
      <c r="T55" s="977">
        <f>P55</f>
        <v>0</v>
      </c>
      <c r="U55" s="972"/>
      <c r="V55" s="978">
        <f>T55-S55</f>
        <v>0</v>
      </c>
      <c r="W55" s="972"/>
      <c r="X55" s="972"/>
    </row>
    <row r="56" spans="1:25" s="979" customFormat="1" ht="3.75" customHeight="1" outlineLevel="1">
      <c r="A56" s="974" t="s">
        <v>217</v>
      </c>
      <c r="B56" s="1008" t="s">
        <v>217</v>
      </c>
      <c r="C56" s="1008"/>
      <c r="D56" s="976"/>
      <c r="E56" s="976"/>
      <c r="F56" s="976"/>
      <c r="G56" s="976"/>
      <c r="H56" s="972"/>
      <c r="I56" s="972"/>
      <c r="J56" s="1012"/>
      <c r="K56" s="972"/>
      <c r="L56" s="1012"/>
      <c r="M56" s="972"/>
      <c r="N56" s="1013"/>
      <c r="O56" s="972"/>
      <c r="P56" s="1012"/>
      <c r="Q56" s="972"/>
      <c r="R56" s="1012"/>
      <c r="S56" s="1012"/>
      <c r="T56" s="1012"/>
      <c r="U56" s="972"/>
      <c r="V56" s="1013"/>
      <c r="W56" s="972"/>
      <c r="X56" s="972"/>
      <c r="Y56" s="972"/>
    </row>
    <row r="57" spans="1:25" s="979" customFormat="1">
      <c r="A57" s="974" t="s">
        <v>1132</v>
      </c>
      <c r="B57" s="974" t="s">
        <v>217</v>
      </c>
      <c r="C57" s="974"/>
      <c r="D57" s="972"/>
      <c r="E57" s="972"/>
      <c r="F57" s="975" t="s">
        <v>1792</v>
      </c>
      <c r="G57" s="972"/>
      <c r="H57" s="972"/>
      <c r="I57" s="972"/>
      <c r="J57" s="1010">
        <f>SUM(J55:J56)</f>
        <v>0</v>
      </c>
      <c r="K57" s="972"/>
      <c r="L57" s="1010">
        <f>SUM(L55:L56)</f>
        <v>0</v>
      </c>
      <c r="M57" s="972"/>
      <c r="N57" s="1011">
        <f>SUM(N55:N56)</f>
        <v>0</v>
      </c>
      <c r="O57" s="972"/>
      <c r="P57" s="1010">
        <f>J57+L57+N57</f>
        <v>0</v>
      </c>
      <c r="Q57" s="972"/>
      <c r="R57" s="1010">
        <f>SUM(R55:R56)</f>
        <v>0</v>
      </c>
      <c r="S57" s="1010">
        <f>SUM(S55:S56)</f>
        <v>0</v>
      </c>
      <c r="T57" s="1010">
        <f>SUM(T55:T56)</f>
        <v>0</v>
      </c>
      <c r="U57" s="1014"/>
      <c r="V57" s="1011">
        <f>SUM(V55:V56)</f>
        <v>0</v>
      </c>
      <c r="W57" s="972"/>
      <c r="X57" s="972"/>
      <c r="Y57" s="972"/>
    </row>
    <row r="58" spans="1:25" s="979" customFormat="1" ht="7.5" customHeight="1">
      <c r="A58" s="1008" t="s">
        <v>217</v>
      </c>
      <c r="B58" s="1008" t="s">
        <v>217</v>
      </c>
      <c r="C58" s="1008"/>
      <c r="D58" s="972"/>
      <c r="E58" s="972"/>
      <c r="F58" s="972"/>
      <c r="G58" s="972"/>
      <c r="H58" s="972"/>
      <c r="I58" s="972"/>
      <c r="J58" s="1015"/>
      <c r="K58" s="972"/>
      <c r="L58" s="1015"/>
      <c r="M58" s="972"/>
      <c r="N58" s="1015"/>
      <c r="O58" s="972"/>
      <c r="P58" s="1015"/>
      <c r="Q58" s="972"/>
      <c r="R58" s="1015"/>
      <c r="S58" s="1015"/>
      <c r="T58" s="1015"/>
      <c r="U58" s="972"/>
      <c r="V58" s="1015"/>
      <c r="W58" s="972"/>
      <c r="X58" s="972"/>
      <c r="Y58" s="972"/>
    </row>
    <row r="59" spans="1:25" s="979" customFormat="1">
      <c r="A59" s="974" t="s">
        <v>217</v>
      </c>
      <c r="B59" s="1008" t="s">
        <v>217</v>
      </c>
      <c r="C59" s="1008"/>
      <c r="D59" s="972"/>
      <c r="E59" s="1016" t="s">
        <v>1793</v>
      </c>
      <c r="F59" s="972"/>
      <c r="G59" s="972"/>
      <c r="H59" s="972"/>
      <c r="I59" s="972"/>
      <c r="J59" s="1017">
        <f>SUM(J28,J40,J46,J54,J57)</f>
        <v>6860037.9399999995</v>
      </c>
      <c r="K59" s="972"/>
      <c r="L59" s="1017">
        <f>SUM(L28,L40,L46,L54,L57)</f>
        <v>0</v>
      </c>
      <c r="M59" s="972"/>
      <c r="N59" s="1018">
        <f>SUM(N28,N40,N46,N54,N57)</f>
        <v>0</v>
      </c>
      <c r="O59" s="972"/>
      <c r="P59" s="1017">
        <f>SUM(P28,P40,P46,P54,P57)</f>
        <v>6860037.9399999995</v>
      </c>
      <c r="Q59" s="972"/>
      <c r="R59" s="1017">
        <f>SUM(R28,R40,R46,R54,R57)</f>
        <v>7142828.9699999997</v>
      </c>
      <c r="S59" s="1017">
        <f>SUM(S28,S40,S46,S54,S57)</f>
        <v>7132786.5</v>
      </c>
      <c r="T59" s="1017">
        <f>SUM(T28,T40,T46,T54,T57)</f>
        <v>6860037.9399999995</v>
      </c>
      <c r="U59" s="972"/>
      <c r="V59" s="1018">
        <f>SUM(V28,V40,V46,V54,V57)</f>
        <v>-272748.55999999988</v>
      </c>
      <c r="W59" s="972"/>
      <c r="X59" s="972"/>
      <c r="Y59" s="972"/>
    </row>
    <row r="60" spans="1:25" s="979" customFormat="1" ht="7.5" customHeight="1">
      <c r="A60" s="1008" t="s">
        <v>217</v>
      </c>
      <c r="B60" s="1008" t="s">
        <v>217</v>
      </c>
      <c r="C60" s="1008"/>
      <c r="D60" s="972"/>
      <c r="E60" s="972"/>
      <c r="F60" s="972"/>
      <c r="G60" s="972"/>
      <c r="H60" s="972"/>
      <c r="I60" s="972"/>
      <c r="J60" s="1015"/>
      <c r="K60" s="972"/>
      <c r="L60" s="1015"/>
      <c r="M60" s="972"/>
      <c r="N60" s="978"/>
      <c r="O60" s="972"/>
      <c r="P60" s="1015"/>
      <c r="Q60" s="972"/>
      <c r="R60" s="1015"/>
      <c r="S60" s="1015"/>
      <c r="T60" s="1015"/>
      <c r="U60" s="972"/>
      <c r="V60" s="978"/>
      <c r="W60" s="972"/>
      <c r="X60" s="972"/>
      <c r="Y60" s="972"/>
    </row>
    <row r="61" spans="1:25" s="979" customFormat="1" outlineLevel="1">
      <c r="A61" s="1008" t="s">
        <v>217</v>
      </c>
      <c r="B61" s="1008" t="s">
        <v>217</v>
      </c>
      <c r="C61" s="1008"/>
      <c r="D61" s="972"/>
      <c r="E61" s="972"/>
      <c r="F61" s="972"/>
      <c r="G61" s="972"/>
      <c r="H61" s="972"/>
      <c r="I61" s="972"/>
      <c r="J61" s="1015"/>
      <c r="K61" s="972"/>
      <c r="L61" s="1015"/>
      <c r="M61" s="972"/>
      <c r="N61" s="978"/>
      <c r="O61" s="972"/>
      <c r="P61" s="1015"/>
      <c r="Q61" s="972"/>
      <c r="R61" s="1015"/>
      <c r="S61" s="1015"/>
      <c r="T61" s="1015"/>
      <c r="U61" s="972"/>
      <c r="V61" s="978"/>
      <c r="W61" s="972"/>
      <c r="X61" s="972"/>
      <c r="Y61" s="972"/>
    </row>
    <row r="62" spans="1:25" s="979" customFormat="1" outlineLevel="1">
      <c r="A62" s="972"/>
      <c r="B62" s="973" t="s">
        <v>1139</v>
      </c>
      <c r="C62" s="974"/>
      <c r="D62" s="975">
        <v>14001</v>
      </c>
      <c r="E62" s="975" t="s">
        <v>1794</v>
      </c>
      <c r="F62" s="976"/>
      <c r="G62" s="976"/>
      <c r="H62" s="972"/>
      <c r="I62" s="972"/>
      <c r="J62" s="977">
        <v>2723876.96</v>
      </c>
      <c r="K62" s="972"/>
      <c r="L62" s="977">
        <v>0</v>
      </c>
      <c r="M62" s="972"/>
      <c r="N62" s="978">
        <v>0</v>
      </c>
      <c r="O62" s="972"/>
      <c r="P62" s="977">
        <f t="shared" ref="P62:P93" si="11">J62+L62+N62</f>
        <v>2723876.96</v>
      </c>
      <c r="Q62" s="972"/>
      <c r="R62" s="977">
        <v>2723876.96</v>
      </c>
      <c r="S62" s="977">
        <v>2723876.96</v>
      </c>
      <c r="T62" s="977">
        <f t="shared" ref="T62:T121" si="12">P62</f>
        <v>2723876.96</v>
      </c>
      <c r="U62" s="972"/>
      <c r="V62" s="978">
        <f t="shared" ref="V62:V121" si="13">T62-S62</f>
        <v>0</v>
      </c>
      <c r="W62" s="972"/>
      <c r="X62" s="972"/>
    </row>
    <row r="63" spans="1:25" s="979" customFormat="1" outlineLevel="1">
      <c r="A63" s="972"/>
      <c r="B63" s="973" t="s">
        <v>223</v>
      </c>
      <c r="C63" s="974"/>
      <c r="D63" s="975">
        <v>14003</v>
      </c>
      <c r="E63" s="975" t="s">
        <v>1795</v>
      </c>
      <c r="F63" s="976"/>
      <c r="G63" s="976"/>
      <c r="H63" s="972"/>
      <c r="I63" s="972"/>
      <c r="J63" s="977">
        <v>1322879.82</v>
      </c>
      <c r="K63" s="972"/>
      <c r="L63" s="977">
        <v>0</v>
      </c>
      <c r="M63" s="972"/>
      <c r="N63" s="978">
        <v>0</v>
      </c>
      <c r="O63" s="972"/>
      <c r="P63" s="977">
        <f t="shared" si="11"/>
        <v>1322879.82</v>
      </c>
      <c r="Q63" s="972"/>
      <c r="R63" s="977">
        <v>1322879.82</v>
      </c>
      <c r="S63" s="977">
        <v>1322879.82</v>
      </c>
      <c r="T63" s="977">
        <f t="shared" si="12"/>
        <v>1322879.82</v>
      </c>
      <c r="U63" s="972"/>
      <c r="V63" s="978">
        <f t="shared" si="13"/>
        <v>0</v>
      </c>
      <c r="W63" s="972"/>
      <c r="X63" s="972"/>
    </row>
    <row r="64" spans="1:25" s="979" customFormat="1" outlineLevel="1">
      <c r="A64" s="972"/>
      <c r="B64" s="973" t="s">
        <v>223</v>
      </c>
      <c r="C64" s="974"/>
      <c r="D64" s="975">
        <v>14011</v>
      </c>
      <c r="E64" s="975" t="s">
        <v>1796</v>
      </c>
      <c r="F64" s="976"/>
      <c r="G64" s="976"/>
      <c r="H64" s="972"/>
      <c r="I64" s="972"/>
      <c r="J64" s="977">
        <v>112443.27</v>
      </c>
      <c r="K64" s="972"/>
      <c r="L64" s="977">
        <v>0</v>
      </c>
      <c r="M64" s="972"/>
      <c r="N64" s="978">
        <v>0</v>
      </c>
      <c r="O64" s="972"/>
      <c r="P64" s="977">
        <f t="shared" si="11"/>
        <v>112443.27</v>
      </c>
      <c r="Q64" s="972"/>
      <c r="R64" s="977">
        <v>112443.27</v>
      </c>
      <c r="S64" s="977">
        <v>112443.27</v>
      </c>
      <c r="T64" s="977">
        <f t="shared" si="12"/>
        <v>112443.27</v>
      </c>
      <c r="U64" s="972"/>
      <c r="V64" s="978">
        <f t="shared" si="13"/>
        <v>0</v>
      </c>
      <c r="W64" s="972"/>
      <c r="X64" s="972"/>
    </row>
    <row r="65" spans="1:24" s="979" customFormat="1" outlineLevel="1">
      <c r="A65" s="972"/>
      <c r="B65" s="973" t="s">
        <v>223</v>
      </c>
      <c r="C65" s="974"/>
      <c r="D65" s="975">
        <v>14016</v>
      </c>
      <c r="E65" s="975" t="s">
        <v>1797</v>
      </c>
      <c r="F65" s="976"/>
      <c r="G65" s="976"/>
      <c r="H65" s="972"/>
      <c r="I65" s="972"/>
      <c r="J65" s="977">
        <v>-19425.28</v>
      </c>
      <c r="K65" s="972"/>
      <c r="L65" s="977">
        <v>0</v>
      </c>
      <c r="M65" s="972"/>
      <c r="N65" s="978">
        <v>0</v>
      </c>
      <c r="O65" s="972"/>
      <c r="P65" s="977">
        <f t="shared" si="11"/>
        <v>-19425.28</v>
      </c>
      <c r="Q65" s="972"/>
      <c r="R65" s="977">
        <v>-17541.77</v>
      </c>
      <c r="S65" s="977">
        <v>-18483.509999999998</v>
      </c>
      <c r="T65" s="977">
        <f t="shared" si="12"/>
        <v>-19425.28</v>
      </c>
      <c r="U65" s="972"/>
      <c r="V65" s="978">
        <f t="shared" si="13"/>
        <v>-941.77000000000044</v>
      </c>
      <c r="W65" s="972"/>
      <c r="X65" s="972"/>
    </row>
    <row r="66" spans="1:24" s="979" customFormat="1" outlineLevel="1">
      <c r="A66" s="972"/>
      <c r="B66" s="973" t="s">
        <v>223</v>
      </c>
      <c r="C66" s="974"/>
      <c r="D66" s="975">
        <v>14033</v>
      </c>
      <c r="E66" s="975" t="s">
        <v>1798</v>
      </c>
      <c r="F66" s="976"/>
      <c r="G66" s="976"/>
      <c r="H66" s="972"/>
      <c r="I66" s="972"/>
      <c r="J66" s="977">
        <v>126793.46</v>
      </c>
      <c r="K66" s="972"/>
      <c r="L66" s="977">
        <v>0</v>
      </c>
      <c r="M66" s="972"/>
      <c r="N66" s="978">
        <v>0</v>
      </c>
      <c r="O66" s="972"/>
      <c r="P66" s="977">
        <f t="shared" si="11"/>
        <v>126793.46</v>
      </c>
      <c r="Q66" s="972"/>
      <c r="R66" s="977">
        <v>126793.46</v>
      </c>
      <c r="S66" s="977">
        <v>126793.46</v>
      </c>
      <c r="T66" s="977">
        <f t="shared" si="12"/>
        <v>126793.46</v>
      </c>
      <c r="U66" s="972"/>
      <c r="V66" s="978">
        <f t="shared" si="13"/>
        <v>0</v>
      </c>
      <c r="W66" s="972"/>
      <c r="X66" s="972"/>
    </row>
    <row r="67" spans="1:24" s="979" customFormat="1" outlineLevel="1">
      <c r="A67" s="972"/>
      <c r="B67" s="973" t="s">
        <v>223</v>
      </c>
      <c r="C67" s="974"/>
      <c r="D67" s="975">
        <v>14036</v>
      </c>
      <c r="E67" s="975" t="s">
        <v>1799</v>
      </c>
      <c r="F67" s="976"/>
      <c r="G67" s="976"/>
      <c r="H67" s="972"/>
      <c r="I67" s="972"/>
      <c r="J67" s="977">
        <v>-55431.64</v>
      </c>
      <c r="K67" s="972"/>
      <c r="L67" s="977">
        <v>0</v>
      </c>
      <c r="M67" s="972"/>
      <c r="N67" s="978">
        <v>0</v>
      </c>
      <c r="O67" s="972"/>
      <c r="P67" s="977">
        <f t="shared" si="11"/>
        <v>-55431.64</v>
      </c>
      <c r="Q67" s="972"/>
      <c r="R67" s="977">
        <v>-55431.64</v>
      </c>
      <c r="S67" s="977">
        <v>-55431.64</v>
      </c>
      <c r="T67" s="977">
        <f t="shared" si="12"/>
        <v>-55431.64</v>
      </c>
      <c r="U67" s="972"/>
      <c r="V67" s="978">
        <f t="shared" si="13"/>
        <v>0</v>
      </c>
      <c r="W67" s="972"/>
      <c r="X67" s="972"/>
    </row>
    <row r="68" spans="1:24" s="979" customFormat="1" outlineLevel="1">
      <c r="A68" s="972"/>
      <c r="B68" s="973" t="s">
        <v>223</v>
      </c>
      <c r="C68" s="974"/>
      <c r="D68" s="975">
        <v>14037</v>
      </c>
      <c r="E68" s="975" t="s">
        <v>1798</v>
      </c>
      <c r="F68" s="976"/>
      <c r="G68" s="976"/>
      <c r="H68" s="972"/>
      <c r="I68" s="972"/>
      <c r="J68" s="977">
        <v>-71361.820000000007</v>
      </c>
      <c r="K68" s="972"/>
      <c r="L68" s="977">
        <v>0</v>
      </c>
      <c r="M68" s="972"/>
      <c r="N68" s="978">
        <v>0</v>
      </c>
      <c r="O68" s="972"/>
      <c r="P68" s="977">
        <f t="shared" si="11"/>
        <v>-71361.820000000007</v>
      </c>
      <c r="Q68" s="972"/>
      <c r="R68" s="977">
        <v>-71361.820000000007</v>
      </c>
      <c r="S68" s="977">
        <v>-71361.820000000007</v>
      </c>
      <c r="T68" s="977">
        <f t="shared" si="12"/>
        <v>-71361.820000000007</v>
      </c>
      <c r="U68" s="972"/>
      <c r="V68" s="978">
        <f t="shared" si="13"/>
        <v>0</v>
      </c>
      <c r="W68" s="972"/>
      <c r="X68" s="972"/>
    </row>
    <row r="69" spans="1:24" s="979" customFormat="1" outlineLevel="1">
      <c r="A69" s="972"/>
      <c r="B69" s="973" t="s">
        <v>223</v>
      </c>
      <c r="C69" s="974"/>
      <c r="D69" s="975">
        <v>14040</v>
      </c>
      <c r="E69" s="975" t="s">
        <v>1800</v>
      </c>
      <c r="F69" s="976"/>
      <c r="G69" s="976"/>
      <c r="H69" s="972"/>
      <c r="I69" s="972"/>
      <c r="J69" s="977">
        <v>4849564.55</v>
      </c>
      <c r="K69" s="972"/>
      <c r="L69" s="977">
        <v>0</v>
      </c>
      <c r="M69" s="972"/>
      <c r="N69" s="978">
        <v>0</v>
      </c>
      <c r="O69" s="972"/>
      <c r="P69" s="977">
        <f t="shared" si="11"/>
        <v>4849564.55</v>
      </c>
      <c r="Q69" s="972"/>
      <c r="R69" s="977">
        <v>4849564.55</v>
      </c>
      <c r="S69" s="977">
        <v>4849564.55</v>
      </c>
      <c r="T69" s="977">
        <f t="shared" si="12"/>
        <v>4849564.55</v>
      </c>
      <c r="U69" s="972"/>
      <c r="V69" s="978">
        <f t="shared" si="13"/>
        <v>0</v>
      </c>
      <c r="W69" s="972"/>
      <c r="X69" s="972"/>
    </row>
    <row r="70" spans="1:24" s="979" customFormat="1" outlineLevel="1">
      <c r="A70" s="972"/>
      <c r="B70" s="973" t="s">
        <v>223</v>
      </c>
      <c r="C70" s="974"/>
      <c r="D70" s="975">
        <v>14041</v>
      </c>
      <c r="E70" s="975" t="s">
        <v>1801</v>
      </c>
      <c r="F70" s="976"/>
      <c r="G70" s="976"/>
      <c r="H70" s="972"/>
      <c r="I70" s="972"/>
      <c r="J70" s="977">
        <v>26323431.550000001</v>
      </c>
      <c r="K70" s="972"/>
      <c r="L70" s="977">
        <v>0</v>
      </c>
      <c r="M70" s="972"/>
      <c r="N70" s="978">
        <v>0</v>
      </c>
      <c r="O70" s="972"/>
      <c r="P70" s="977">
        <f t="shared" si="11"/>
        <v>26323431.550000001</v>
      </c>
      <c r="Q70" s="972"/>
      <c r="R70" s="977">
        <v>26011758.100000001</v>
      </c>
      <c r="S70" s="977">
        <v>26013817.100000001</v>
      </c>
      <c r="T70" s="977">
        <f t="shared" si="12"/>
        <v>26323431.550000001</v>
      </c>
      <c r="U70" s="972"/>
      <c r="V70" s="978">
        <f t="shared" si="13"/>
        <v>309614.44999999925</v>
      </c>
      <c r="W70" s="972"/>
      <c r="X70" s="972"/>
    </row>
    <row r="71" spans="1:24" s="979" customFormat="1" outlineLevel="1">
      <c r="A71" s="972"/>
      <c r="B71" s="973" t="s">
        <v>223</v>
      </c>
      <c r="C71" s="974"/>
      <c r="D71" s="975">
        <v>14042</v>
      </c>
      <c r="E71" s="975" t="s">
        <v>1802</v>
      </c>
      <c r="F71" s="976"/>
      <c r="G71" s="976"/>
      <c r="H71" s="972"/>
      <c r="I71" s="972"/>
      <c r="J71" s="977">
        <v>744200</v>
      </c>
      <c r="K71" s="972"/>
      <c r="L71" s="977">
        <v>0</v>
      </c>
      <c r="M71" s="972"/>
      <c r="N71" s="978">
        <v>0</v>
      </c>
      <c r="O71" s="972"/>
      <c r="P71" s="977">
        <f t="shared" si="11"/>
        <v>744200</v>
      </c>
      <c r="Q71" s="972"/>
      <c r="R71" s="977">
        <v>744200</v>
      </c>
      <c r="S71" s="977">
        <v>744200</v>
      </c>
      <c r="T71" s="977">
        <f t="shared" si="12"/>
        <v>744200</v>
      </c>
      <c r="U71" s="972"/>
      <c r="V71" s="978">
        <f t="shared" si="13"/>
        <v>0</v>
      </c>
      <c r="W71" s="972"/>
      <c r="X71" s="972"/>
    </row>
    <row r="72" spans="1:24" s="979" customFormat="1" outlineLevel="1">
      <c r="A72" s="972"/>
      <c r="B72" s="973" t="s">
        <v>223</v>
      </c>
      <c r="C72" s="974"/>
      <c r="D72" s="975">
        <v>14043</v>
      </c>
      <c r="E72" s="975" t="s">
        <v>1803</v>
      </c>
      <c r="F72" s="976"/>
      <c r="G72" s="976"/>
      <c r="H72" s="972"/>
      <c r="I72" s="972"/>
      <c r="J72" s="977">
        <v>1944087.48</v>
      </c>
      <c r="K72" s="972"/>
      <c r="L72" s="977">
        <v>0</v>
      </c>
      <c r="M72" s="972"/>
      <c r="N72" s="978">
        <v>0</v>
      </c>
      <c r="O72" s="972"/>
      <c r="P72" s="977">
        <f t="shared" si="11"/>
        <v>1944087.48</v>
      </c>
      <c r="Q72" s="972"/>
      <c r="R72" s="977">
        <v>1944087.48</v>
      </c>
      <c r="S72" s="977">
        <v>1944087.48</v>
      </c>
      <c r="T72" s="977">
        <f t="shared" si="12"/>
        <v>1944087.48</v>
      </c>
      <c r="U72" s="972"/>
      <c r="V72" s="978">
        <f t="shared" si="13"/>
        <v>0</v>
      </c>
      <c r="W72" s="972"/>
      <c r="X72" s="972"/>
    </row>
    <row r="73" spans="1:24" s="979" customFormat="1" outlineLevel="1">
      <c r="A73" s="972"/>
      <c r="B73" s="973" t="s">
        <v>223</v>
      </c>
      <c r="C73" s="974"/>
      <c r="D73" s="975">
        <v>14044</v>
      </c>
      <c r="E73" s="975" t="s">
        <v>1804</v>
      </c>
      <c r="F73" s="976"/>
      <c r="G73" s="976"/>
      <c r="H73" s="972"/>
      <c r="I73" s="972"/>
      <c r="J73" s="977">
        <v>-4298116.4000000004</v>
      </c>
      <c r="K73" s="972"/>
      <c r="L73" s="977">
        <v>0</v>
      </c>
      <c r="M73" s="972"/>
      <c r="N73" s="978">
        <v>0</v>
      </c>
      <c r="O73" s="972"/>
      <c r="P73" s="977">
        <f t="shared" si="11"/>
        <v>-4298116.4000000004</v>
      </c>
      <c r="Q73" s="972"/>
      <c r="R73" s="977">
        <v>-4298116.4000000004</v>
      </c>
      <c r="S73" s="977">
        <v>-4298116.4000000004</v>
      </c>
      <c r="T73" s="977">
        <f t="shared" si="12"/>
        <v>-4298116.4000000004</v>
      </c>
      <c r="U73" s="972"/>
      <c r="V73" s="978">
        <f t="shared" si="13"/>
        <v>0</v>
      </c>
      <c r="W73" s="972"/>
      <c r="X73" s="972"/>
    </row>
    <row r="74" spans="1:24" s="979" customFormat="1" outlineLevel="1">
      <c r="A74" s="972"/>
      <c r="B74" s="973" t="s">
        <v>223</v>
      </c>
      <c r="C74" s="974"/>
      <c r="D74" s="975">
        <v>14045</v>
      </c>
      <c r="E74" s="975" t="s">
        <v>1805</v>
      </c>
      <c r="F74" s="976"/>
      <c r="G74" s="976"/>
      <c r="H74" s="972"/>
      <c r="I74" s="972"/>
      <c r="J74" s="977">
        <v>-1669701.55</v>
      </c>
      <c r="K74" s="972"/>
      <c r="L74" s="977">
        <v>0</v>
      </c>
      <c r="M74" s="972"/>
      <c r="N74" s="978">
        <v>0</v>
      </c>
      <c r="O74" s="972"/>
      <c r="P74" s="977">
        <f t="shared" si="11"/>
        <v>-1669701.55</v>
      </c>
      <c r="Q74" s="972"/>
      <c r="R74" s="977">
        <v>-1669701.55</v>
      </c>
      <c r="S74" s="977">
        <v>-1669701.55</v>
      </c>
      <c r="T74" s="977">
        <f t="shared" si="12"/>
        <v>-1669701.55</v>
      </c>
      <c r="U74" s="972"/>
      <c r="V74" s="978">
        <f t="shared" si="13"/>
        <v>0</v>
      </c>
      <c r="W74" s="972"/>
      <c r="X74" s="972"/>
    </row>
    <row r="75" spans="1:24" s="979" customFormat="1" outlineLevel="1">
      <c r="A75" s="972"/>
      <c r="B75" s="973" t="s">
        <v>223</v>
      </c>
      <c r="C75" s="974"/>
      <c r="D75" s="975">
        <v>14046</v>
      </c>
      <c r="E75" s="975" t="s">
        <v>1806</v>
      </c>
      <c r="F75" s="976"/>
      <c r="G75" s="976"/>
      <c r="H75" s="972"/>
      <c r="I75" s="972"/>
      <c r="J75" s="977">
        <v>-20167095.68</v>
      </c>
      <c r="K75" s="972"/>
      <c r="L75" s="977">
        <v>0</v>
      </c>
      <c r="M75" s="972"/>
      <c r="N75" s="978">
        <v>0</v>
      </c>
      <c r="O75" s="972"/>
      <c r="P75" s="977">
        <f t="shared" si="11"/>
        <v>-20167095.68</v>
      </c>
      <c r="Q75" s="972"/>
      <c r="R75" s="977">
        <v>-19742083.190000001</v>
      </c>
      <c r="S75" s="977">
        <v>-19953310.530000001</v>
      </c>
      <c r="T75" s="977">
        <f t="shared" si="12"/>
        <v>-20167095.68</v>
      </c>
      <c r="U75" s="972"/>
      <c r="V75" s="978">
        <f t="shared" si="13"/>
        <v>-213785.14999999851</v>
      </c>
      <c r="W75" s="972"/>
      <c r="X75" s="972"/>
    </row>
    <row r="76" spans="1:24" s="979" customFormat="1" outlineLevel="1">
      <c r="A76" s="972"/>
      <c r="B76" s="973" t="s">
        <v>223</v>
      </c>
      <c r="C76" s="974"/>
      <c r="D76" s="975">
        <v>14047</v>
      </c>
      <c r="E76" s="975" t="s">
        <v>1803</v>
      </c>
      <c r="F76" s="976"/>
      <c r="G76" s="976"/>
      <c r="H76" s="972"/>
      <c r="I76" s="972"/>
      <c r="J76" s="977">
        <v>-509107.59</v>
      </c>
      <c r="K76" s="972"/>
      <c r="L76" s="977">
        <v>0</v>
      </c>
      <c r="M76" s="972"/>
      <c r="N76" s="978">
        <v>0</v>
      </c>
      <c r="O76" s="972"/>
      <c r="P76" s="977">
        <f t="shared" si="11"/>
        <v>-509107.59</v>
      </c>
      <c r="Q76" s="972"/>
      <c r="R76" s="977">
        <v>-509107.59</v>
      </c>
      <c r="S76" s="977">
        <v>-509107.59</v>
      </c>
      <c r="T76" s="977">
        <f t="shared" si="12"/>
        <v>-509107.59</v>
      </c>
      <c r="U76" s="972"/>
      <c r="V76" s="978">
        <f t="shared" si="13"/>
        <v>0</v>
      </c>
      <c r="W76" s="972"/>
      <c r="X76" s="972"/>
    </row>
    <row r="77" spans="1:24" s="979" customFormat="1" outlineLevel="1">
      <c r="A77" s="972"/>
      <c r="B77" s="973" t="s">
        <v>223</v>
      </c>
      <c r="C77" s="974"/>
      <c r="D77" s="975">
        <v>14048</v>
      </c>
      <c r="E77" s="975" t="s">
        <v>1804</v>
      </c>
      <c r="F77" s="976"/>
      <c r="G77" s="976"/>
      <c r="H77" s="972"/>
      <c r="I77" s="972"/>
      <c r="J77" s="977">
        <v>3813303.4</v>
      </c>
      <c r="K77" s="972"/>
      <c r="L77" s="977">
        <v>0</v>
      </c>
      <c r="M77" s="972"/>
      <c r="N77" s="978">
        <v>0</v>
      </c>
      <c r="O77" s="972"/>
      <c r="P77" s="977">
        <f t="shared" si="11"/>
        <v>3813303.4</v>
      </c>
      <c r="Q77" s="972"/>
      <c r="R77" s="977">
        <v>3813303.4</v>
      </c>
      <c r="S77" s="977">
        <v>3813303.4</v>
      </c>
      <c r="T77" s="977">
        <f t="shared" si="12"/>
        <v>3813303.4</v>
      </c>
      <c r="U77" s="972"/>
      <c r="V77" s="978">
        <f t="shared" si="13"/>
        <v>0</v>
      </c>
      <c r="W77" s="972"/>
      <c r="X77" s="972"/>
    </row>
    <row r="78" spans="1:24" s="979" customFormat="1" outlineLevel="1">
      <c r="A78" s="972"/>
      <c r="B78" s="973" t="s">
        <v>223</v>
      </c>
      <c r="C78" s="974"/>
      <c r="D78" s="975">
        <v>14050</v>
      </c>
      <c r="E78" s="975" t="s">
        <v>930</v>
      </c>
      <c r="F78" s="976"/>
      <c r="G78" s="976"/>
      <c r="H78" s="972"/>
      <c r="I78" s="972"/>
      <c r="J78" s="977">
        <v>2498846.4</v>
      </c>
      <c r="K78" s="972"/>
      <c r="L78" s="977">
        <v>0</v>
      </c>
      <c r="M78" s="972"/>
      <c r="N78" s="978">
        <v>0</v>
      </c>
      <c r="O78" s="972"/>
      <c r="P78" s="977">
        <f t="shared" si="11"/>
        <v>2498846.4</v>
      </c>
      <c r="Q78" s="972"/>
      <c r="R78" s="977">
        <v>2498846.4</v>
      </c>
      <c r="S78" s="977">
        <v>2498846.4</v>
      </c>
      <c r="T78" s="977">
        <f t="shared" si="12"/>
        <v>2498846.4</v>
      </c>
      <c r="U78" s="972"/>
      <c r="V78" s="978">
        <f t="shared" si="13"/>
        <v>0</v>
      </c>
      <c r="W78" s="972"/>
      <c r="X78" s="972"/>
    </row>
    <row r="79" spans="1:24" s="979" customFormat="1" outlineLevel="1">
      <c r="A79" s="972"/>
      <c r="B79" s="973" t="s">
        <v>223</v>
      </c>
      <c r="C79" s="974"/>
      <c r="D79" s="975">
        <v>14051</v>
      </c>
      <c r="E79" s="975" t="s">
        <v>1807</v>
      </c>
      <c r="F79" s="976"/>
      <c r="G79" s="976"/>
      <c r="H79" s="972"/>
      <c r="I79" s="972"/>
      <c r="J79" s="977">
        <v>8788959.4399999995</v>
      </c>
      <c r="K79" s="972"/>
      <c r="L79" s="977">
        <v>0</v>
      </c>
      <c r="M79" s="972"/>
      <c r="N79" s="978">
        <v>0</v>
      </c>
      <c r="O79" s="972"/>
      <c r="P79" s="977">
        <f t="shared" si="11"/>
        <v>8788959.4399999995</v>
      </c>
      <c r="Q79" s="972"/>
      <c r="R79" s="977">
        <v>8358599.7699999996</v>
      </c>
      <c r="S79" s="977">
        <v>8630182.7899999991</v>
      </c>
      <c r="T79" s="977">
        <f t="shared" si="12"/>
        <v>8788959.4399999995</v>
      </c>
      <c r="U79" s="972"/>
      <c r="V79" s="978">
        <f t="shared" si="13"/>
        <v>158776.65000000037</v>
      </c>
      <c r="W79" s="972"/>
      <c r="X79" s="972"/>
    </row>
    <row r="80" spans="1:24" s="979" customFormat="1" outlineLevel="1">
      <c r="A80" s="972"/>
      <c r="B80" s="973" t="s">
        <v>223</v>
      </c>
      <c r="C80" s="974"/>
      <c r="D80" s="975">
        <v>14052</v>
      </c>
      <c r="E80" s="975" t="s">
        <v>1808</v>
      </c>
      <c r="F80" s="976"/>
      <c r="G80" s="976"/>
      <c r="H80" s="972"/>
      <c r="I80" s="972"/>
      <c r="J80" s="977">
        <v>886547</v>
      </c>
      <c r="K80" s="972"/>
      <c r="L80" s="977">
        <v>0</v>
      </c>
      <c r="M80" s="972"/>
      <c r="N80" s="978">
        <v>0</v>
      </c>
      <c r="O80" s="972"/>
      <c r="P80" s="977">
        <f t="shared" si="11"/>
        <v>886547</v>
      </c>
      <c r="Q80" s="972"/>
      <c r="R80" s="977">
        <v>886547</v>
      </c>
      <c r="S80" s="977">
        <v>886547</v>
      </c>
      <c r="T80" s="977">
        <f t="shared" si="12"/>
        <v>886547</v>
      </c>
      <c r="U80" s="972"/>
      <c r="V80" s="978">
        <f t="shared" si="13"/>
        <v>0</v>
      </c>
      <c r="W80" s="972"/>
      <c r="X80" s="972"/>
    </row>
    <row r="81" spans="1:24" s="979" customFormat="1" outlineLevel="1">
      <c r="A81" s="972"/>
      <c r="B81" s="973" t="s">
        <v>223</v>
      </c>
      <c r="C81" s="974"/>
      <c r="D81" s="975">
        <v>14053</v>
      </c>
      <c r="E81" s="975" t="s">
        <v>1809</v>
      </c>
      <c r="F81" s="976"/>
      <c r="G81" s="976"/>
      <c r="H81" s="972"/>
      <c r="I81" s="972"/>
      <c r="J81" s="977">
        <v>1303581.53</v>
      </c>
      <c r="K81" s="972"/>
      <c r="L81" s="977">
        <v>0</v>
      </c>
      <c r="M81" s="972"/>
      <c r="N81" s="978">
        <v>0</v>
      </c>
      <c r="O81" s="972"/>
      <c r="P81" s="977">
        <f t="shared" si="11"/>
        <v>1303581.53</v>
      </c>
      <c r="Q81" s="972"/>
      <c r="R81" s="977">
        <v>1303581.53</v>
      </c>
      <c r="S81" s="977">
        <v>1303581.53</v>
      </c>
      <c r="T81" s="977">
        <f t="shared" si="12"/>
        <v>1303581.53</v>
      </c>
      <c r="U81" s="972"/>
      <c r="V81" s="978">
        <f t="shared" si="13"/>
        <v>0</v>
      </c>
      <c r="W81" s="972"/>
      <c r="X81" s="972"/>
    </row>
    <row r="82" spans="1:24" s="979" customFormat="1" outlineLevel="1">
      <c r="A82" s="972"/>
      <c r="B82" s="973" t="s">
        <v>223</v>
      </c>
      <c r="C82" s="974"/>
      <c r="D82" s="975">
        <v>14054</v>
      </c>
      <c r="E82" s="975" t="s">
        <v>1810</v>
      </c>
      <c r="F82" s="976"/>
      <c r="G82" s="976"/>
      <c r="H82" s="972"/>
      <c r="I82" s="972"/>
      <c r="J82" s="977">
        <v>-720066.64</v>
      </c>
      <c r="K82" s="972"/>
      <c r="L82" s="977">
        <v>0</v>
      </c>
      <c r="M82" s="972"/>
      <c r="N82" s="978">
        <v>0</v>
      </c>
      <c r="O82" s="972"/>
      <c r="P82" s="977">
        <f t="shared" si="11"/>
        <v>-720066.64</v>
      </c>
      <c r="Q82" s="972"/>
      <c r="R82" s="977">
        <v>-720066.64</v>
      </c>
      <c r="S82" s="977">
        <v>-720066.64</v>
      </c>
      <c r="T82" s="977">
        <f t="shared" si="12"/>
        <v>-720066.64</v>
      </c>
      <c r="U82" s="972"/>
      <c r="V82" s="978">
        <f t="shared" si="13"/>
        <v>0</v>
      </c>
      <c r="W82" s="972"/>
      <c r="X82" s="972"/>
    </row>
    <row r="83" spans="1:24" s="979" customFormat="1" outlineLevel="1">
      <c r="A83" s="972"/>
      <c r="B83" s="973" t="s">
        <v>223</v>
      </c>
      <c r="C83" s="974"/>
      <c r="D83" s="975">
        <v>14055</v>
      </c>
      <c r="E83" s="975" t="s">
        <v>1811</v>
      </c>
      <c r="F83" s="976"/>
      <c r="G83" s="976"/>
      <c r="H83" s="972"/>
      <c r="I83" s="972"/>
      <c r="J83" s="977">
        <v>-1326125.93</v>
      </c>
      <c r="K83" s="972"/>
      <c r="L83" s="977">
        <v>0</v>
      </c>
      <c r="M83" s="972"/>
      <c r="N83" s="978">
        <v>0</v>
      </c>
      <c r="O83" s="972"/>
      <c r="P83" s="977">
        <f t="shared" si="11"/>
        <v>-1326125.93</v>
      </c>
      <c r="Q83" s="972"/>
      <c r="R83" s="977">
        <v>-1326125.93</v>
      </c>
      <c r="S83" s="977">
        <v>-1326125.93</v>
      </c>
      <c r="T83" s="977">
        <f t="shared" si="12"/>
        <v>-1326125.93</v>
      </c>
      <c r="U83" s="972"/>
      <c r="V83" s="978">
        <f t="shared" si="13"/>
        <v>0</v>
      </c>
      <c r="W83" s="972"/>
      <c r="X83" s="972"/>
    </row>
    <row r="84" spans="1:24" s="979" customFormat="1" outlineLevel="1">
      <c r="A84" s="972"/>
      <c r="B84" s="973" t="s">
        <v>223</v>
      </c>
      <c r="C84" s="974"/>
      <c r="D84" s="975">
        <v>14056</v>
      </c>
      <c r="E84" s="975" t="s">
        <v>1812</v>
      </c>
      <c r="F84" s="976"/>
      <c r="G84" s="976"/>
      <c r="H84" s="972"/>
      <c r="I84" s="972"/>
      <c r="J84" s="977">
        <v>-8225837.5199999996</v>
      </c>
      <c r="K84" s="972"/>
      <c r="L84" s="977">
        <v>0</v>
      </c>
      <c r="M84" s="972"/>
      <c r="N84" s="978">
        <v>0</v>
      </c>
      <c r="O84" s="972"/>
      <c r="P84" s="977">
        <f t="shared" si="11"/>
        <v>-8225837.5199999996</v>
      </c>
      <c r="Q84" s="972"/>
      <c r="R84" s="977">
        <v>-8092854.1399999997</v>
      </c>
      <c r="S84" s="977">
        <v>-8159906.1200000001</v>
      </c>
      <c r="T84" s="977">
        <f t="shared" si="12"/>
        <v>-8225837.5199999996</v>
      </c>
      <c r="U84" s="972"/>
      <c r="V84" s="978">
        <f t="shared" si="13"/>
        <v>-65931.399999999441</v>
      </c>
      <c r="W84" s="972"/>
      <c r="X84" s="972"/>
    </row>
    <row r="85" spans="1:24" s="979" customFormat="1" outlineLevel="1">
      <c r="A85" s="972"/>
      <c r="B85" s="973" t="s">
        <v>223</v>
      </c>
      <c r="C85" s="974"/>
      <c r="D85" s="975">
        <v>14057</v>
      </c>
      <c r="E85" s="975" t="s">
        <v>1813</v>
      </c>
      <c r="F85" s="976"/>
      <c r="G85" s="976"/>
      <c r="H85" s="972"/>
      <c r="I85" s="972"/>
      <c r="J85" s="977">
        <v>-510370.74</v>
      </c>
      <c r="K85" s="972"/>
      <c r="L85" s="977">
        <v>0</v>
      </c>
      <c r="M85" s="972"/>
      <c r="N85" s="978">
        <v>0</v>
      </c>
      <c r="O85" s="972"/>
      <c r="P85" s="977">
        <f t="shared" si="11"/>
        <v>-510370.74</v>
      </c>
      <c r="Q85" s="972"/>
      <c r="R85" s="977">
        <v>-510370.74</v>
      </c>
      <c r="S85" s="977">
        <v>-510370.74</v>
      </c>
      <c r="T85" s="977">
        <f t="shared" si="12"/>
        <v>-510370.74</v>
      </c>
      <c r="U85" s="972"/>
      <c r="V85" s="978">
        <f t="shared" si="13"/>
        <v>0</v>
      </c>
      <c r="W85" s="972"/>
      <c r="X85" s="972"/>
    </row>
    <row r="86" spans="1:24" s="979" customFormat="1" outlineLevel="1">
      <c r="A86" s="972"/>
      <c r="B86" s="973" t="s">
        <v>223</v>
      </c>
      <c r="C86" s="974"/>
      <c r="D86" s="975">
        <v>14058</v>
      </c>
      <c r="E86" s="975" t="s">
        <v>1814</v>
      </c>
      <c r="F86" s="976"/>
      <c r="G86" s="976"/>
      <c r="H86" s="972"/>
      <c r="I86" s="972"/>
      <c r="J86" s="977">
        <v>719273.92</v>
      </c>
      <c r="K86" s="972"/>
      <c r="L86" s="977">
        <v>0</v>
      </c>
      <c r="M86" s="972"/>
      <c r="N86" s="978">
        <v>0</v>
      </c>
      <c r="O86" s="972"/>
      <c r="P86" s="977">
        <f t="shared" si="11"/>
        <v>719273.92</v>
      </c>
      <c r="Q86" s="972"/>
      <c r="R86" s="977">
        <v>719273.92</v>
      </c>
      <c r="S86" s="977">
        <v>719273.92</v>
      </c>
      <c r="T86" s="977">
        <f t="shared" si="12"/>
        <v>719273.92</v>
      </c>
      <c r="U86" s="972"/>
      <c r="V86" s="978">
        <f t="shared" si="13"/>
        <v>0</v>
      </c>
      <c r="W86" s="972"/>
      <c r="X86" s="972"/>
    </row>
    <row r="87" spans="1:24" s="979" customFormat="1" outlineLevel="1">
      <c r="A87" s="972"/>
      <c r="B87" s="973" t="s">
        <v>223</v>
      </c>
      <c r="C87" s="974"/>
      <c r="D87" s="975">
        <v>14070</v>
      </c>
      <c r="E87" s="975" t="s">
        <v>1817</v>
      </c>
      <c r="F87" s="976"/>
      <c r="G87" s="976"/>
      <c r="H87" s="972"/>
      <c r="I87" s="972"/>
      <c r="J87" s="977">
        <v>56892.31</v>
      </c>
      <c r="K87" s="972"/>
      <c r="L87" s="977">
        <v>0</v>
      </c>
      <c r="M87" s="972"/>
      <c r="N87" s="978">
        <v>0</v>
      </c>
      <c r="O87" s="972"/>
      <c r="P87" s="977">
        <f t="shared" si="11"/>
        <v>56892.31</v>
      </c>
      <c r="Q87" s="972"/>
      <c r="R87" s="977">
        <v>56892.31</v>
      </c>
      <c r="S87" s="977">
        <v>56892.31</v>
      </c>
      <c r="T87" s="977">
        <f t="shared" si="12"/>
        <v>56892.31</v>
      </c>
      <c r="U87" s="972"/>
      <c r="V87" s="978">
        <f t="shared" si="13"/>
        <v>0</v>
      </c>
      <c r="W87" s="972"/>
      <c r="X87" s="972"/>
    </row>
    <row r="88" spans="1:24" s="979" customFormat="1" outlineLevel="1">
      <c r="A88" s="972"/>
      <c r="B88" s="973" t="s">
        <v>223</v>
      </c>
      <c r="C88" s="974"/>
      <c r="D88" s="975">
        <v>14071</v>
      </c>
      <c r="E88" s="975" t="s">
        <v>1818</v>
      </c>
      <c r="F88" s="976"/>
      <c r="G88" s="976"/>
      <c r="H88" s="972"/>
      <c r="I88" s="972"/>
      <c r="J88" s="977">
        <v>394380.22</v>
      </c>
      <c r="K88" s="972"/>
      <c r="L88" s="977">
        <v>0</v>
      </c>
      <c r="M88" s="972"/>
      <c r="N88" s="978">
        <v>0</v>
      </c>
      <c r="O88" s="972"/>
      <c r="P88" s="977">
        <f t="shared" si="11"/>
        <v>394380.22</v>
      </c>
      <c r="Q88" s="972"/>
      <c r="R88" s="977">
        <v>303968.12</v>
      </c>
      <c r="S88" s="977">
        <v>394380.22</v>
      </c>
      <c r="T88" s="977">
        <f t="shared" si="12"/>
        <v>394380.22</v>
      </c>
      <c r="U88" s="972"/>
      <c r="V88" s="978">
        <f t="shared" si="13"/>
        <v>0</v>
      </c>
      <c r="W88" s="972"/>
      <c r="X88" s="972"/>
    </row>
    <row r="89" spans="1:24" s="979" customFormat="1" outlineLevel="1">
      <c r="A89" s="972"/>
      <c r="B89" s="973" t="s">
        <v>223</v>
      </c>
      <c r="C89" s="974"/>
      <c r="D89" s="975">
        <v>14073</v>
      </c>
      <c r="E89" s="975" t="s">
        <v>1819</v>
      </c>
      <c r="F89" s="976"/>
      <c r="G89" s="976"/>
      <c r="H89" s="972"/>
      <c r="I89" s="972"/>
      <c r="J89" s="977">
        <v>98420.08</v>
      </c>
      <c r="K89" s="972"/>
      <c r="L89" s="977">
        <v>0</v>
      </c>
      <c r="M89" s="972"/>
      <c r="N89" s="978">
        <v>0</v>
      </c>
      <c r="O89" s="972"/>
      <c r="P89" s="977">
        <f t="shared" si="11"/>
        <v>98420.08</v>
      </c>
      <c r="Q89" s="972"/>
      <c r="R89" s="977">
        <v>98420.08</v>
      </c>
      <c r="S89" s="977">
        <v>98420.08</v>
      </c>
      <c r="T89" s="977">
        <f t="shared" si="12"/>
        <v>98420.08</v>
      </c>
      <c r="U89" s="972"/>
      <c r="V89" s="978">
        <f t="shared" si="13"/>
        <v>0</v>
      </c>
      <c r="W89" s="972"/>
      <c r="X89" s="972"/>
    </row>
    <row r="90" spans="1:24" s="979" customFormat="1" outlineLevel="1">
      <c r="A90" s="972"/>
      <c r="B90" s="973" t="s">
        <v>223</v>
      </c>
      <c r="C90" s="974"/>
      <c r="D90" s="975">
        <v>14074</v>
      </c>
      <c r="E90" s="975" t="s">
        <v>1820</v>
      </c>
      <c r="F90" s="976"/>
      <c r="G90" s="976"/>
      <c r="H90" s="972"/>
      <c r="I90" s="972"/>
      <c r="J90" s="977">
        <v>-3076.56</v>
      </c>
      <c r="K90" s="972"/>
      <c r="L90" s="977">
        <v>0</v>
      </c>
      <c r="M90" s="972"/>
      <c r="N90" s="978">
        <v>0</v>
      </c>
      <c r="O90" s="972"/>
      <c r="P90" s="977">
        <f t="shared" si="11"/>
        <v>-3076.56</v>
      </c>
      <c r="Q90" s="972"/>
      <c r="R90" s="977">
        <v>-3076.56</v>
      </c>
      <c r="S90" s="977">
        <v>-3076.56</v>
      </c>
      <c r="T90" s="977">
        <f t="shared" si="12"/>
        <v>-3076.56</v>
      </c>
      <c r="U90" s="972"/>
      <c r="V90" s="978">
        <f t="shared" si="13"/>
        <v>0</v>
      </c>
      <c r="W90" s="972"/>
      <c r="X90" s="972"/>
    </row>
    <row r="91" spans="1:24" s="979" customFormat="1" outlineLevel="1">
      <c r="A91" s="972"/>
      <c r="B91" s="973" t="s">
        <v>223</v>
      </c>
      <c r="C91" s="974"/>
      <c r="D91" s="975">
        <v>14075</v>
      </c>
      <c r="E91" s="975" t="s">
        <v>1821</v>
      </c>
      <c r="F91" s="976"/>
      <c r="G91" s="976"/>
      <c r="H91" s="972"/>
      <c r="I91" s="972"/>
      <c r="J91" s="977">
        <v>-43500.59</v>
      </c>
      <c r="K91" s="972"/>
      <c r="L91" s="977">
        <v>0</v>
      </c>
      <c r="M91" s="972"/>
      <c r="N91" s="978">
        <v>0</v>
      </c>
      <c r="O91" s="972"/>
      <c r="P91" s="977">
        <f t="shared" si="11"/>
        <v>-43500.59</v>
      </c>
      <c r="Q91" s="972"/>
      <c r="R91" s="977">
        <v>-43500.59</v>
      </c>
      <c r="S91" s="977">
        <v>-43500.59</v>
      </c>
      <c r="T91" s="977">
        <f t="shared" si="12"/>
        <v>-43500.59</v>
      </c>
      <c r="U91" s="972"/>
      <c r="V91" s="978">
        <f t="shared" si="13"/>
        <v>0</v>
      </c>
      <c r="W91" s="972"/>
      <c r="X91" s="972"/>
    </row>
    <row r="92" spans="1:24" s="979" customFormat="1" outlineLevel="1">
      <c r="A92" s="972"/>
      <c r="B92" s="973" t="s">
        <v>223</v>
      </c>
      <c r="C92" s="974"/>
      <c r="D92" s="975">
        <v>14076</v>
      </c>
      <c r="E92" s="975" t="s">
        <v>1822</v>
      </c>
      <c r="F92" s="976"/>
      <c r="G92" s="976"/>
      <c r="H92" s="972"/>
      <c r="I92" s="972"/>
      <c r="J92" s="977">
        <v>-303259.71999999997</v>
      </c>
      <c r="K92" s="972"/>
      <c r="L92" s="977">
        <v>0</v>
      </c>
      <c r="M92" s="972"/>
      <c r="N92" s="978">
        <v>0</v>
      </c>
      <c r="O92" s="972"/>
      <c r="P92" s="977">
        <f t="shared" si="11"/>
        <v>-303259.71999999997</v>
      </c>
      <c r="Q92" s="972"/>
      <c r="R92" s="977">
        <v>-297365.56</v>
      </c>
      <c r="S92" s="977">
        <v>-299559.18</v>
      </c>
      <c r="T92" s="977">
        <f t="shared" si="12"/>
        <v>-303259.71999999997</v>
      </c>
      <c r="U92" s="972"/>
      <c r="V92" s="978">
        <f t="shared" si="13"/>
        <v>-3700.539999999979</v>
      </c>
      <c r="W92" s="972"/>
      <c r="X92" s="972"/>
    </row>
    <row r="93" spans="1:24" s="979" customFormat="1" outlineLevel="1">
      <c r="A93" s="972"/>
      <c r="B93" s="973" t="s">
        <v>223</v>
      </c>
      <c r="C93" s="974"/>
      <c r="D93" s="975">
        <v>14077</v>
      </c>
      <c r="E93" s="975" t="s">
        <v>1823</v>
      </c>
      <c r="F93" s="976"/>
      <c r="G93" s="976"/>
      <c r="H93" s="972"/>
      <c r="I93" s="972"/>
      <c r="J93" s="977">
        <v>-89296.639999999999</v>
      </c>
      <c r="K93" s="972"/>
      <c r="L93" s="977">
        <v>0</v>
      </c>
      <c r="M93" s="972"/>
      <c r="N93" s="978">
        <v>0</v>
      </c>
      <c r="O93" s="972"/>
      <c r="P93" s="977">
        <f t="shared" si="11"/>
        <v>-89296.639999999999</v>
      </c>
      <c r="Q93" s="972"/>
      <c r="R93" s="977">
        <v>-89296.639999999999</v>
      </c>
      <c r="S93" s="977">
        <v>-89296.639999999999</v>
      </c>
      <c r="T93" s="977">
        <f t="shared" si="12"/>
        <v>-89296.639999999999</v>
      </c>
      <c r="U93" s="972"/>
      <c r="V93" s="978">
        <f t="shared" si="13"/>
        <v>0</v>
      </c>
      <c r="W93" s="972"/>
      <c r="X93" s="972"/>
    </row>
    <row r="94" spans="1:24" s="979" customFormat="1" outlineLevel="1">
      <c r="A94" s="972"/>
      <c r="B94" s="973" t="s">
        <v>223</v>
      </c>
      <c r="C94" s="974"/>
      <c r="D94" s="975">
        <v>14078</v>
      </c>
      <c r="E94" s="975" t="s">
        <v>1824</v>
      </c>
      <c r="F94" s="976"/>
      <c r="G94" s="976"/>
      <c r="H94" s="972"/>
      <c r="I94" s="972"/>
      <c r="J94" s="977">
        <v>1794.64</v>
      </c>
      <c r="K94" s="972"/>
      <c r="L94" s="977">
        <v>0</v>
      </c>
      <c r="M94" s="972"/>
      <c r="N94" s="978">
        <v>0</v>
      </c>
      <c r="O94" s="972"/>
      <c r="P94" s="977">
        <f t="shared" ref="P94:P121" si="14">J94+L94+N94</f>
        <v>1794.64</v>
      </c>
      <c r="Q94" s="972"/>
      <c r="R94" s="977">
        <v>1794.64</v>
      </c>
      <c r="S94" s="977">
        <v>1794.64</v>
      </c>
      <c r="T94" s="977">
        <f t="shared" si="12"/>
        <v>1794.64</v>
      </c>
      <c r="U94" s="972"/>
      <c r="V94" s="978">
        <f t="shared" si="13"/>
        <v>0</v>
      </c>
      <c r="W94" s="972"/>
      <c r="X94" s="972"/>
    </row>
    <row r="95" spans="1:24" s="979" customFormat="1" outlineLevel="1">
      <c r="A95" s="972"/>
      <c r="B95" s="973" t="s">
        <v>223</v>
      </c>
      <c r="C95" s="974"/>
      <c r="D95" s="975">
        <v>14081</v>
      </c>
      <c r="E95" s="975" t="s">
        <v>1825</v>
      </c>
      <c r="F95" s="976"/>
      <c r="G95" s="976"/>
      <c r="H95" s="972"/>
      <c r="I95" s="972"/>
      <c r="J95" s="977">
        <v>2902</v>
      </c>
      <c r="K95" s="972"/>
      <c r="L95" s="977">
        <v>0</v>
      </c>
      <c r="M95" s="972"/>
      <c r="N95" s="978">
        <v>0</v>
      </c>
      <c r="O95" s="972"/>
      <c r="P95" s="977">
        <f t="shared" si="14"/>
        <v>2902</v>
      </c>
      <c r="Q95" s="972"/>
      <c r="R95" s="977">
        <v>2902</v>
      </c>
      <c r="S95" s="977">
        <v>2902</v>
      </c>
      <c r="T95" s="977">
        <f t="shared" si="12"/>
        <v>2902</v>
      </c>
      <c r="U95" s="972"/>
      <c r="V95" s="978">
        <f t="shared" si="13"/>
        <v>0</v>
      </c>
      <c r="W95" s="972"/>
      <c r="X95" s="972"/>
    </row>
    <row r="96" spans="1:24" s="979" customFormat="1" outlineLevel="1">
      <c r="A96" s="972"/>
      <c r="B96" s="973" t="s">
        <v>223</v>
      </c>
      <c r="C96" s="974"/>
      <c r="D96" s="975">
        <v>14086</v>
      </c>
      <c r="E96" s="975" t="s">
        <v>1826</v>
      </c>
      <c r="F96" s="976"/>
      <c r="G96" s="976"/>
      <c r="H96" s="972"/>
      <c r="I96" s="972"/>
      <c r="J96" s="977">
        <v>-1898.4</v>
      </c>
      <c r="K96" s="972"/>
      <c r="L96" s="977">
        <v>0</v>
      </c>
      <c r="M96" s="972"/>
      <c r="N96" s="978">
        <v>0</v>
      </c>
      <c r="O96" s="972"/>
      <c r="P96" s="977">
        <f t="shared" si="14"/>
        <v>-1898.4</v>
      </c>
      <c r="Q96" s="972"/>
      <c r="R96" s="977">
        <v>-1874.21</v>
      </c>
      <c r="S96" s="977">
        <v>-1886.3</v>
      </c>
      <c r="T96" s="977">
        <f t="shared" si="12"/>
        <v>-1898.4</v>
      </c>
      <c r="U96" s="972"/>
      <c r="V96" s="978">
        <f t="shared" si="13"/>
        <v>-12.100000000000136</v>
      </c>
      <c r="W96" s="972"/>
      <c r="X96" s="972"/>
    </row>
    <row r="97" spans="1:24" s="979" customFormat="1" outlineLevel="1">
      <c r="A97" s="972"/>
      <c r="B97" s="973" t="s">
        <v>223</v>
      </c>
      <c r="C97" s="974"/>
      <c r="D97" s="975">
        <v>14090</v>
      </c>
      <c r="E97" s="975" t="s">
        <v>1827</v>
      </c>
      <c r="F97" s="976"/>
      <c r="G97" s="976"/>
      <c r="H97" s="972"/>
      <c r="I97" s="972"/>
      <c r="J97" s="977">
        <v>123983.15</v>
      </c>
      <c r="K97" s="972"/>
      <c r="L97" s="977">
        <v>0</v>
      </c>
      <c r="M97" s="972"/>
      <c r="N97" s="978">
        <v>0</v>
      </c>
      <c r="O97" s="972"/>
      <c r="P97" s="977">
        <f t="shared" si="14"/>
        <v>123983.15</v>
      </c>
      <c r="Q97" s="972"/>
      <c r="R97" s="977">
        <v>123983.15</v>
      </c>
      <c r="S97" s="977">
        <v>123983.15</v>
      </c>
      <c r="T97" s="977">
        <f t="shared" si="12"/>
        <v>123983.15</v>
      </c>
      <c r="U97" s="972"/>
      <c r="V97" s="978">
        <f t="shared" si="13"/>
        <v>0</v>
      </c>
      <c r="W97" s="972"/>
      <c r="X97" s="972"/>
    </row>
    <row r="98" spans="1:24" s="979" customFormat="1" outlineLevel="1">
      <c r="A98" s="972"/>
      <c r="B98" s="973" t="s">
        <v>223</v>
      </c>
      <c r="C98" s="974"/>
      <c r="D98" s="975">
        <v>14091</v>
      </c>
      <c r="E98" s="975" t="s">
        <v>1828</v>
      </c>
      <c r="F98" s="976"/>
      <c r="G98" s="976"/>
      <c r="H98" s="972"/>
      <c r="I98" s="972"/>
      <c r="J98" s="977">
        <v>1727122.06</v>
      </c>
      <c r="K98" s="972"/>
      <c r="L98" s="977">
        <v>0</v>
      </c>
      <c r="M98" s="972"/>
      <c r="N98" s="978">
        <v>0</v>
      </c>
      <c r="O98" s="972"/>
      <c r="P98" s="977">
        <f t="shared" si="14"/>
        <v>1727122.06</v>
      </c>
      <c r="Q98" s="972"/>
      <c r="R98" s="977">
        <v>1727122.06</v>
      </c>
      <c r="S98" s="977">
        <v>1727122.06</v>
      </c>
      <c r="T98" s="977">
        <f t="shared" si="12"/>
        <v>1727122.06</v>
      </c>
      <c r="U98" s="972"/>
      <c r="V98" s="978">
        <f t="shared" si="13"/>
        <v>0</v>
      </c>
      <c r="W98" s="972"/>
      <c r="X98" s="972"/>
    </row>
    <row r="99" spans="1:24" s="979" customFormat="1" outlineLevel="1">
      <c r="A99" s="972"/>
      <c r="B99" s="973" t="s">
        <v>223</v>
      </c>
      <c r="C99" s="974"/>
      <c r="D99" s="975">
        <v>14093</v>
      </c>
      <c r="E99" s="975" t="s">
        <v>1829</v>
      </c>
      <c r="F99" s="976"/>
      <c r="G99" s="976"/>
      <c r="H99" s="972"/>
      <c r="I99" s="972"/>
      <c r="J99" s="977">
        <v>0.33</v>
      </c>
      <c r="K99" s="972"/>
      <c r="L99" s="977">
        <v>0</v>
      </c>
      <c r="M99" s="972"/>
      <c r="N99" s="978">
        <v>0</v>
      </c>
      <c r="O99" s="972"/>
      <c r="P99" s="977">
        <f t="shared" si="14"/>
        <v>0.33</v>
      </c>
      <c r="Q99" s="972"/>
      <c r="R99" s="977">
        <v>0.33</v>
      </c>
      <c r="S99" s="977">
        <v>0.33</v>
      </c>
      <c r="T99" s="977">
        <f t="shared" si="12"/>
        <v>0.33</v>
      </c>
      <c r="U99" s="972"/>
      <c r="V99" s="978">
        <f t="shared" si="13"/>
        <v>0</v>
      </c>
      <c r="W99" s="972"/>
      <c r="X99" s="972"/>
    </row>
    <row r="100" spans="1:24" s="979" customFormat="1" outlineLevel="1">
      <c r="A100" s="972"/>
      <c r="B100" s="973" t="s">
        <v>223</v>
      </c>
      <c r="C100" s="974"/>
      <c r="D100" s="975">
        <v>14095</v>
      </c>
      <c r="E100" s="975" t="s">
        <v>1830</v>
      </c>
      <c r="F100" s="976"/>
      <c r="G100" s="976"/>
      <c r="H100" s="972"/>
      <c r="I100" s="972"/>
      <c r="J100" s="977">
        <v>-24957.85</v>
      </c>
      <c r="K100" s="972"/>
      <c r="L100" s="977">
        <v>0</v>
      </c>
      <c r="M100" s="972"/>
      <c r="N100" s="978">
        <v>0</v>
      </c>
      <c r="O100" s="972"/>
      <c r="P100" s="977">
        <f t="shared" si="14"/>
        <v>-24957.85</v>
      </c>
      <c r="Q100" s="972"/>
      <c r="R100" s="977">
        <v>-24957.85</v>
      </c>
      <c r="S100" s="977">
        <v>-24957.85</v>
      </c>
      <c r="T100" s="977">
        <f t="shared" si="12"/>
        <v>-24957.85</v>
      </c>
      <c r="U100" s="972"/>
      <c r="V100" s="978">
        <f t="shared" si="13"/>
        <v>0</v>
      </c>
      <c r="W100" s="972"/>
      <c r="X100" s="972"/>
    </row>
    <row r="101" spans="1:24" s="979" customFormat="1" outlineLevel="1">
      <c r="A101" s="972"/>
      <c r="B101" s="973" t="s">
        <v>223</v>
      </c>
      <c r="C101" s="974"/>
      <c r="D101" s="975">
        <v>14096</v>
      </c>
      <c r="E101" s="975" t="s">
        <v>1831</v>
      </c>
      <c r="F101" s="976"/>
      <c r="G101" s="976"/>
      <c r="H101" s="972"/>
      <c r="I101" s="972"/>
      <c r="J101" s="977">
        <v>-1222043.31</v>
      </c>
      <c r="K101" s="972"/>
      <c r="L101" s="977">
        <v>0</v>
      </c>
      <c r="M101" s="972"/>
      <c r="N101" s="978">
        <v>0</v>
      </c>
      <c r="O101" s="972"/>
      <c r="P101" s="977">
        <f t="shared" si="14"/>
        <v>-1222043.31</v>
      </c>
      <c r="Q101" s="972"/>
      <c r="R101" s="977">
        <v>-1204927.6200000001</v>
      </c>
      <c r="S101" s="977">
        <v>-1213485.44</v>
      </c>
      <c r="T101" s="977">
        <f t="shared" si="12"/>
        <v>-1222043.31</v>
      </c>
      <c r="U101" s="972"/>
      <c r="V101" s="978">
        <f t="shared" si="13"/>
        <v>-8557.8700000001118</v>
      </c>
      <c r="W101" s="972"/>
      <c r="X101" s="972"/>
    </row>
    <row r="102" spans="1:24" s="979" customFormat="1" outlineLevel="1">
      <c r="A102" s="972"/>
      <c r="B102" s="973" t="s">
        <v>223</v>
      </c>
      <c r="C102" s="974"/>
      <c r="D102" s="975">
        <v>14097</v>
      </c>
      <c r="E102" s="975" t="s">
        <v>1832</v>
      </c>
      <c r="F102" s="976"/>
      <c r="G102" s="976"/>
      <c r="H102" s="972"/>
      <c r="I102" s="972"/>
      <c r="J102" s="977">
        <v>-149511.75</v>
      </c>
      <c r="K102" s="972"/>
      <c r="L102" s="977">
        <v>0</v>
      </c>
      <c r="M102" s="972"/>
      <c r="N102" s="978">
        <v>0</v>
      </c>
      <c r="O102" s="972"/>
      <c r="P102" s="977">
        <f t="shared" si="14"/>
        <v>-149511.75</v>
      </c>
      <c r="Q102" s="972"/>
      <c r="R102" s="977">
        <v>-149511.75</v>
      </c>
      <c r="S102" s="977">
        <v>-149511.75</v>
      </c>
      <c r="T102" s="977">
        <f t="shared" si="12"/>
        <v>-149511.75</v>
      </c>
      <c r="U102" s="972"/>
      <c r="V102" s="978">
        <f t="shared" si="13"/>
        <v>0</v>
      </c>
      <c r="W102" s="972"/>
      <c r="X102" s="972"/>
    </row>
    <row r="103" spans="1:24" s="979" customFormat="1" outlineLevel="1">
      <c r="A103" s="972"/>
      <c r="B103" s="973" t="s">
        <v>223</v>
      </c>
      <c r="C103" s="974"/>
      <c r="D103" s="975">
        <v>14100</v>
      </c>
      <c r="E103" s="975" t="s">
        <v>1230</v>
      </c>
      <c r="F103" s="976"/>
      <c r="G103" s="976"/>
      <c r="H103" s="972"/>
      <c r="I103" s="972"/>
      <c r="J103" s="977">
        <v>106380.34</v>
      </c>
      <c r="K103" s="972"/>
      <c r="L103" s="977">
        <v>0</v>
      </c>
      <c r="M103" s="972"/>
      <c r="N103" s="978">
        <v>0</v>
      </c>
      <c r="O103" s="972"/>
      <c r="P103" s="977">
        <f t="shared" si="14"/>
        <v>106380.34</v>
      </c>
      <c r="Q103" s="972"/>
      <c r="R103" s="977">
        <v>106380.34</v>
      </c>
      <c r="S103" s="977">
        <v>106380.34</v>
      </c>
      <c r="T103" s="977">
        <f t="shared" si="12"/>
        <v>106380.34</v>
      </c>
      <c r="U103" s="972"/>
      <c r="V103" s="978">
        <f t="shared" si="13"/>
        <v>0</v>
      </c>
      <c r="W103" s="972"/>
      <c r="X103" s="972"/>
    </row>
    <row r="104" spans="1:24" s="979" customFormat="1" outlineLevel="1">
      <c r="A104" s="972"/>
      <c r="B104" s="973" t="s">
        <v>223</v>
      </c>
      <c r="C104" s="974"/>
      <c r="D104" s="975">
        <v>14101</v>
      </c>
      <c r="E104" s="975" t="s">
        <v>1833</v>
      </c>
      <c r="F104" s="976"/>
      <c r="G104" s="976"/>
      <c r="H104" s="972"/>
      <c r="I104" s="972"/>
      <c r="J104" s="977">
        <v>266311.02</v>
      </c>
      <c r="K104" s="972"/>
      <c r="L104" s="977">
        <v>0</v>
      </c>
      <c r="M104" s="972"/>
      <c r="N104" s="978">
        <v>0</v>
      </c>
      <c r="O104" s="972"/>
      <c r="P104" s="977">
        <f t="shared" si="14"/>
        <v>266311.02</v>
      </c>
      <c r="Q104" s="972"/>
      <c r="R104" s="977">
        <v>222358.51</v>
      </c>
      <c r="S104" s="977">
        <v>222358.51</v>
      </c>
      <c r="T104" s="977">
        <f t="shared" si="12"/>
        <v>266311.02</v>
      </c>
      <c r="U104" s="972"/>
      <c r="V104" s="978">
        <f t="shared" si="13"/>
        <v>43952.510000000009</v>
      </c>
      <c r="W104" s="972"/>
      <c r="X104" s="972"/>
    </row>
    <row r="105" spans="1:24" s="979" customFormat="1" outlineLevel="1">
      <c r="A105" s="972"/>
      <c r="B105" s="973" t="s">
        <v>223</v>
      </c>
      <c r="C105" s="974"/>
      <c r="D105" s="975">
        <v>14103</v>
      </c>
      <c r="E105" s="975" t="s">
        <v>1834</v>
      </c>
      <c r="F105" s="976"/>
      <c r="G105" s="976"/>
      <c r="H105" s="972"/>
      <c r="I105" s="972"/>
      <c r="J105" s="977">
        <v>0.11</v>
      </c>
      <c r="K105" s="972"/>
      <c r="L105" s="977">
        <v>0</v>
      </c>
      <c r="M105" s="972"/>
      <c r="N105" s="978">
        <v>0</v>
      </c>
      <c r="O105" s="972"/>
      <c r="P105" s="977">
        <f t="shared" si="14"/>
        <v>0.11</v>
      </c>
      <c r="Q105" s="972"/>
      <c r="R105" s="977">
        <v>0.11</v>
      </c>
      <c r="S105" s="977">
        <v>0.11</v>
      </c>
      <c r="T105" s="977">
        <f t="shared" si="12"/>
        <v>0.11</v>
      </c>
      <c r="U105" s="972"/>
      <c r="V105" s="978">
        <f t="shared" si="13"/>
        <v>0</v>
      </c>
      <c r="W105" s="972"/>
      <c r="X105" s="972"/>
    </row>
    <row r="106" spans="1:24" s="979" customFormat="1" outlineLevel="1">
      <c r="A106" s="972"/>
      <c r="B106" s="973" t="s">
        <v>223</v>
      </c>
      <c r="C106" s="974"/>
      <c r="D106" s="975">
        <v>14104</v>
      </c>
      <c r="E106" s="975" t="s">
        <v>1835</v>
      </c>
      <c r="F106" s="976"/>
      <c r="G106" s="976"/>
      <c r="H106" s="972"/>
      <c r="I106" s="972"/>
      <c r="J106" s="977">
        <v>-36210.76</v>
      </c>
      <c r="K106" s="972"/>
      <c r="L106" s="977">
        <v>0</v>
      </c>
      <c r="M106" s="972"/>
      <c r="N106" s="978">
        <v>0</v>
      </c>
      <c r="O106" s="972"/>
      <c r="P106" s="977">
        <f t="shared" si="14"/>
        <v>-36210.76</v>
      </c>
      <c r="Q106" s="972"/>
      <c r="R106" s="977">
        <v>-36210.76</v>
      </c>
      <c r="S106" s="977">
        <v>-36210.76</v>
      </c>
      <c r="T106" s="977">
        <f t="shared" si="12"/>
        <v>-36210.76</v>
      </c>
      <c r="U106" s="972"/>
      <c r="V106" s="978">
        <f t="shared" si="13"/>
        <v>0</v>
      </c>
      <c r="W106" s="972"/>
      <c r="X106" s="972"/>
    </row>
    <row r="107" spans="1:24" s="979" customFormat="1" outlineLevel="1">
      <c r="A107" s="972"/>
      <c r="B107" s="973" t="s">
        <v>223</v>
      </c>
      <c r="C107" s="974"/>
      <c r="D107" s="975">
        <v>14105</v>
      </c>
      <c r="E107" s="975" t="s">
        <v>1836</v>
      </c>
      <c r="F107" s="976"/>
      <c r="G107" s="976"/>
      <c r="H107" s="972"/>
      <c r="I107" s="972"/>
      <c r="J107" s="977">
        <v>-71759.600000000006</v>
      </c>
      <c r="K107" s="972"/>
      <c r="L107" s="977">
        <v>0</v>
      </c>
      <c r="M107" s="972"/>
      <c r="N107" s="978">
        <v>0</v>
      </c>
      <c r="O107" s="972"/>
      <c r="P107" s="977">
        <f t="shared" si="14"/>
        <v>-71759.600000000006</v>
      </c>
      <c r="Q107" s="972"/>
      <c r="R107" s="977">
        <v>-71759.600000000006</v>
      </c>
      <c r="S107" s="977">
        <v>-71759.600000000006</v>
      </c>
      <c r="T107" s="977">
        <f t="shared" si="12"/>
        <v>-71759.600000000006</v>
      </c>
      <c r="U107" s="972"/>
      <c r="V107" s="978">
        <f t="shared" si="13"/>
        <v>0</v>
      </c>
      <c r="W107" s="972"/>
      <c r="X107" s="972"/>
    </row>
    <row r="108" spans="1:24" s="979" customFormat="1" outlineLevel="1">
      <c r="A108" s="972"/>
      <c r="B108" s="973" t="s">
        <v>223</v>
      </c>
      <c r="C108" s="974"/>
      <c r="D108" s="975">
        <v>14106</v>
      </c>
      <c r="E108" s="975" t="s">
        <v>1837</v>
      </c>
      <c r="F108" s="976"/>
      <c r="G108" s="976"/>
      <c r="H108" s="972"/>
      <c r="I108" s="972"/>
      <c r="J108" s="977">
        <v>-126207.43</v>
      </c>
      <c r="K108" s="972"/>
      <c r="L108" s="977">
        <v>0</v>
      </c>
      <c r="M108" s="972"/>
      <c r="N108" s="978">
        <v>0</v>
      </c>
      <c r="O108" s="972"/>
      <c r="P108" s="977">
        <f t="shared" si="14"/>
        <v>-126207.43</v>
      </c>
      <c r="Q108" s="972"/>
      <c r="R108" s="977">
        <v>-122395.01</v>
      </c>
      <c r="S108" s="977">
        <v>-123568.68</v>
      </c>
      <c r="T108" s="977">
        <f t="shared" si="12"/>
        <v>-126207.43</v>
      </c>
      <c r="U108" s="972"/>
      <c r="V108" s="978">
        <f t="shared" si="13"/>
        <v>-2638.75</v>
      </c>
      <c r="W108" s="972"/>
      <c r="X108" s="972"/>
    </row>
    <row r="109" spans="1:24" s="979" customFormat="1" outlineLevel="1">
      <c r="A109" s="972"/>
      <c r="B109" s="973" t="s">
        <v>223</v>
      </c>
      <c r="C109" s="974"/>
      <c r="D109" s="975">
        <v>14107</v>
      </c>
      <c r="E109" s="975" t="s">
        <v>1838</v>
      </c>
      <c r="F109" s="976"/>
      <c r="G109" s="976"/>
      <c r="H109" s="972"/>
      <c r="I109" s="972"/>
      <c r="J109" s="977">
        <v>-72914.22</v>
      </c>
      <c r="K109" s="972"/>
      <c r="L109" s="977">
        <v>0</v>
      </c>
      <c r="M109" s="972"/>
      <c r="N109" s="978">
        <v>0</v>
      </c>
      <c r="O109" s="972"/>
      <c r="P109" s="977">
        <f t="shared" si="14"/>
        <v>-72914.22</v>
      </c>
      <c r="Q109" s="972"/>
      <c r="R109" s="977">
        <v>-72914.22</v>
      </c>
      <c r="S109" s="977">
        <v>-72914.22</v>
      </c>
      <c r="T109" s="977">
        <f t="shared" si="12"/>
        <v>-72914.22</v>
      </c>
      <c r="U109" s="972"/>
      <c r="V109" s="978">
        <f t="shared" si="13"/>
        <v>0</v>
      </c>
      <c r="W109" s="972"/>
      <c r="X109" s="972"/>
    </row>
    <row r="110" spans="1:24" s="979" customFormat="1" outlineLevel="1">
      <c r="A110" s="972"/>
      <c r="B110" s="973" t="s">
        <v>223</v>
      </c>
      <c r="C110" s="974"/>
      <c r="D110" s="975">
        <v>14108</v>
      </c>
      <c r="E110" s="975" t="s">
        <v>1839</v>
      </c>
      <c r="F110" s="976"/>
      <c r="G110" s="976"/>
      <c r="H110" s="972"/>
      <c r="I110" s="972"/>
      <c r="J110" s="977">
        <v>36210.76</v>
      </c>
      <c r="K110" s="972"/>
      <c r="L110" s="977">
        <v>0</v>
      </c>
      <c r="M110" s="972"/>
      <c r="N110" s="978">
        <v>0</v>
      </c>
      <c r="O110" s="972"/>
      <c r="P110" s="977">
        <f t="shared" si="14"/>
        <v>36210.76</v>
      </c>
      <c r="Q110" s="972"/>
      <c r="R110" s="977">
        <v>36210.76</v>
      </c>
      <c r="S110" s="977">
        <v>36210.76</v>
      </c>
      <c r="T110" s="977">
        <f t="shared" si="12"/>
        <v>36210.76</v>
      </c>
      <c r="U110" s="972"/>
      <c r="V110" s="978">
        <f t="shared" si="13"/>
        <v>0</v>
      </c>
      <c r="W110" s="972"/>
      <c r="X110" s="972"/>
    </row>
    <row r="111" spans="1:24" s="979" customFormat="1" outlineLevel="1">
      <c r="A111" s="972"/>
      <c r="B111" s="973" t="s">
        <v>223</v>
      </c>
      <c r="C111" s="974"/>
      <c r="D111" s="975">
        <v>14110</v>
      </c>
      <c r="E111" s="975" t="s">
        <v>1840</v>
      </c>
      <c r="F111" s="976"/>
      <c r="G111" s="976"/>
      <c r="H111" s="972"/>
      <c r="I111" s="972"/>
      <c r="J111" s="977">
        <v>203338.36</v>
      </c>
      <c r="K111" s="972"/>
      <c r="L111" s="977">
        <v>0</v>
      </c>
      <c r="M111" s="972"/>
      <c r="N111" s="978">
        <v>0</v>
      </c>
      <c r="O111" s="972"/>
      <c r="P111" s="977">
        <f t="shared" si="14"/>
        <v>203338.36</v>
      </c>
      <c r="Q111" s="972"/>
      <c r="R111" s="977">
        <v>203338.36</v>
      </c>
      <c r="S111" s="977">
        <v>203338.36</v>
      </c>
      <c r="T111" s="977">
        <f t="shared" si="12"/>
        <v>203338.36</v>
      </c>
      <c r="U111" s="972"/>
      <c r="V111" s="978">
        <f t="shared" si="13"/>
        <v>0</v>
      </c>
      <c r="W111" s="972"/>
      <c r="X111" s="972"/>
    </row>
    <row r="112" spans="1:24" s="979" customFormat="1" outlineLevel="1">
      <c r="A112" s="972"/>
      <c r="B112" s="973" t="s">
        <v>223</v>
      </c>
      <c r="C112" s="974"/>
      <c r="D112" s="975">
        <v>14111</v>
      </c>
      <c r="E112" s="975" t="s">
        <v>1841</v>
      </c>
      <c r="F112" s="976"/>
      <c r="G112" s="976"/>
      <c r="H112" s="972"/>
      <c r="I112" s="972"/>
      <c r="J112" s="977">
        <v>153127.53</v>
      </c>
      <c r="K112" s="972"/>
      <c r="L112" s="977">
        <v>0</v>
      </c>
      <c r="M112" s="972"/>
      <c r="N112" s="978">
        <v>0</v>
      </c>
      <c r="O112" s="972"/>
      <c r="P112" s="977">
        <f t="shared" si="14"/>
        <v>153127.53</v>
      </c>
      <c r="Q112" s="972"/>
      <c r="R112" s="977">
        <v>120586.52</v>
      </c>
      <c r="S112" s="977">
        <v>121876.01</v>
      </c>
      <c r="T112" s="977">
        <f t="shared" si="12"/>
        <v>153127.53</v>
      </c>
      <c r="U112" s="972"/>
      <c r="V112" s="978">
        <f t="shared" si="13"/>
        <v>31251.520000000004</v>
      </c>
      <c r="W112" s="972"/>
      <c r="X112" s="972"/>
    </row>
    <row r="113" spans="1:25" s="979" customFormat="1" outlineLevel="1">
      <c r="A113" s="972"/>
      <c r="B113" s="973" t="s">
        <v>223</v>
      </c>
      <c r="C113" s="974"/>
      <c r="D113" s="975">
        <v>14113</v>
      </c>
      <c r="E113" s="975" t="s">
        <v>1842</v>
      </c>
      <c r="F113" s="976"/>
      <c r="G113" s="976"/>
      <c r="H113" s="972"/>
      <c r="I113" s="972"/>
      <c r="J113" s="977">
        <v>39639.82</v>
      </c>
      <c r="K113" s="972"/>
      <c r="L113" s="977">
        <v>0</v>
      </c>
      <c r="M113" s="972"/>
      <c r="N113" s="978">
        <v>0</v>
      </c>
      <c r="O113" s="972"/>
      <c r="P113" s="977">
        <f t="shared" si="14"/>
        <v>39639.82</v>
      </c>
      <c r="Q113" s="972"/>
      <c r="R113" s="977">
        <v>39639.82</v>
      </c>
      <c r="S113" s="977">
        <v>39639.82</v>
      </c>
      <c r="T113" s="977">
        <f t="shared" si="12"/>
        <v>39639.82</v>
      </c>
      <c r="U113" s="972"/>
      <c r="V113" s="978">
        <f t="shared" si="13"/>
        <v>0</v>
      </c>
      <c r="W113" s="972"/>
      <c r="X113" s="972"/>
    </row>
    <row r="114" spans="1:25" s="979" customFormat="1" outlineLevel="1">
      <c r="A114" s="972"/>
      <c r="B114" s="973" t="s">
        <v>223</v>
      </c>
      <c r="C114" s="974"/>
      <c r="D114" s="975">
        <v>14114</v>
      </c>
      <c r="E114" s="975" t="s">
        <v>1843</v>
      </c>
      <c r="F114" s="976"/>
      <c r="G114" s="976"/>
      <c r="H114" s="972"/>
      <c r="I114" s="972"/>
      <c r="J114" s="977">
        <v>-12278.09</v>
      </c>
      <c r="K114" s="972"/>
      <c r="L114" s="977">
        <v>0</v>
      </c>
      <c r="M114" s="972"/>
      <c r="N114" s="978">
        <v>0</v>
      </c>
      <c r="O114" s="972"/>
      <c r="P114" s="977">
        <f t="shared" si="14"/>
        <v>-12278.09</v>
      </c>
      <c r="Q114" s="972"/>
      <c r="R114" s="977">
        <v>-12278.09</v>
      </c>
      <c r="S114" s="977">
        <v>-12278.09</v>
      </c>
      <c r="T114" s="977">
        <f t="shared" si="12"/>
        <v>-12278.09</v>
      </c>
      <c r="U114" s="972"/>
      <c r="V114" s="978">
        <f t="shared" si="13"/>
        <v>0</v>
      </c>
      <c r="W114" s="972"/>
      <c r="X114" s="972"/>
    </row>
    <row r="115" spans="1:25" s="979" customFormat="1" outlineLevel="1">
      <c r="A115" s="972"/>
      <c r="B115" s="973" t="s">
        <v>223</v>
      </c>
      <c r="C115" s="974"/>
      <c r="D115" s="975">
        <v>14115</v>
      </c>
      <c r="E115" s="975" t="s">
        <v>1844</v>
      </c>
      <c r="F115" s="976"/>
      <c r="G115" s="976"/>
      <c r="H115" s="972"/>
      <c r="I115" s="972"/>
      <c r="J115" s="977">
        <v>-147446.6</v>
      </c>
      <c r="K115" s="972"/>
      <c r="L115" s="977">
        <v>0</v>
      </c>
      <c r="M115" s="972"/>
      <c r="N115" s="978">
        <v>0</v>
      </c>
      <c r="O115" s="972"/>
      <c r="P115" s="977">
        <f t="shared" si="14"/>
        <v>-147446.6</v>
      </c>
      <c r="Q115" s="972"/>
      <c r="R115" s="977">
        <v>-147446.6</v>
      </c>
      <c r="S115" s="977">
        <v>-147446.6</v>
      </c>
      <c r="T115" s="977">
        <f t="shared" si="12"/>
        <v>-147446.6</v>
      </c>
      <c r="U115" s="972"/>
      <c r="V115" s="978">
        <f t="shared" si="13"/>
        <v>0</v>
      </c>
      <c r="W115" s="972"/>
      <c r="X115" s="972"/>
    </row>
    <row r="116" spans="1:25" s="979" customFormat="1" outlineLevel="1">
      <c r="A116" s="972"/>
      <c r="B116" s="973" t="s">
        <v>223</v>
      </c>
      <c r="C116" s="974"/>
      <c r="D116" s="975">
        <v>14116</v>
      </c>
      <c r="E116" s="975" t="s">
        <v>1845</v>
      </c>
      <c r="F116" s="976"/>
      <c r="G116" s="976"/>
      <c r="H116" s="972"/>
      <c r="I116" s="972"/>
      <c r="J116" s="977">
        <v>-158656.26</v>
      </c>
      <c r="K116" s="972"/>
      <c r="L116" s="977">
        <v>0</v>
      </c>
      <c r="M116" s="972"/>
      <c r="N116" s="978">
        <v>0</v>
      </c>
      <c r="O116" s="972"/>
      <c r="P116" s="977">
        <f t="shared" si="14"/>
        <v>-158656.26</v>
      </c>
      <c r="Q116" s="972"/>
      <c r="R116" s="977">
        <v>-151416.31</v>
      </c>
      <c r="S116" s="977">
        <v>-154110.29999999999</v>
      </c>
      <c r="T116" s="977">
        <f t="shared" si="12"/>
        <v>-158656.26</v>
      </c>
      <c r="U116" s="972"/>
      <c r="V116" s="978">
        <f t="shared" si="13"/>
        <v>-4545.960000000021</v>
      </c>
      <c r="W116" s="972"/>
      <c r="X116" s="972"/>
    </row>
    <row r="117" spans="1:25" s="979" customFormat="1" outlineLevel="1">
      <c r="A117" s="972"/>
      <c r="B117" s="973" t="s">
        <v>223</v>
      </c>
      <c r="C117" s="974"/>
      <c r="D117" s="975">
        <v>14117</v>
      </c>
      <c r="E117" s="975" t="s">
        <v>1846</v>
      </c>
      <c r="F117" s="976"/>
      <c r="G117" s="976"/>
      <c r="H117" s="972"/>
      <c r="I117" s="972"/>
      <c r="J117" s="977">
        <v>-34617.11</v>
      </c>
      <c r="K117" s="972"/>
      <c r="L117" s="977">
        <v>0</v>
      </c>
      <c r="M117" s="972"/>
      <c r="N117" s="978">
        <v>0</v>
      </c>
      <c r="O117" s="972"/>
      <c r="P117" s="977">
        <f t="shared" si="14"/>
        <v>-34617.11</v>
      </c>
      <c r="Q117" s="972"/>
      <c r="R117" s="977">
        <v>-34617.11</v>
      </c>
      <c r="S117" s="977">
        <v>-34617.11</v>
      </c>
      <c r="T117" s="977">
        <f t="shared" si="12"/>
        <v>-34617.11</v>
      </c>
      <c r="U117" s="972"/>
      <c r="V117" s="978">
        <f t="shared" si="13"/>
        <v>0</v>
      </c>
      <c r="W117" s="972"/>
      <c r="X117" s="972"/>
    </row>
    <row r="118" spans="1:25" s="979" customFormat="1" outlineLevel="1">
      <c r="A118" s="972"/>
      <c r="B118" s="973" t="s">
        <v>223</v>
      </c>
      <c r="C118" s="974"/>
      <c r="D118" s="975">
        <v>14118</v>
      </c>
      <c r="E118" s="975" t="s">
        <v>1847</v>
      </c>
      <c r="F118" s="976"/>
      <c r="G118" s="976"/>
      <c r="H118" s="972"/>
      <c r="I118" s="972"/>
      <c r="J118" s="977">
        <v>11813.68</v>
      </c>
      <c r="K118" s="972"/>
      <c r="L118" s="977">
        <v>0</v>
      </c>
      <c r="M118" s="972"/>
      <c r="N118" s="978">
        <v>0</v>
      </c>
      <c r="O118" s="972"/>
      <c r="P118" s="977">
        <f t="shared" si="14"/>
        <v>11813.68</v>
      </c>
      <c r="Q118" s="972"/>
      <c r="R118" s="977">
        <v>11813.68</v>
      </c>
      <c r="S118" s="977">
        <v>11813.68</v>
      </c>
      <c r="T118" s="977">
        <f t="shared" si="12"/>
        <v>11813.68</v>
      </c>
      <c r="U118" s="972"/>
      <c r="V118" s="978">
        <f t="shared" si="13"/>
        <v>0</v>
      </c>
      <c r="W118" s="972"/>
      <c r="X118" s="972"/>
    </row>
    <row r="119" spans="1:25" s="979" customFormat="1" outlineLevel="1">
      <c r="A119" s="972"/>
      <c r="B119" s="973" t="s">
        <v>223</v>
      </c>
      <c r="C119" s="974"/>
      <c r="D119" s="975">
        <v>14121</v>
      </c>
      <c r="E119" s="975" t="s">
        <v>1848</v>
      </c>
      <c r="F119" s="976"/>
      <c r="G119" s="976"/>
      <c r="H119" s="972"/>
      <c r="I119" s="972"/>
      <c r="J119" s="977">
        <v>86160.29</v>
      </c>
      <c r="K119" s="972"/>
      <c r="L119" s="977">
        <v>0</v>
      </c>
      <c r="M119" s="972"/>
      <c r="N119" s="978">
        <v>0</v>
      </c>
      <c r="O119" s="972"/>
      <c r="P119" s="977">
        <f t="shared" si="14"/>
        <v>86160.29</v>
      </c>
      <c r="Q119" s="972"/>
      <c r="R119" s="977">
        <v>0</v>
      </c>
      <c r="S119" s="977">
        <v>0</v>
      </c>
      <c r="T119" s="977">
        <f t="shared" si="12"/>
        <v>86160.29</v>
      </c>
      <c r="U119" s="972"/>
      <c r="V119" s="978">
        <f t="shared" si="13"/>
        <v>86160.29</v>
      </c>
      <c r="W119" s="972"/>
      <c r="X119" s="972"/>
    </row>
    <row r="120" spans="1:25" s="979" customFormat="1" outlineLevel="1">
      <c r="A120" s="972"/>
      <c r="B120" s="973" t="s">
        <v>223</v>
      </c>
      <c r="C120" s="974"/>
      <c r="D120" s="975">
        <v>14201</v>
      </c>
      <c r="E120" s="975" t="s">
        <v>1849</v>
      </c>
      <c r="F120" s="976"/>
      <c r="G120" s="976"/>
      <c r="H120" s="972"/>
      <c r="I120" s="972"/>
      <c r="J120" s="977">
        <v>303293.63</v>
      </c>
      <c r="K120" s="972"/>
      <c r="L120" s="977">
        <v>0</v>
      </c>
      <c r="M120" s="972"/>
      <c r="N120" s="978">
        <v>0</v>
      </c>
      <c r="O120" s="972"/>
      <c r="P120" s="977">
        <f t="shared" si="14"/>
        <v>303293.63</v>
      </c>
      <c r="Q120" s="972"/>
      <c r="R120" s="977">
        <v>339208.66</v>
      </c>
      <c r="S120" s="977">
        <v>656463.42000000004</v>
      </c>
      <c r="T120" s="977">
        <f t="shared" si="12"/>
        <v>303293.63</v>
      </c>
      <c r="U120" s="972"/>
      <c r="V120" s="978">
        <f t="shared" si="13"/>
        <v>-353169.79000000004</v>
      </c>
      <c r="W120" s="972"/>
      <c r="X120" s="972"/>
    </row>
    <row r="121" spans="1:25" s="979" customFormat="1" outlineLevel="1">
      <c r="A121" s="972"/>
      <c r="B121" s="973" t="s">
        <v>223</v>
      </c>
      <c r="C121" s="974"/>
      <c r="D121" s="975">
        <v>14203</v>
      </c>
      <c r="E121" s="975" t="s">
        <v>1850</v>
      </c>
      <c r="F121" s="976"/>
      <c r="G121" s="976"/>
      <c r="H121" s="972"/>
      <c r="I121" s="972"/>
      <c r="J121" s="977">
        <v>8350.82</v>
      </c>
      <c r="K121" s="972"/>
      <c r="L121" s="977">
        <v>0</v>
      </c>
      <c r="M121" s="972"/>
      <c r="N121" s="978">
        <v>0</v>
      </c>
      <c r="O121" s="972"/>
      <c r="P121" s="977">
        <f t="shared" si="14"/>
        <v>8350.82</v>
      </c>
      <c r="Q121" s="972"/>
      <c r="R121" s="977">
        <v>8350.82</v>
      </c>
      <c r="S121" s="977">
        <v>8350.82</v>
      </c>
      <c r="T121" s="977">
        <f t="shared" si="12"/>
        <v>8350.82</v>
      </c>
      <c r="U121" s="972"/>
      <c r="V121" s="978">
        <f t="shared" si="13"/>
        <v>0</v>
      </c>
      <c r="W121" s="972"/>
      <c r="X121" s="972"/>
    </row>
    <row r="122" spans="1:25" s="979" customFormat="1" ht="4.5" customHeight="1" outlineLevel="1">
      <c r="A122" s="1008" t="s">
        <v>217</v>
      </c>
      <c r="B122" s="1008" t="s">
        <v>217</v>
      </c>
      <c r="C122" s="1008"/>
      <c r="D122" s="1019"/>
      <c r="E122" s="972"/>
      <c r="F122" s="972"/>
      <c r="G122" s="972"/>
      <c r="H122" s="972"/>
      <c r="I122" s="972"/>
      <c r="J122" s="1012"/>
      <c r="K122" s="972"/>
      <c r="L122" s="1012"/>
      <c r="M122" s="972"/>
      <c r="N122" s="1013"/>
      <c r="O122" s="972"/>
      <c r="P122" s="1012"/>
      <c r="Q122" s="972"/>
      <c r="R122" s="1012"/>
      <c r="S122" s="1012"/>
      <c r="T122" s="1012"/>
      <c r="U122" s="972"/>
      <c r="V122" s="1013"/>
      <c r="W122" s="972"/>
      <c r="X122" s="972"/>
      <c r="Y122" s="972"/>
    </row>
    <row r="123" spans="1:25" s="979" customFormat="1">
      <c r="A123" s="974" t="s">
        <v>1139</v>
      </c>
      <c r="B123" s="1008" t="s">
        <v>217</v>
      </c>
      <c r="C123" s="1008"/>
      <c r="D123" s="972"/>
      <c r="E123" s="972"/>
      <c r="F123" s="972" t="s">
        <v>1851</v>
      </c>
      <c r="G123" s="972"/>
      <c r="H123" s="972"/>
      <c r="I123" s="972"/>
      <c r="J123" s="1010">
        <f>SUM(J62:J122)</f>
        <v>19707634.25</v>
      </c>
      <c r="K123" s="972"/>
      <c r="L123" s="1010">
        <f>SUM(L62:L122)</f>
        <v>0</v>
      </c>
      <c r="M123" s="972"/>
      <c r="N123" s="1011">
        <f>SUM(N62:N122)</f>
        <v>0</v>
      </c>
      <c r="O123" s="972"/>
      <c r="P123" s="1010">
        <f>J123+L123+N123</f>
        <v>19707634.25</v>
      </c>
      <c r="Q123" s="972"/>
      <c r="R123" s="1010">
        <f>SUM(R62:R122)</f>
        <v>19342416.039999992</v>
      </c>
      <c r="S123" s="1010">
        <f>SUM(S62:S122)</f>
        <v>19731162.159999996</v>
      </c>
      <c r="T123" s="1010">
        <f>SUM(T62:T122)</f>
        <v>19707634.25</v>
      </c>
      <c r="U123" s="972"/>
      <c r="V123" s="1011">
        <f>SUM(V62:V122)</f>
        <v>-23527.909999998519</v>
      </c>
      <c r="W123" s="972"/>
      <c r="X123" s="972"/>
      <c r="Y123" s="972"/>
    </row>
    <row r="124" spans="1:25" s="979" customFormat="1" outlineLevel="1">
      <c r="A124" s="972"/>
      <c r="B124" s="973" t="s">
        <v>1852</v>
      </c>
      <c r="C124" s="974"/>
      <c r="D124" s="975"/>
      <c r="E124" s="975"/>
      <c r="F124" s="976"/>
      <c r="G124" s="976"/>
      <c r="H124" s="972"/>
      <c r="I124" s="972"/>
      <c r="J124" s="977"/>
      <c r="K124" s="972"/>
      <c r="L124" s="977"/>
      <c r="M124" s="972"/>
      <c r="N124" s="978"/>
      <c r="O124" s="972"/>
      <c r="P124" s="977">
        <f>J124+L124+N124</f>
        <v>0</v>
      </c>
      <c r="Q124" s="972"/>
      <c r="R124" s="977"/>
      <c r="S124" s="977"/>
      <c r="T124" s="977">
        <f>P124</f>
        <v>0</v>
      </c>
      <c r="U124" s="972"/>
      <c r="V124" s="978">
        <f>T124-S124</f>
        <v>0</v>
      </c>
      <c r="W124" s="972"/>
      <c r="X124" s="972"/>
    </row>
    <row r="125" spans="1:25" s="979" customFormat="1" ht="5.0999999999999996" customHeight="1" outlineLevel="1">
      <c r="A125" s="1008" t="s">
        <v>217</v>
      </c>
      <c r="B125" s="1008" t="s">
        <v>217</v>
      </c>
      <c r="C125" s="1008"/>
      <c r="D125" s="976"/>
      <c r="E125" s="976"/>
      <c r="F125" s="976"/>
      <c r="G125" s="976"/>
      <c r="H125" s="972"/>
      <c r="I125" s="972"/>
      <c r="J125" s="1012"/>
      <c r="K125" s="972"/>
      <c r="L125" s="1012"/>
      <c r="M125" s="972"/>
      <c r="N125" s="1013"/>
      <c r="O125" s="972"/>
      <c r="P125" s="1012"/>
      <c r="Q125" s="972"/>
      <c r="R125" s="1012"/>
      <c r="S125" s="1012"/>
      <c r="T125" s="1012"/>
      <c r="U125" s="972"/>
      <c r="V125" s="1013"/>
      <c r="W125" s="972"/>
      <c r="X125" s="972"/>
      <c r="Y125" s="972"/>
    </row>
    <row r="126" spans="1:25" s="979" customFormat="1">
      <c r="A126" s="974" t="s">
        <v>1852</v>
      </c>
      <c r="B126" s="1008" t="s">
        <v>217</v>
      </c>
      <c r="C126" s="1008"/>
      <c r="D126" s="972"/>
      <c r="E126" s="972"/>
      <c r="F126" s="975" t="s">
        <v>1853</v>
      </c>
      <c r="G126" s="972"/>
      <c r="H126" s="972"/>
      <c r="I126" s="972"/>
      <c r="J126" s="1010">
        <f>SUM(J124:J125)</f>
        <v>0</v>
      </c>
      <c r="K126" s="972"/>
      <c r="L126" s="1010">
        <f>SUM(L124:L125)</f>
        <v>0</v>
      </c>
      <c r="M126" s="972"/>
      <c r="N126" s="1011">
        <f>SUM(N124:N125)</f>
        <v>0</v>
      </c>
      <c r="O126" s="972"/>
      <c r="P126" s="1010">
        <f>J126+L126+N126</f>
        <v>0</v>
      </c>
      <c r="Q126" s="972"/>
      <c r="R126" s="1010">
        <f>SUM(R124:R125)</f>
        <v>0</v>
      </c>
      <c r="S126" s="1010">
        <f>SUM(S124:S125)</f>
        <v>0</v>
      </c>
      <c r="T126" s="1010">
        <f>SUM(T124:T125)</f>
        <v>0</v>
      </c>
      <c r="U126" s="972"/>
      <c r="V126" s="1011">
        <f>SUM(V124:V125)</f>
        <v>0</v>
      </c>
      <c r="W126" s="972"/>
      <c r="X126" s="972"/>
      <c r="Y126" s="972"/>
    </row>
    <row r="127" spans="1:25" s="979" customFormat="1" outlineLevel="1">
      <c r="A127" s="972"/>
      <c r="B127" s="973" t="s">
        <v>1141</v>
      </c>
      <c r="C127" s="974"/>
      <c r="D127" s="975">
        <v>15110</v>
      </c>
      <c r="E127" s="975" t="s">
        <v>1142</v>
      </c>
      <c r="F127" s="976"/>
      <c r="G127" s="976"/>
      <c r="H127" s="972"/>
      <c r="I127" s="972"/>
      <c r="J127" s="977">
        <v>11800040.09</v>
      </c>
      <c r="K127" s="972"/>
      <c r="L127" s="977">
        <v>0</v>
      </c>
      <c r="M127" s="972"/>
      <c r="N127" s="978">
        <v>0</v>
      </c>
      <c r="O127" s="972"/>
      <c r="P127" s="977">
        <f>J127+L127+N127</f>
        <v>11800040.09</v>
      </c>
      <c r="Q127" s="972"/>
      <c r="R127" s="977">
        <v>11800040.09</v>
      </c>
      <c r="S127" s="977">
        <v>11800040.09</v>
      </c>
      <c r="T127" s="977">
        <f t="shared" ref="T127:T129" si="15">P127</f>
        <v>11800040.09</v>
      </c>
      <c r="U127" s="972"/>
      <c r="V127" s="978">
        <f t="shared" ref="V127:V129" si="16">T127-S127</f>
        <v>0</v>
      </c>
      <c r="W127" s="972"/>
      <c r="X127" s="972"/>
    </row>
    <row r="128" spans="1:25" s="979" customFormat="1" outlineLevel="1">
      <c r="A128" s="972"/>
      <c r="B128" s="973" t="s">
        <v>223</v>
      </c>
      <c r="C128" s="974"/>
      <c r="D128" s="975">
        <v>15111</v>
      </c>
      <c r="E128" s="975" t="s">
        <v>1854</v>
      </c>
      <c r="F128" s="976"/>
      <c r="G128" s="976"/>
      <c r="H128" s="972"/>
      <c r="I128" s="972"/>
      <c r="J128" s="977">
        <v>3814288.58</v>
      </c>
      <c r="K128" s="972"/>
      <c r="L128" s="977">
        <v>0</v>
      </c>
      <c r="M128" s="972"/>
      <c r="N128" s="978">
        <v>0</v>
      </c>
      <c r="O128" s="972"/>
      <c r="P128" s="977">
        <f>J128+L128+N128</f>
        <v>3814288.58</v>
      </c>
      <c r="Q128" s="972"/>
      <c r="R128" s="977">
        <v>3814288.58</v>
      </c>
      <c r="S128" s="977">
        <v>3814288.58</v>
      </c>
      <c r="T128" s="977">
        <f t="shared" si="15"/>
        <v>3814288.58</v>
      </c>
      <c r="U128" s="972"/>
      <c r="V128" s="978">
        <f t="shared" si="16"/>
        <v>0</v>
      </c>
      <c r="W128" s="972"/>
      <c r="X128" s="972"/>
    </row>
    <row r="129" spans="1:25" s="979" customFormat="1" outlineLevel="1">
      <c r="A129" s="972"/>
      <c r="B129" s="973" t="s">
        <v>223</v>
      </c>
      <c r="C129" s="974"/>
      <c r="D129" s="975">
        <v>15120</v>
      </c>
      <c r="E129" s="975" t="s">
        <v>1855</v>
      </c>
      <c r="F129" s="976"/>
      <c r="G129" s="976"/>
      <c r="H129" s="972"/>
      <c r="I129" s="972"/>
      <c r="J129" s="977">
        <v>-1151978.69</v>
      </c>
      <c r="K129" s="972"/>
      <c r="L129" s="977">
        <v>0</v>
      </c>
      <c r="M129" s="972"/>
      <c r="N129" s="978">
        <v>0</v>
      </c>
      <c r="O129" s="972"/>
      <c r="P129" s="977">
        <f>J129+L129+N129</f>
        <v>-1151978.69</v>
      </c>
      <c r="Q129" s="972"/>
      <c r="R129" s="977">
        <v>-1151978.69</v>
      </c>
      <c r="S129" s="977">
        <v>-1151978.69</v>
      </c>
      <c r="T129" s="977">
        <f t="shared" si="15"/>
        <v>-1151978.69</v>
      </c>
      <c r="U129" s="972"/>
      <c r="V129" s="978">
        <f t="shared" si="16"/>
        <v>0</v>
      </c>
      <c r="W129" s="972"/>
      <c r="X129" s="972"/>
    </row>
    <row r="130" spans="1:25" s="979" customFormat="1" ht="4.5" customHeight="1" outlineLevel="1">
      <c r="A130" s="1008" t="s">
        <v>217</v>
      </c>
      <c r="B130" s="972" t="s">
        <v>217</v>
      </c>
      <c r="C130" s="1020"/>
      <c r="D130" s="1019"/>
      <c r="E130" s="972"/>
      <c r="F130" s="972"/>
      <c r="G130" s="972"/>
      <c r="H130" s="972"/>
      <c r="I130" s="972"/>
      <c r="J130" s="1012"/>
      <c r="K130" s="972"/>
      <c r="L130" s="1012"/>
      <c r="M130" s="972"/>
      <c r="N130" s="1013"/>
      <c r="O130" s="972"/>
      <c r="P130" s="1012"/>
      <c r="Q130" s="972"/>
      <c r="R130" s="1012"/>
      <c r="S130" s="1012"/>
      <c r="T130" s="1012"/>
      <c r="U130" s="972"/>
      <c r="V130" s="1013"/>
      <c r="W130" s="972"/>
      <c r="X130" s="972"/>
      <c r="Y130" s="972"/>
    </row>
    <row r="131" spans="1:25" s="979" customFormat="1">
      <c r="A131" s="974" t="s">
        <v>1141</v>
      </c>
      <c r="B131" s="1008" t="s">
        <v>217</v>
      </c>
      <c r="C131" s="1008"/>
      <c r="D131" s="972"/>
      <c r="E131" s="972"/>
      <c r="F131" s="972" t="s">
        <v>1142</v>
      </c>
      <c r="G131" s="972"/>
      <c r="H131" s="972"/>
      <c r="I131" s="972"/>
      <c r="J131" s="1010">
        <f>SUM(J127:J130)</f>
        <v>14462349.98</v>
      </c>
      <c r="K131" s="972"/>
      <c r="L131" s="1010">
        <f>SUM(L127:L130)</f>
        <v>0</v>
      </c>
      <c r="M131" s="972"/>
      <c r="N131" s="1011">
        <f>SUM(N127:N130)</f>
        <v>0</v>
      </c>
      <c r="O131" s="972"/>
      <c r="P131" s="1010">
        <f t="shared" ref="P131:P145" si="17">J131+L131+N131</f>
        <v>14462349.98</v>
      </c>
      <c r="Q131" s="972"/>
      <c r="R131" s="1010">
        <f>SUM(R127:R130)</f>
        <v>14462349.98</v>
      </c>
      <c r="S131" s="1010">
        <f>SUM(S127:S130)</f>
        <v>14462349.98</v>
      </c>
      <c r="T131" s="1010">
        <f>SUM(T127:T130)</f>
        <v>14462349.98</v>
      </c>
      <c r="U131" s="972"/>
      <c r="V131" s="1011">
        <f>SUM(V127:V130)</f>
        <v>0</v>
      </c>
      <c r="W131" s="972"/>
      <c r="X131" s="972"/>
      <c r="Y131" s="972"/>
    </row>
    <row r="132" spans="1:25" s="979" customFormat="1" outlineLevel="1">
      <c r="A132" s="972"/>
      <c r="B132" s="973" t="s">
        <v>1143</v>
      </c>
      <c r="C132" s="974"/>
      <c r="D132" s="975">
        <v>15210</v>
      </c>
      <c r="E132" s="975" t="s">
        <v>1856</v>
      </c>
      <c r="F132" s="976"/>
      <c r="G132" s="976"/>
      <c r="H132" s="972"/>
      <c r="I132" s="972"/>
      <c r="J132" s="977">
        <v>159888</v>
      </c>
      <c r="K132" s="972"/>
      <c r="L132" s="977">
        <v>0</v>
      </c>
      <c r="M132" s="972"/>
      <c r="N132" s="978">
        <v>0</v>
      </c>
      <c r="O132" s="972"/>
      <c r="P132" s="977">
        <f t="shared" si="17"/>
        <v>159888</v>
      </c>
      <c r="Q132" s="972"/>
      <c r="R132" s="977">
        <v>159888</v>
      </c>
      <c r="S132" s="977">
        <v>159888</v>
      </c>
      <c r="T132" s="977">
        <f t="shared" ref="T132:T145" si="18">P132</f>
        <v>159888</v>
      </c>
      <c r="U132" s="972"/>
      <c r="V132" s="978">
        <f t="shared" ref="V132:V145" si="19">T132-S132</f>
        <v>0</v>
      </c>
      <c r="W132" s="972"/>
      <c r="X132" s="972"/>
    </row>
    <row r="133" spans="1:25" s="979" customFormat="1" outlineLevel="1">
      <c r="A133" s="972"/>
      <c r="B133" s="973" t="s">
        <v>223</v>
      </c>
      <c r="C133" s="974"/>
      <c r="D133" s="975">
        <v>15211</v>
      </c>
      <c r="E133" s="975" t="s">
        <v>1857</v>
      </c>
      <c r="F133" s="976"/>
      <c r="G133" s="976"/>
      <c r="H133" s="972"/>
      <c r="I133" s="972"/>
      <c r="J133" s="977">
        <v>119270</v>
      </c>
      <c r="K133" s="972"/>
      <c r="L133" s="977">
        <v>0</v>
      </c>
      <c r="M133" s="972"/>
      <c r="N133" s="978">
        <v>0</v>
      </c>
      <c r="O133" s="972"/>
      <c r="P133" s="977">
        <f t="shared" si="17"/>
        <v>119270</v>
      </c>
      <c r="Q133" s="972"/>
      <c r="R133" s="977">
        <v>119270</v>
      </c>
      <c r="S133" s="977">
        <v>119270</v>
      </c>
      <c r="T133" s="977">
        <f t="shared" si="18"/>
        <v>119270</v>
      </c>
      <c r="U133" s="972"/>
      <c r="V133" s="978">
        <f t="shared" si="19"/>
        <v>0</v>
      </c>
      <c r="W133" s="972"/>
      <c r="X133" s="972"/>
    </row>
    <row r="134" spans="1:25" s="979" customFormat="1" outlineLevel="1">
      <c r="A134" s="972"/>
      <c r="B134" s="973" t="s">
        <v>223</v>
      </c>
      <c r="C134" s="974"/>
      <c r="D134" s="975">
        <v>15215</v>
      </c>
      <c r="E134" s="975" t="s">
        <v>1858</v>
      </c>
      <c r="F134" s="976"/>
      <c r="G134" s="976"/>
      <c r="H134" s="972"/>
      <c r="I134" s="972"/>
      <c r="J134" s="977">
        <v>-134071.47</v>
      </c>
      <c r="K134" s="972"/>
      <c r="L134" s="977">
        <v>0</v>
      </c>
      <c r="M134" s="972"/>
      <c r="N134" s="978">
        <v>0</v>
      </c>
      <c r="O134" s="972"/>
      <c r="P134" s="977">
        <f t="shared" si="17"/>
        <v>-134071.47</v>
      </c>
      <c r="Q134" s="972"/>
      <c r="R134" s="977">
        <v>-134071.47</v>
      </c>
      <c r="S134" s="977">
        <v>-134071.47</v>
      </c>
      <c r="T134" s="977">
        <f t="shared" si="18"/>
        <v>-134071.47</v>
      </c>
      <c r="U134" s="972"/>
      <c r="V134" s="978">
        <f t="shared" si="19"/>
        <v>0</v>
      </c>
      <c r="W134" s="972"/>
      <c r="X134" s="972"/>
    </row>
    <row r="135" spans="1:25" s="979" customFormat="1" outlineLevel="1">
      <c r="A135" s="972"/>
      <c r="B135" s="973" t="s">
        <v>223</v>
      </c>
      <c r="C135" s="974"/>
      <c r="D135" s="975">
        <v>15216</v>
      </c>
      <c r="E135" s="975" t="s">
        <v>1859</v>
      </c>
      <c r="F135" s="976"/>
      <c r="G135" s="976"/>
      <c r="H135" s="972"/>
      <c r="I135" s="972"/>
      <c r="J135" s="977">
        <v>-145086.53</v>
      </c>
      <c r="K135" s="972"/>
      <c r="L135" s="977">
        <v>0</v>
      </c>
      <c r="M135" s="972"/>
      <c r="N135" s="978">
        <v>0</v>
      </c>
      <c r="O135" s="972"/>
      <c r="P135" s="977">
        <f t="shared" si="17"/>
        <v>-145086.53</v>
      </c>
      <c r="Q135" s="972"/>
      <c r="R135" s="977">
        <v>-145086.53</v>
      </c>
      <c r="S135" s="977">
        <v>-145086.53</v>
      </c>
      <c r="T135" s="977">
        <f t="shared" si="18"/>
        <v>-145086.53</v>
      </c>
      <c r="U135" s="972"/>
      <c r="V135" s="978">
        <f t="shared" si="19"/>
        <v>0</v>
      </c>
      <c r="W135" s="972"/>
      <c r="X135" s="972"/>
    </row>
    <row r="136" spans="1:25" s="979" customFormat="1" outlineLevel="1">
      <c r="A136" s="972"/>
      <c r="B136" s="973" t="s">
        <v>223</v>
      </c>
      <c r="C136" s="974"/>
      <c r="D136" s="975">
        <v>15240</v>
      </c>
      <c r="E136" s="975" t="s">
        <v>1860</v>
      </c>
      <c r="F136" s="976"/>
      <c r="G136" s="976"/>
      <c r="H136" s="972"/>
      <c r="I136" s="972"/>
      <c r="J136" s="977">
        <v>148836.32999999999</v>
      </c>
      <c r="K136" s="972"/>
      <c r="L136" s="977">
        <v>0</v>
      </c>
      <c r="M136" s="972"/>
      <c r="N136" s="978">
        <v>0</v>
      </c>
      <c r="O136" s="972"/>
      <c r="P136" s="977">
        <f t="shared" si="17"/>
        <v>148836.32999999999</v>
      </c>
      <c r="Q136" s="972"/>
      <c r="R136" s="977">
        <v>148836.32999999999</v>
      </c>
      <c r="S136" s="977">
        <v>148836.32999999999</v>
      </c>
      <c r="T136" s="977">
        <f t="shared" si="18"/>
        <v>148836.32999999999</v>
      </c>
      <c r="U136" s="972"/>
      <c r="V136" s="978">
        <f t="shared" si="19"/>
        <v>0</v>
      </c>
      <c r="W136" s="972"/>
      <c r="X136" s="972"/>
    </row>
    <row r="137" spans="1:25" s="979" customFormat="1" outlineLevel="1">
      <c r="A137" s="972"/>
      <c r="B137" s="973" t="s">
        <v>223</v>
      </c>
      <c r="C137" s="974"/>
      <c r="D137" s="975">
        <v>15241</v>
      </c>
      <c r="E137" s="975" t="s">
        <v>1861</v>
      </c>
      <c r="F137" s="976"/>
      <c r="G137" s="976"/>
      <c r="H137" s="972"/>
      <c r="I137" s="972"/>
      <c r="J137" s="977">
        <v>-7.0000000000000007E-2</v>
      </c>
      <c r="K137" s="972"/>
      <c r="L137" s="977">
        <v>0</v>
      </c>
      <c r="M137" s="972"/>
      <c r="N137" s="978">
        <v>0</v>
      </c>
      <c r="O137" s="972"/>
      <c r="P137" s="977">
        <f t="shared" si="17"/>
        <v>-7.0000000000000007E-2</v>
      </c>
      <c r="Q137" s="972"/>
      <c r="R137" s="977">
        <v>-7.0000000000000007E-2</v>
      </c>
      <c r="S137" s="977">
        <v>-7.0000000000000007E-2</v>
      </c>
      <c r="T137" s="977">
        <f t="shared" si="18"/>
        <v>-7.0000000000000007E-2</v>
      </c>
      <c r="U137" s="972"/>
      <c r="V137" s="978">
        <f t="shared" si="19"/>
        <v>0</v>
      </c>
      <c r="W137" s="972"/>
      <c r="X137" s="972"/>
    </row>
    <row r="138" spans="1:25" s="979" customFormat="1" outlineLevel="1">
      <c r="A138" s="972"/>
      <c r="B138" s="973" t="s">
        <v>223</v>
      </c>
      <c r="C138" s="974"/>
      <c r="D138" s="975">
        <v>15242</v>
      </c>
      <c r="E138" s="975" t="s">
        <v>1862</v>
      </c>
      <c r="F138" s="976"/>
      <c r="G138" s="976"/>
      <c r="H138" s="972"/>
      <c r="I138" s="972"/>
      <c r="J138" s="977">
        <v>-147882.32999999999</v>
      </c>
      <c r="K138" s="972"/>
      <c r="L138" s="977">
        <v>0</v>
      </c>
      <c r="M138" s="972"/>
      <c r="N138" s="978">
        <v>0</v>
      </c>
      <c r="O138" s="972"/>
      <c r="P138" s="977">
        <f t="shared" si="17"/>
        <v>-147882.32999999999</v>
      </c>
      <c r="Q138" s="972"/>
      <c r="R138" s="977">
        <v>-147882.32999999999</v>
      </c>
      <c r="S138" s="977">
        <v>-147882.32999999999</v>
      </c>
      <c r="T138" s="977">
        <f t="shared" si="18"/>
        <v>-147882.32999999999</v>
      </c>
      <c r="U138" s="972"/>
      <c r="V138" s="978">
        <f t="shared" si="19"/>
        <v>0</v>
      </c>
      <c r="W138" s="972"/>
      <c r="X138" s="972"/>
    </row>
    <row r="139" spans="1:25" s="979" customFormat="1" outlineLevel="1">
      <c r="A139" s="972"/>
      <c r="B139" s="973" t="s">
        <v>223</v>
      </c>
      <c r="C139" s="974"/>
      <c r="D139" s="975">
        <v>15245</v>
      </c>
      <c r="E139" s="975" t="s">
        <v>1863</v>
      </c>
      <c r="F139" s="976"/>
      <c r="G139" s="976"/>
      <c r="H139" s="972"/>
      <c r="I139" s="972"/>
      <c r="J139" s="977">
        <v>-86093.09</v>
      </c>
      <c r="K139" s="972"/>
      <c r="L139" s="977">
        <v>0</v>
      </c>
      <c r="M139" s="972"/>
      <c r="N139" s="978">
        <v>0</v>
      </c>
      <c r="O139" s="972"/>
      <c r="P139" s="977">
        <f t="shared" si="17"/>
        <v>-86093.09</v>
      </c>
      <c r="Q139" s="972"/>
      <c r="R139" s="977">
        <v>-86093.09</v>
      </c>
      <c r="S139" s="977">
        <v>-86093.09</v>
      </c>
      <c r="T139" s="977">
        <f t="shared" si="18"/>
        <v>-86093.09</v>
      </c>
      <c r="U139" s="972"/>
      <c r="V139" s="978">
        <f t="shared" si="19"/>
        <v>0</v>
      </c>
      <c r="W139" s="972"/>
      <c r="X139" s="972"/>
    </row>
    <row r="140" spans="1:25" s="979" customFormat="1" outlineLevel="1">
      <c r="A140" s="972"/>
      <c r="B140" s="973" t="s">
        <v>223</v>
      </c>
      <c r="C140" s="974"/>
      <c r="D140" s="975">
        <v>15246</v>
      </c>
      <c r="E140" s="975" t="s">
        <v>1864</v>
      </c>
      <c r="F140" s="976"/>
      <c r="G140" s="976"/>
      <c r="H140" s="972"/>
      <c r="I140" s="972"/>
      <c r="J140" s="977">
        <v>-31610.09</v>
      </c>
      <c r="K140" s="972"/>
      <c r="L140" s="977">
        <v>0</v>
      </c>
      <c r="M140" s="972"/>
      <c r="N140" s="978">
        <v>0</v>
      </c>
      <c r="O140" s="972"/>
      <c r="P140" s="977">
        <f t="shared" si="17"/>
        <v>-31610.09</v>
      </c>
      <c r="Q140" s="972"/>
      <c r="R140" s="977">
        <v>-31610.09</v>
      </c>
      <c r="S140" s="977">
        <v>-31610.09</v>
      </c>
      <c r="T140" s="977">
        <f t="shared" si="18"/>
        <v>-31610.09</v>
      </c>
      <c r="U140" s="972"/>
      <c r="V140" s="978">
        <f t="shared" si="19"/>
        <v>0</v>
      </c>
      <c r="W140" s="972"/>
      <c r="X140" s="972"/>
    </row>
    <row r="141" spans="1:25" s="979" customFormat="1" outlineLevel="1">
      <c r="A141" s="972"/>
      <c r="B141" s="973" t="s">
        <v>223</v>
      </c>
      <c r="C141" s="974"/>
      <c r="D141" s="975">
        <v>15247</v>
      </c>
      <c r="E141" s="975" t="s">
        <v>1862</v>
      </c>
      <c r="F141" s="976"/>
      <c r="G141" s="976"/>
      <c r="H141" s="972"/>
      <c r="I141" s="972"/>
      <c r="J141" s="977">
        <v>116749.25</v>
      </c>
      <c r="K141" s="972"/>
      <c r="L141" s="977">
        <v>0</v>
      </c>
      <c r="M141" s="972"/>
      <c r="N141" s="978">
        <v>0</v>
      </c>
      <c r="O141" s="972"/>
      <c r="P141" s="977">
        <f t="shared" si="17"/>
        <v>116749.25</v>
      </c>
      <c r="Q141" s="972"/>
      <c r="R141" s="977">
        <v>116749.25</v>
      </c>
      <c r="S141" s="977">
        <v>116749.25</v>
      </c>
      <c r="T141" s="977">
        <f t="shared" si="18"/>
        <v>116749.25</v>
      </c>
      <c r="U141" s="972"/>
      <c r="V141" s="978">
        <f t="shared" si="19"/>
        <v>0</v>
      </c>
      <c r="W141" s="972"/>
      <c r="X141" s="972"/>
    </row>
    <row r="142" spans="1:25" s="979" customFormat="1" outlineLevel="1">
      <c r="A142" s="972"/>
      <c r="B142" s="973" t="s">
        <v>223</v>
      </c>
      <c r="C142" s="974"/>
      <c r="D142" s="975">
        <v>15251</v>
      </c>
      <c r="E142" s="975" t="s">
        <v>1865</v>
      </c>
      <c r="F142" s="976"/>
      <c r="G142" s="976"/>
      <c r="H142" s="972"/>
      <c r="I142" s="972"/>
      <c r="J142" s="977">
        <v>7.0000000000000007E-2</v>
      </c>
      <c r="K142" s="972"/>
      <c r="L142" s="977">
        <v>0</v>
      </c>
      <c r="M142" s="972"/>
      <c r="N142" s="978">
        <v>0</v>
      </c>
      <c r="O142" s="972"/>
      <c r="P142" s="977">
        <f t="shared" si="17"/>
        <v>7.0000000000000007E-2</v>
      </c>
      <c r="Q142" s="972"/>
      <c r="R142" s="977">
        <v>7.0000000000000007E-2</v>
      </c>
      <c r="S142" s="977">
        <v>7.0000000000000007E-2</v>
      </c>
      <c r="T142" s="977">
        <f t="shared" si="18"/>
        <v>7.0000000000000007E-2</v>
      </c>
      <c r="U142" s="972"/>
      <c r="V142" s="978">
        <f t="shared" si="19"/>
        <v>0</v>
      </c>
      <c r="W142" s="972"/>
      <c r="X142" s="972"/>
    </row>
    <row r="143" spans="1:25" s="979" customFormat="1" outlineLevel="1">
      <c r="A143" s="972"/>
      <c r="B143" s="973" t="s">
        <v>223</v>
      </c>
      <c r="C143" s="974"/>
      <c r="D143" s="975">
        <v>15252</v>
      </c>
      <c r="E143" s="975" t="s">
        <v>1866</v>
      </c>
      <c r="F143" s="976"/>
      <c r="G143" s="976"/>
      <c r="H143" s="972"/>
      <c r="I143" s="972"/>
      <c r="J143" s="977">
        <v>147882.32999999999</v>
      </c>
      <c r="K143" s="972"/>
      <c r="L143" s="977">
        <v>0</v>
      </c>
      <c r="M143" s="972"/>
      <c r="N143" s="978">
        <v>0</v>
      </c>
      <c r="O143" s="972"/>
      <c r="P143" s="977">
        <f t="shared" si="17"/>
        <v>147882.32999999999</v>
      </c>
      <c r="Q143" s="972"/>
      <c r="R143" s="977">
        <v>147882.32999999999</v>
      </c>
      <c r="S143" s="977">
        <v>147882.32999999999</v>
      </c>
      <c r="T143" s="977">
        <f t="shared" si="18"/>
        <v>147882.32999999999</v>
      </c>
      <c r="U143" s="972"/>
      <c r="V143" s="978">
        <f t="shared" si="19"/>
        <v>0</v>
      </c>
      <c r="W143" s="972"/>
      <c r="X143" s="972"/>
    </row>
    <row r="144" spans="1:25" s="979" customFormat="1" outlineLevel="1">
      <c r="A144" s="972"/>
      <c r="B144" s="973" t="s">
        <v>223</v>
      </c>
      <c r="C144" s="974"/>
      <c r="D144" s="975">
        <v>15256</v>
      </c>
      <c r="E144" s="975" t="s">
        <v>1867</v>
      </c>
      <c r="F144" s="976"/>
      <c r="G144" s="976"/>
      <c r="H144" s="972"/>
      <c r="I144" s="972"/>
      <c r="J144" s="977">
        <v>-31133.15</v>
      </c>
      <c r="K144" s="972"/>
      <c r="L144" s="977">
        <v>0</v>
      </c>
      <c r="M144" s="972"/>
      <c r="N144" s="978">
        <v>0</v>
      </c>
      <c r="O144" s="972"/>
      <c r="P144" s="977">
        <f t="shared" si="17"/>
        <v>-31133.15</v>
      </c>
      <c r="Q144" s="972"/>
      <c r="R144" s="977">
        <v>-31133.15</v>
      </c>
      <c r="S144" s="977">
        <v>-31133.15</v>
      </c>
      <c r="T144" s="977">
        <f t="shared" si="18"/>
        <v>-31133.15</v>
      </c>
      <c r="U144" s="972"/>
      <c r="V144" s="978">
        <f t="shared" si="19"/>
        <v>0</v>
      </c>
      <c r="W144" s="972"/>
      <c r="X144" s="972"/>
    </row>
    <row r="145" spans="1:25" s="979" customFormat="1" outlineLevel="1">
      <c r="A145" s="972"/>
      <c r="B145" s="973" t="s">
        <v>223</v>
      </c>
      <c r="C145" s="974"/>
      <c r="D145" s="975">
        <v>15257</v>
      </c>
      <c r="E145" s="975" t="s">
        <v>1868</v>
      </c>
      <c r="F145" s="976"/>
      <c r="G145" s="976"/>
      <c r="H145" s="972"/>
      <c r="I145" s="972"/>
      <c r="J145" s="977">
        <v>-116749.25</v>
      </c>
      <c r="K145" s="972"/>
      <c r="L145" s="977">
        <v>0</v>
      </c>
      <c r="M145" s="972"/>
      <c r="N145" s="978">
        <v>0</v>
      </c>
      <c r="O145" s="972"/>
      <c r="P145" s="977">
        <f t="shared" si="17"/>
        <v>-116749.25</v>
      </c>
      <c r="Q145" s="972"/>
      <c r="R145" s="977">
        <v>-116749.25</v>
      </c>
      <c r="S145" s="977">
        <v>-116749.25</v>
      </c>
      <c r="T145" s="977">
        <f t="shared" si="18"/>
        <v>-116749.25</v>
      </c>
      <c r="U145" s="972"/>
      <c r="V145" s="978">
        <f t="shared" si="19"/>
        <v>0</v>
      </c>
      <c r="W145" s="972"/>
      <c r="X145" s="972"/>
    </row>
    <row r="146" spans="1:25" s="979" customFormat="1" ht="5.0999999999999996" customHeight="1" outlineLevel="1">
      <c r="A146" s="1008" t="s">
        <v>217</v>
      </c>
      <c r="B146" s="974" t="s">
        <v>217</v>
      </c>
      <c r="C146" s="974"/>
      <c r="D146" s="976"/>
      <c r="E146" s="976"/>
      <c r="F146" s="976"/>
      <c r="G146" s="976"/>
      <c r="H146" s="972"/>
      <c r="I146" s="972"/>
      <c r="J146" s="1012"/>
      <c r="K146" s="972"/>
      <c r="L146" s="1012"/>
      <c r="M146" s="972"/>
      <c r="N146" s="1013"/>
      <c r="O146" s="972"/>
      <c r="P146" s="1012"/>
      <c r="Q146" s="972"/>
      <c r="R146" s="1012"/>
      <c r="S146" s="1012"/>
      <c r="T146" s="1012"/>
      <c r="U146" s="972"/>
      <c r="V146" s="1013"/>
      <c r="W146" s="972"/>
      <c r="X146" s="972"/>
      <c r="Y146" s="972"/>
    </row>
    <row r="147" spans="1:25" s="979" customFormat="1">
      <c r="A147" s="974" t="s">
        <v>1143</v>
      </c>
      <c r="B147" s="1008" t="s">
        <v>217</v>
      </c>
      <c r="C147" s="1008"/>
      <c r="D147" s="972"/>
      <c r="E147" s="972"/>
      <c r="F147" s="975" t="s">
        <v>1869</v>
      </c>
      <c r="G147" s="1021"/>
      <c r="H147" s="1021"/>
      <c r="I147" s="1021"/>
      <c r="J147" s="1010">
        <f>SUM(J132:J146)</f>
        <v>0</v>
      </c>
      <c r="K147" s="972"/>
      <c r="L147" s="1010">
        <f>SUM(L132:L146)</f>
        <v>0</v>
      </c>
      <c r="M147" s="972"/>
      <c r="N147" s="1011">
        <f>SUM(N132:N146)</f>
        <v>0</v>
      </c>
      <c r="O147" s="972"/>
      <c r="P147" s="1010">
        <f>J147+L147+N147</f>
        <v>0</v>
      </c>
      <c r="Q147" s="972"/>
      <c r="R147" s="1010">
        <f>SUM(R132:R146)</f>
        <v>0</v>
      </c>
      <c r="S147" s="1010">
        <f>SUM(S132:S146)</f>
        <v>0</v>
      </c>
      <c r="T147" s="1010">
        <f>SUM(T132:T146)</f>
        <v>0</v>
      </c>
      <c r="U147" s="972"/>
      <c r="V147" s="1011">
        <f>SUM(V132:V146)</f>
        <v>0</v>
      </c>
      <c r="W147" s="972"/>
      <c r="X147" s="972"/>
      <c r="Y147" s="972"/>
    </row>
    <row r="148" spans="1:25" s="979" customFormat="1" outlineLevel="1">
      <c r="A148" s="972"/>
      <c r="B148" s="973" t="s">
        <v>1870</v>
      </c>
      <c r="C148" s="974"/>
      <c r="D148" s="975"/>
      <c r="E148" s="975"/>
      <c r="F148" s="976"/>
      <c r="G148" s="976"/>
      <c r="H148" s="972"/>
      <c r="I148" s="972"/>
      <c r="J148" s="977"/>
      <c r="K148" s="972"/>
      <c r="L148" s="977"/>
      <c r="M148" s="972"/>
      <c r="N148" s="978"/>
      <c r="O148" s="972"/>
      <c r="P148" s="977">
        <f>J148+L148+N148</f>
        <v>0</v>
      </c>
      <c r="Q148" s="972"/>
      <c r="R148" s="977"/>
      <c r="S148" s="977"/>
      <c r="T148" s="977">
        <f>P148</f>
        <v>0</v>
      </c>
      <c r="U148" s="972"/>
      <c r="V148" s="978">
        <f>T148-S148</f>
        <v>0</v>
      </c>
      <c r="W148" s="972"/>
      <c r="X148" s="972"/>
    </row>
    <row r="149" spans="1:25" s="979" customFormat="1" ht="5.0999999999999996" customHeight="1" outlineLevel="1">
      <c r="A149" s="1008" t="s">
        <v>217</v>
      </c>
      <c r="B149" s="974" t="s">
        <v>217</v>
      </c>
      <c r="C149" s="974"/>
      <c r="D149" s="976"/>
      <c r="E149" s="976"/>
      <c r="F149" s="976"/>
      <c r="G149" s="976"/>
      <c r="H149" s="972"/>
      <c r="I149" s="972"/>
      <c r="J149" s="1012"/>
      <c r="K149" s="972"/>
      <c r="L149" s="1012"/>
      <c r="M149" s="972"/>
      <c r="N149" s="1013"/>
      <c r="O149" s="972"/>
      <c r="P149" s="1012"/>
      <c r="Q149" s="972"/>
      <c r="R149" s="1012"/>
      <c r="S149" s="1012"/>
      <c r="T149" s="1012"/>
      <c r="U149" s="972"/>
      <c r="V149" s="1013"/>
      <c r="W149" s="972"/>
      <c r="X149" s="972"/>
      <c r="Y149" s="972"/>
    </row>
    <row r="150" spans="1:25" s="979" customFormat="1">
      <c r="A150" s="974" t="s">
        <v>1870</v>
      </c>
      <c r="B150" s="974" t="s">
        <v>217</v>
      </c>
      <c r="C150" s="974"/>
      <c r="D150" s="972"/>
      <c r="E150" s="972"/>
      <c r="F150" s="975" t="s">
        <v>1871</v>
      </c>
      <c r="G150" s="1021"/>
      <c r="H150" s="1021"/>
      <c r="I150" s="1021"/>
      <c r="J150" s="1010">
        <f>SUM(J148:J149)</f>
        <v>0</v>
      </c>
      <c r="K150" s="972"/>
      <c r="L150" s="1010">
        <f>SUM(L148:L149)</f>
        <v>0</v>
      </c>
      <c r="M150" s="972"/>
      <c r="N150" s="1011">
        <f>SUM(N148:N149)</f>
        <v>0</v>
      </c>
      <c r="O150" s="972"/>
      <c r="P150" s="1010">
        <f>J150+L150+N150</f>
        <v>0</v>
      </c>
      <c r="Q150" s="972"/>
      <c r="R150" s="1010">
        <f>SUM(R148:R149)</f>
        <v>0</v>
      </c>
      <c r="S150" s="1010">
        <f>SUM(S148:S149)</f>
        <v>0</v>
      </c>
      <c r="T150" s="1010">
        <f>SUM(T148:T149)</f>
        <v>0</v>
      </c>
      <c r="U150" s="972"/>
      <c r="V150" s="1011">
        <f>SUM(V148:V149)</f>
        <v>0</v>
      </c>
      <c r="W150" s="972"/>
      <c r="X150" s="972"/>
      <c r="Y150" s="972"/>
    </row>
    <row r="151" spans="1:25" s="979" customFormat="1" outlineLevel="1">
      <c r="A151" s="972"/>
      <c r="B151" s="973" t="s">
        <v>1145</v>
      </c>
      <c r="C151" s="974"/>
      <c r="D151" s="975"/>
      <c r="E151" s="975"/>
      <c r="F151" s="976"/>
      <c r="G151" s="976"/>
      <c r="H151" s="972"/>
      <c r="I151" s="972"/>
      <c r="J151" s="977"/>
      <c r="K151" s="972"/>
      <c r="L151" s="977"/>
      <c r="M151" s="972"/>
      <c r="N151" s="978"/>
      <c r="O151" s="972"/>
      <c r="P151" s="977">
        <f>J151+L151+N151</f>
        <v>0</v>
      </c>
      <c r="Q151" s="972"/>
      <c r="R151" s="977"/>
      <c r="S151" s="977"/>
      <c r="T151" s="977">
        <f>P151</f>
        <v>0</v>
      </c>
      <c r="U151" s="972"/>
      <c r="V151" s="978">
        <f>T151-S151</f>
        <v>0</v>
      </c>
      <c r="W151" s="972"/>
      <c r="X151" s="972"/>
    </row>
    <row r="152" spans="1:25" s="979" customFormat="1" ht="4.5" customHeight="1" outlineLevel="1">
      <c r="A152" s="974" t="s">
        <v>217</v>
      </c>
      <c r="B152" s="972" t="s">
        <v>217</v>
      </c>
      <c r="C152" s="1020"/>
      <c r="D152" s="1019"/>
      <c r="E152" s="972"/>
      <c r="F152" s="972"/>
      <c r="G152" s="972"/>
      <c r="H152" s="972"/>
      <c r="I152" s="972"/>
      <c r="J152" s="1012"/>
      <c r="K152" s="972"/>
      <c r="L152" s="1012"/>
      <c r="M152" s="972"/>
      <c r="N152" s="1013"/>
      <c r="O152" s="972"/>
      <c r="P152" s="1012"/>
      <c r="Q152" s="972"/>
      <c r="R152" s="1012"/>
      <c r="S152" s="1012"/>
      <c r="T152" s="1012"/>
      <c r="U152" s="972"/>
      <c r="V152" s="1013"/>
      <c r="W152" s="972"/>
      <c r="X152" s="972"/>
      <c r="Y152" s="972"/>
    </row>
    <row r="153" spans="1:25" s="979" customFormat="1">
      <c r="A153" s="974" t="s">
        <v>1145</v>
      </c>
      <c r="B153" s="1008" t="s">
        <v>217</v>
      </c>
      <c r="C153" s="1008"/>
      <c r="D153" s="972"/>
      <c r="E153" s="972"/>
      <c r="F153" s="972" t="s">
        <v>1872</v>
      </c>
      <c r="G153" s="972"/>
      <c r="H153" s="972"/>
      <c r="I153" s="972"/>
      <c r="J153" s="1010">
        <f>SUM(J151:J152)</f>
        <v>0</v>
      </c>
      <c r="K153" s="972"/>
      <c r="L153" s="1010">
        <f>SUM(L151:L152)</f>
        <v>0</v>
      </c>
      <c r="M153" s="972"/>
      <c r="N153" s="1011">
        <f>SUM(N151:N152)</f>
        <v>0</v>
      </c>
      <c r="O153" s="972"/>
      <c r="P153" s="1010">
        <f>J153+L153+N153</f>
        <v>0</v>
      </c>
      <c r="Q153" s="972"/>
      <c r="R153" s="1010">
        <f>SUM(R151:R152)</f>
        <v>0</v>
      </c>
      <c r="S153" s="1010">
        <f>SUM(S151:S152)</f>
        <v>0</v>
      </c>
      <c r="T153" s="1010">
        <f>SUM(T151:T152)</f>
        <v>0</v>
      </c>
      <c r="U153" s="972"/>
      <c r="V153" s="1011">
        <f>SUM(V151:V152)</f>
        <v>0</v>
      </c>
      <c r="W153" s="972"/>
      <c r="X153" s="972"/>
      <c r="Y153" s="972"/>
    </row>
    <row r="154" spans="1:25" s="979" customFormat="1" outlineLevel="1">
      <c r="A154" s="972"/>
      <c r="B154" s="973" t="s">
        <v>1873</v>
      </c>
      <c r="C154" s="974"/>
      <c r="D154" s="975"/>
      <c r="E154" s="975"/>
      <c r="F154" s="976"/>
      <c r="G154" s="976"/>
      <c r="H154" s="972"/>
      <c r="I154" s="972"/>
      <c r="J154" s="977"/>
      <c r="K154" s="972"/>
      <c r="L154" s="977"/>
      <c r="M154" s="972"/>
      <c r="N154" s="978"/>
      <c r="O154" s="972"/>
      <c r="P154" s="977">
        <f>J154+L154+N154</f>
        <v>0</v>
      </c>
      <c r="Q154" s="972"/>
      <c r="R154" s="977"/>
      <c r="S154" s="977"/>
      <c r="T154" s="977">
        <f>P154</f>
        <v>0</v>
      </c>
      <c r="U154" s="972"/>
      <c r="V154" s="978">
        <f>T154-S154</f>
        <v>0</v>
      </c>
      <c r="W154" s="972"/>
      <c r="X154" s="972"/>
    </row>
    <row r="155" spans="1:25" s="979" customFormat="1" ht="5.0999999999999996" customHeight="1" outlineLevel="1">
      <c r="A155" s="1008" t="s">
        <v>217</v>
      </c>
      <c r="B155" s="1008" t="s">
        <v>217</v>
      </c>
      <c r="C155" s="1008"/>
      <c r="D155" s="976"/>
      <c r="E155" s="976"/>
      <c r="F155" s="976"/>
      <c r="G155" s="976"/>
      <c r="H155" s="972"/>
      <c r="I155" s="972"/>
      <c r="J155" s="1012"/>
      <c r="K155" s="972"/>
      <c r="L155" s="1012"/>
      <c r="M155" s="972"/>
      <c r="N155" s="1013"/>
      <c r="O155" s="972"/>
      <c r="P155" s="1012"/>
      <c r="Q155" s="972"/>
      <c r="R155" s="1012"/>
      <c r="S155" s="1012"/>
      <c r="T155" s="1012"/>
      <c r="U155" s="972"/>
      <c r="V155" s="1013"/>
      <c r="W155" s="972"/>
      <c r="X155" s="972"/>
      <c r="Y155" s="972"/>
    </row>
    <row r="156" spans="1:25" s="979" customFormat="1">
      <c r="A156" s="974" t="s">
        <v>1873</v>
      </c>
      <c r="B156" s="1008" t="s">
        <v>217</v>
      </c>
      <c r="C156" s="1008"/>
      <c r="D156" s="972"/>
      <c r="E156" s="972"/>
      <c r="F156" s="975" t="s">
        <v>1874</v>
      </c>
      <c r="G156" s="972"/>
      <c r="H156" s="972"/>
      <c r="I156" s="972"/>
      <c r="J156" s="1010">
        <f>SUM(J154:J155)</f>
        <v>0</v>
      </c>
      <c r="K156" s="972"/>
      <c r="L156" s="1010">
        <f>SUM(L154:L155)</f>
        <v>0</v>
      </c>
      <c r="M156" s="972"/>
      <c r="N156" s="1011">
        <f>SUM(N154:N155)</f>
        <v>0</v>
      </c>
      <c r="O156" s="972"/>
      <c r="P156" s="1010">
        <f>J156+L156+N156</f>
        <v>0</v>
      </c>
      <c r="Q156" s="972"/>
      <c r="R156" s="1010">
        <f>SUM(R154:R155)</f>
        <v>0</v>
      </c>
      <c r="S156" s="1010">
        <f>SUM(S154:S155)</f>
        <v>0</v>
      </c>
      <c r="T156" s="1010">
        <f>SUM(T154:T155)</f>
        <v>0</v>
      </c>
      <c r="U156" s="972"/>
      <c r="V156" s="1011">
        <f>SUM(V154:V155)</f>
        <v>0</v>
      </c>
      <c r="W156" s="972"/>
      <c r="X156" s="972"/>
      <c r="Y156" s="972"/>
    </row>
    <row r="157" spans="1:25" s="979" customFormat="1" outlineLevel="1">
      <c r="A157" s="972"/>
      <c r="B157" s="973" t="s">
        <v>1875</v>
      </c>
      <c r="C157" s="974"/>
      <c r="D157" s="975"/>
      <c r="E157" s="975"/>
      <c r="F157" s="976"/>
      <c r="G157" s="976"/>
      <c r="H157" s="972"/>
      <c r="I157" s="972"/>
      <c r="J157" s="977"/>
      <c r="K157" s="972"/>
      <c r="L157" s="977"/>
      <c r="M157" s="972"/>
      <c r="N157" s="978"/>
      <c r="O157" s="972"/>
      <c r="P157" s="977">
        <f>J157+L157+N157</f>
        <v>0</v>
      </c>
      <c r="Q157" s="972"/>
      <c r="R157" s="977"/>
      <c r="S157" s="977"/>
      <c r="T157" s="977">
        <f>P157</f>
        <v>0</v>
      </c>
      <c r="U157" s="972"/>
      <c r="V157" s="978">
        <f>T157-S157</f>
        <v>0</v>
      </c>
      <c r="W157" s="972"/>
      <c r="X157" s="972"/>
    </row>
    <row r="158" spans="1:25" s="979" customFormat="1" ht="5.0999999999999996" customHeight="1" outlineLevel="1">
      <c r="A158" s="1008" t="s">
        <v>217</v>
      </c>
      <c r="B158" s="1008" t="s">
        <v>217</v>
      </c>
      <c r="C158" s="1008"/>
      <c r="D158" s="976"/>
      <c r="E158" s="976"/>
      <c r="F158" s="976"/>
      <c r="G158" s="976"/>
      <c r="H158" s="972"/>
      <c r="I158" s="972"/>
      <c r="J158" s="1012"/>
      <c r="K158" s="972"/>
      <c r="L158" s="1012"/>
      <c r="M158" s="972"/>
      <c r="N158" s="1013"/>
      <c r="O158" s="972"/>
      <c r="P158" s="1012"/>
      <c r="Q158" s="972"/>
      <c r="R158" s="1012"/>
      <c r="S158" s="1012"/>
      <c r="T158" s="1012"/>
      <c r="U158" s="972"/>
      <c r="V158" s="1013"/>
      <c r="W158" s="972"/>
      <c r="X158" s="972"/>
      <c r="Y158" s="972"/>
    </row>
    <row r="159" spans="1:25" s="979" customFormat="1">
      <c r="A159" s="974" t="s">
        <v>1875</v>
      </c>
      <c r="B159" s="974" t="s">
        <v>217</v>
      </c>
      <c r="C159" s="974"/>
      <c r="D159" s="972"/>
      <c r="E159" s="972"/>
      <c r="F159" s="975" t="s">
        <v>1876</v>
      </c>
      <c r="G159" s="972"/>
      <c r="H159" s="972"/>
      <c r="I159" s="972"/>
      <c r="J159" s="1010">
        <f>SUM(J157:J158)</f>
        <v>0</v>
      </c>
      <c r="K159" s="972"/>
      <c r="L159" s="1010">
        <f>SUM(L157:L158)</f>
        <v>0</v>
      </c>
      <c r="M159" s="972"/>
      <c r="N159" s="1011">
        <f>SUM(N157:N158)</f>
        <v>0</v>
      </c>
      <c r="O159" s="972"/>
      <c r="P159" s="1010">
        <f>J159+L159+N159</f>
        <v>0</v>
      </c>
      <c r="Q159" s="972"/>
      <c r="R159" s="1010">
        <f>SUM(R157:R158)</f>
        <v>0</v>
      </c>
      <c r="S159" s="1010">
        <f>SUM(S157:S158)</f>
        <v>0</v>
      </c>
      <c r="T159" s="1010">
        <f>SUM(T157:T158)</f>
        <v>0</v>
      </c>
      <c r="U159" s="972"/>
      <c r="V159" s="1011">
        <f>SUM(V157:V158)</f>
        <v>0</v>
      </c>
      <c r="W159" s="972"/>
      <c r="X159" s="972"/>
      <c r="Y159" s="972"/>
    </row>
    <row r="160" spans="1:25" s="979" customFormat="1" outlineLevel="1">
      <c r="A160" s="972"/>
      <c r="B160" s="973" t="s">
        <v>1149</v>
      </c>
      <c r="C160" s="974"/>
      <c r="D160" s="975">
        <v>17100</v>
      </c>
      <c r="E160" s="975" t="s">
        <v>1877</v>
      </c>
      <c r="F160" s="976"/>
      <c r="G160" s="976"/>
      <c r="H160" s="972"/>
      <c r="I160" s="972"/>
      <c r="J160" s="977">
        <v>4157694.9</v>
      </c>
      <c r="K160" s="972"/>
      <c r="L160" s="977">
        <v>0</v>
      </c>
      <c r="M160" s="972"/>
      <c r="N160" s="978">
        <v>0</v>
      </c>
      <c r="O160" s="972"/>
      <c r="P160" s="977">
        <f>J160+L160+N160</f>
        <v>4157694.9</v>
      </c>
      <c r="Q160" s="972"/>
      <c r="R160" s="977">
        <v>2175587.13</v>
      </c>
      <c r="S160" s="977">
        <v>2857650.71</v>
      </c>
      <c r="T160" s="977">
        <f t="shared" ref="T160:T161" si="20">P160</f>
        <v>4157694.9</v>
      </c>
      <c r="U160" s="972"/>
      <c r="V160" s="978">
        <f t="shared" ref="V160:V161" si="21">T160-S160</f>
        <v>1300044.19</v>
      </c>
      <c r="W160" s="972"/>
      <c r="X160" s="972"/>
    </row>
    <row r="161" spans="1:25" s="979" customFormat="1" outlineLevel="1">
      <c r="A161" s="972"/>
      <c r="B161" s="973" t="s">
        <v>223</v>
      </c>
      <c r="C161" s="974"/>
      <c r="D161" s="975">
        <v>18100</v>
      </c>
      <c r="E161" s="975" t="s">
        <v>1878</v>
      </c>
      <c r="F161" s="976"/>
      <c r="G161" s="976"/>
      <c r="H161" s="972"/>
      <c r="I161" s="972"/>
      <c r="J161" s="977">
        <v>429371514.66000003</v>
      </c>
      <c r="K161" s="972"/>
      <c r="L161" s="977">
        <v>0</v>
      </c>
      <c r="M161" s="972"/>
      <c r="N161" s="978">
        <v>0</v>
      </c>
      <c r="O161" s="972"/>
      <c r="P161" s="977">
        <f>J161+L161+N161</f>
        <v>429371514.66000003</v>
      </c>
      <c r="Q161" s="972"/>
      <c r="R161" s="977">
        <v>429371514.66000003</v>
      </c>
      <c r="S161" s="977">
        <v>429371514.66000003</v>
      </c>
      <c r="T161" s="977">
        <f t="shared" si="20"/>
        <v>429371514.66000003</v>
      </c>
      <c r="U161" s="972"/>
      <c r="V161" s="978">
        <f t="shared" si="21"/>
        <v>0</v>
      </c>
      <c r="W161" s="972"/>
      <c r="X161" s="972"/>
    </row>
    <row r="162" spans="1:25" s="979" customFormat="1" ht="5.0999999999999996" customHeight="1" outlineLevel="1">
      <c r="A162" s="974" t="s">
        <v>217</v>
      </c>
      <c r="B162" s="974" t="s">
        <v>217</v>
      </c>
      <c r="C162" s="974"/>
      <c r="D162" s="976"/>
      <c r="E162" s="976"/>
      <c r="F162" s="976"/>
      <c r="G162" s="976"/>
      <c r="H162" s="972"/>
      <c r="I162" s="972"/>
      <c r="J162" s="1012"/>
      <c r="K162" s="972"/>
      <c r="L162" s="1012"/>
      <c r="M162" s="972"/>
      <c r="N162" s="1013"/>
      <c r="O162" s="972"/>
      <c r="P162" s="1012"/>
      <c r="Q162" s="972"/>
      <c r="R162" s="1012"/>
      <c r="S162" s="1012"/>
      <c r="T162" s="1012"/>
      <c r="U162" s="972"/>
      <c r="V162" s="1013"/>
      <c r="W162" s="972"/>
      <c r="X162" s="972"/>
      <c r="Y162" s="972"/>
    </row>
    <row r="163" spans="1:25" s="979" customFormat="1">
      <c r="A163" s="974" t="s">
        <v>1149</v>
      </c>
      <c r="B163" s="974" t="s">
        <v>217</v>
      </c>
      <c r="C163" s="974"/>
      <c r="D163" s="972"/>
      <c r="E163" s="972"/>
      <c r="F163" s="975" t="s">
        <v>1150</v>
      </c>
      <c r="G163" s="972"/>
      <c r="H163" s="972"/>
      <c r="I163" s="972"/>
      <c r="J163" s="1010">
        <f>SUM(J160:J162)</f>
        <v>433529209.56</v>
      </c>
      <c r="K163" s="972"/>
      <c r="L163" s="1010">
        <f>SUM(L160:L162)</f>
        <v>0</v>
      </c>
      <c r="M163" s="972"/>
      <c r="N163" s="1011">
        <f>SUM(N160:N162)</f>
        <v>0</v>
      </c>
      <c r="O163" s="972"/>
      <c r="P163" s="1010">
        <f>J163+L163+N163</f>
        <v>433529209.56</v>
      </c>
      <c r="Q163" s="972"/>
      <c r="R163" s="1010">
        <f>SUM(R160:R162)</f>
        <v>431547101.79000002</v>
      </c>
      <c r="S163" s="1010">
        <f>SUM(S160:S162)</f>
        <v>432229165.37</v>
      </c>
      <c r="T163" s="1010">
        <f>SUM(T160:T162)</f>
        <v>433529209.56</v>
      </c>
      <c r="U163" s="972"/>
      <c r="V163" s="1011">
        <f>SUM(V160:V162)</f>
        <v>1300044.19</v>
      </c>
      <c r="W163" s="972"/>
      <c r="X163" s="972"/>
      <c r="Y163" s="972"/>
    </row>
    <row r="164" spans="1:25" s="979" customFormat="1" ht="7.5" customHeight="1">
      <c r="A164" s="974" t="s">
        <v>217</v>
      </c>
      <c r="B164" s="1008" t="s">
        <v>217</v>
      </c>
      <c r="C164" s="1008"/>
      <c r="D164" s="972"/>
      <c r="E164" s="972"/>
      <c r="F164" s="972"/>
      <c r="G164" s="972"/>
      <c r="H164" s="972"/>
      <c r="I164" s="972"/>
      <c r="J164" s="1015"/>
      <c r="K164" s="972"/>
      <c r="L164" s="1015"/>
      <c r="M164" s="972"/>
      <c r="N164" s="978"/>
      <c r="O164" s="972"/>
      <c r="P164" s="1015"/>
      <c r="Q164" s="972"/>
      <c r="R164" s="1015"/>
      <c r="S164" s="1015"/>
      <c r="T164" s="1015"/>
      <c r="U164" s="972"/>
      <c r="V164" s="978"/>
      <c r="W164" s="972"/>
      <c r="X164" s="972"/>
      <c r="Y164" s="972"/>
    </row>
    <row r="165" spans="1:25" s="979" customFormat="1" ht="13.5" thickBot="1">
      <c r="A165" s="974" t="s">
        <v>217</v>
      </c>
      <c r="B165" s="1008" t="s">
        <v>217</v>
      </c>
      <c r="C165" s="1008"/>
      <c r="D165" s="972"/>
      <c r="E165" s="1016" t="s">
        <v>1879</v>
      </c>
      <c r="F165" s="972"/>
      <c r="G165" s="972"/>
      <c r="H165" s="972"/>
      <c r="I165" s="972"/>
      <c r="J165" s="1022">
        <f>SUM(J123,J126,J131,J147,J150,J153,J156,J159,J163,J59)</f>
        <v>474559231.73000002</v>
      </c>
      <c r="K165" s="972"/>
      <c r="L165" s="1022">
        <f>SUM(L123,L126,L131,L147,L150,L153,L156,L159,L163,L59)</f>
        <v>0</v>
      </c>
      <c r="M165" s="972"/>
      <c r="N165" s="1023">
        <f>SUM(N123,N126,N131,N147,N150,N153,N156,N159,N163,N59)</f>
        <v>0</v>
      </c>
      <c r="O165" s="972"/>
      <c r="P165" s="1022">
        <f>SUM(P123,P126,P131,P147,P150,P153,P156,P159,P163,P59)</f>
        <v>474559231.73000002</v>
      </c>
      <c r="Q165" s="972"/>
      <c r="R165" s="1022">
        <f>SUM(R123,R126,R131,R147,R150,R153,R156,R159,R163,R59)</f>
        <v>472494696.78000003</v>
      </c>
      <c r="S165" s="1022">
        <f>SUM(S123,S126,S131,S147,S150,S153,S156,S159,S163,S59)</f>
        <v>473555464.00999999</v>
      </c>
      <c r="T165" s="1022">
        <f>SUM(T123,T126,T131,T147,T150,T153,T156,T159,T163,T59)</f>
        <v>474559231.73000002</v>
      </c>
      <c r="U165" s="972"/>
      <c r="V165" s="1023">
        <f>SUM(V123,V126,V131,V147,V150,V153,V156,V159,V163,V59)</f>
        <v>1003767.7200000016</v>
      </c>
      <c r="W165" s="972"/>
      <c r="X165" s="972"/>
      <c r="Y165" s="972"/>
    </row>
    <row r="166" spans="1:25" s="979" customFormat="1" ht="7.5" customHeight="1" thickTop="1">
      <c r="A166" s="1008" t="s">
        <v>217</v>
      </c>
      <c r="B166" s="1008"/>
      <c r="C166" s="1008"/>
      <c r="D166" s="972"/>
      <c r="E166" s="1016"/>
      <c r="F166" s="972"/>
      <c r="G166" s="972"/>
      <c r="H166" s="972"/>
      <c r="I166" s="972"/>
      <c r="J166" s="1011"/>
      <c r="K166" s="1020"/>
      <c r="L166" s="1011"/>
      <c r="M166" s="1020"/>
      <c r="N166" s="1011"/>
      <c r="O166" s="1020"/>
      <c r="P166" s="1011"/>
      <c r="Q166" s="1020"/>
      <c r="R166" s="1011"/>
      <c r="S166" s="1011"/>
      <c r="T166" s="1011"/>
      <c r="U166" s="1020"/>
      <c r="V166" s="1011"/>
      <c r="W166" s="972"/>
      <c r="X166" s="972"/>
      <c r="Y166" s="972"/>
    </row>
    <row r="167" spans="1:25" s="979" customFormat="1" outlineLevel="1">
      <c r="A167" s="972"/>
      <c r="B167" s="973" t="s">
        <v>1880</v>
      </c>
      <c r="C167" s="974"/>
      <c r="D167" s="975"/>
      <c r="E167" s="975"/>
      <c r="F167" s="976"/>
      <c r="G167" s="976"/>
      <c r="H167" s="972"/>
      <c r="I167" s="972"/>
      <c r="J167" s="977"/>
      <c r="K167" s="972"/>
      <c r="L167" s="977"/>
      <c r="M167" s="972"/>
      <c r="N167" s="978"/>
      <c r="O167" s="972"/>
      <c r="P167" s="977">
        <f>J167+L167+N167</f>
        <v>0</v>
      </c>
      <c r="Q167" s="972"/>
      <c r="R167" s="977"/>
      <c r="S167" s="977"/>
      <c r="T167" s="977">
        <f>P167</f>
        <v>0</v>
      </c>
      <c r="U167" s="972"/>
      <c r="V167" s="978">
        <f>T167-S167</f>
        <v>0</v>
      </c>
      <c r="W167" s="972"/>
      <c r="X167" s="972"/>
    </row>
    <row r="168" spans="1:25" s="979" customFormat="1" ht="5.0999999999999996" customHeight="1" outlineLevel="1">
      <c r="A168" s="1008"/>
      <c r="B168" s="1008"/>
      <c r="C168" s="1008"/>
      <c r="D168" s="975"/>
      <c r="E168" s="975"/>
      <c r="F168" s="972"/>
      <c r="G168" s="972"/>
      <c r="H168" s="972"/>
      <c r="I168" s="972"/>
      <c r="J168" s="1012"/>
      <c r="K168" s="972"/>
      <c r="L168" s="1012"/>
      <c r="M168" s="972"/>
      <c r="N168" s="1013"/>
      <c r="O168" s="972"/>
      <c r="P168" s="1012"/>
      <c r="Q168" s="972"/>
      <c r="R168" s="1012"/>
      <c r="S168" s="1012"/>
      <c r="T168" s="1012"/>
      <c r="U168" s="972"/>
      <c r="V168" s="1013"/>
      <c r="W168" s="972"/>
      <c r="X168" s="972"/>
      <c r="Y168" s="972"/>
    </row>
    <row r="169" spans="1:25" s="979" customFormat="1" ht="12.75" customHeight="1">
      <c r="A169" s="974" t="s">
        <v>1880</v>
      </c>
      <c r="B169" s="1008" t="s">
        <v>217</v>
      </c>
      <c r="C169" s="1008"/>
      <c r="D169" s="972"/>
      <c r="E169" s="972"/>
      <c r="F169" s="972" t="s">
        <v>1881</v>
      </c>
      <c r="G169" s="972"/>
      <c r="H169" s="972"/>
      <c r="I169" s="972"/>
      <c r="J169" s="1010">
        <f>SUM(J167:J168)</f>
        <v>0</v>
      </c>
      <c r="K169" s="972"/>
      <c r="L169" s="1010">
        <f>SUM(L167:L168)</f>
        <v>0</v>
      </c>
      <c r="M169" s="972"/>
      <c r="N169" s="1011">
        <f>SUM(N167:N168)</f>
        <v>0</v>
      </c>
      <c r="O169" s="972"/>
      <c r="P169" s="1010">
        <f>J169+L169+N169</f>
        <v>0</v>
      </c>
      <c r="Q169" s="972"/>
      <c r="R169" s="1010">
        <f>SUM(R167:R168)</f>
        <v>0</v>
      </c>
      <c r="S169" s="1010">
        <f>SUM(S167:S168)</f>
        <v>0</v>
      </c>
      <c r="T169" s="1010">
        <f>SUM(T167:T168)</f>
        <v>0</v>
      </c>
      <c r="U169" s="972"/>
      <c r="V169" s="1011">
        <f>SUM(V167:V168)</f>
        <v>0</v>
      </c>
      <c r="W169" s="972"/>
      <c r="X169" s="972"/>
      <c r="Y169" s="972"/>
    </row>
    <row r="170" spans="1:25" s="979" customFormat="1" outlineLevel="1">
      <c r="A170" s="1008"/>
      <c r="B170" s="974" t="s">
        <v>217</v>
      </c>
      <c r="C170" s="974"/>
      <c r="D170" s="972"/>
      <c r="E170" s="972"/>
      <c r="F170" s="972"/>
      <c r="G170" s="972"/>
      <c r="H170" s="972"/>
      <c r="I170" s="972"/>
      <c r="J170" s="1015"/>
      <c r="K170" s="972"/>
      <c r="L170" s="1015"/>
      <c r="M170" s="972"/>
      <c r="N170" s="978"/>
      <c r="O170" s="972"/>
      <c r="P170" s="1015"/>
      <c r="Q170" s="972"/>
      <c r="R170" s="1015"/>
      <c r="S170" s="1015"/>
      <c r="T170" s="1015"/>
      <c r="U170" s="972"/>
      <c r="V170" s="978"/>
      <c r="W170" s="972"/>
      <c r="X170" s="972"/>
      <c r="Y170" s="972"/>
    </row>
    <row r="171" spans="1:25" s="979" customFormat="1" outlineLevel="1">
      <c r="A171" s="972"/>
      <c r="B171" s="973" t="s">
        <v>1163</v>
      </c>
      <c r="C171" s="974"/>
      <c r="D171" s="975"/>
      <c r="E171" s="975"/>
      <c r="F171" s="976"/>
      <c r="G171" s="976"/>
      <c r="H171" s="972"/>
      <c r="I171" s="972"/>
      <c r="J171" s="977"/>
      <c r="K171" s="972"/>
      <c r="L171" s="977"/>
      <c r="M171" s="972"/>
      <c r="N171" s="978"/>
      <c r="O171" s="972"/>
      <c r="P171" s="977">
        <f>J171+L171+N171</f>
        <v>0</v>
      </c>
      <c r="Q171" s="972"/>
      <c r="R171" s="977"/>
      <c r="S171" s="977"/>
      <c r="T171" s="977">
        <f>P171</f>
        <v>0</v>
      </c>
      <c r="U171" s="972"/>
      <c r="V171" s="978">
        <f>T171-S171</f>
        <v>0</v>
      </c>
      <c r="W171" s="972"/>
      <c r="X171" s="972"/>
    </row>
    <row r="172" spans="1:25" s="979" customFormat="1" ht="5.0999999999999996" customHeight="1" outlineLevel="1">
      <c r="A172" s="974" t="s">
        <v>217</v>
      </c>
      <c r="B172" s="974" t="s">
        <v>217</v>
      </c>
      <c r="C172" s="974"/>
      <c r="D172" s="976"/>
      <c r="E172" s="976"/>
      <c r="F172" s="976"/>
      <c r="G172" s="976"/>
      <c r="H172" s="972"/>
      <c r="I172" s="972"/>
      <c r="J172" s="1012"/>
      <c r="K172" s="972"/>
      <c r="L172" s="1012"/>
      <c r="M172" s="972"/>
      <c r="N172" s="1013"/>
      <c r="O172" s="972"/>
      <c r="P172" s="1012"/>
      <c r="Q172" s="972"/>
      <c r="R172" s="1012"/>
      <c r="S172" s="1012"/>
      <c r="T172" s="1012"/>
      <c r="U172" s="972"/>
      <c r="V172" s="1013"/>
      <c r="W172" s="972"/>
      <c r="X172" s="972"/>
      <c r="Y172" s="972"/>
    </row>
    <row r="173" spans="1:25" s="979" customFormat="1" ht="12.75" customHeight="1">
      <c r="A173" s="974" t="s">
        <v>1163</v>
      </c>
      <c r="B173" s="974" t="s">
        <v>217</v>
      </c>
      <c r="C173" s="974"/>
      <c r="D173" s="972"/>
      <c r="E173" s="972"/>
      <c r="F173" s="975" t="s">
        <v>1882</v>
      </c>
      <c r="G173" s="972"/>
      <c r="H173" s="972"/>
      <c r="I173" s="972"/>
      <c r="J173" s="1010">
        <f>SUM(J171:J172)</f>
        <v>0</v>
      </c>
      <c r="K173" s="972"/>
      <c r="L173" s="1010">
        <f>SUM(L171:L172)</f>
        <v>0</v>
      </c>
      <c r="M173" s="972"/>
      <c r="N173" s="1011">
        <f>SUM(N171:N172)</f>
        <v>0</v>
      </c>
      <c r="O173" s="972"/>
      <c r="P173" s="1010">
        <f t="shared" ref="P173:P183" si="22">J173+L173+N173</f>
        <v>0</v>
      </c>
      <c r="Q173" s="972"/>
      <c r="R173" s="1010">
        <f>SUM(R171:R172)</f>
        <v>0</v>
      </c>
      <c r="S173" s="1010">
        <f>SUM(S171:S172)</f>
        <v>0</v>
      </c>
      <c r="T173" s="1010">
        <f>SUM(T171:T172)</f>
        <v>0</v>
      </c>
      <c r="U173" s="972"/>
      <c r="V173" s="1011">
        <f>SUM(V171:V172)</f>
        <v>0</v>
      </c>
      <c r="W173" s="972"/>
      <c r="X173" s="972"/>
      <c r="Y173" s="972"/>
    </row>
    <row r="174" spans="1:25" s="979" customFormat="1" outlineLevel="1">
      <c r="A174" s="972"/>
      <c r="B174" s="973" t="s">
        <v>1153</v>
      </c>
      <c r="C174" s="974"/>
      <c r="D174" s="975">
        <v>20120</v>
      </c>
      <c r="E174" s="975" t="s">
        <v>1883</v>
      </c>
      <c r="F174" s="976"/>
      <c r="G174" s="976"/>
      <c r="H174" s="972"/>
      <c r="I174" s="972"/>
      <c r="J174" s="977">
        <v>178015.75</v>
      </c>
      <c r="K174" s="972"/>
      <c r="L174" s="977">
        <v>0</v>
      </c>
      <c r="M174" s="972"/>
      <c r="N174" s="978">
        <v>0</v>
      </c>
      <c r="O174" s="972"/>
      <c r="P174" s="977">
        <f t="shared" si="22"/>
        <v>178015.75</v>
      </c>
      <c r="Q174" s="972"/>
      <c r="R174" s="977">
        <v>182049.38</v>
      </c>
      <c r="S174" s="977">
        <v>172910.38</v>
      </c>
      <c r="T174" s="977">
        <f t="shared" ref="T174:T183" si="23">P174</f>
        <v>178015.75</v>
      </c>
      <c r="U174" s="972"/>
      <c r="V174" s="978">
        <f t="shared" ref="V174:V183" si="24">T174-S174</f>
        <v>5105.3699999999953</v>
      </c>
      <c r="W174" s="972"/>
      <c r="X174" s="972"/>
    </row>
    <row r="175" spans="1:25" s="979" customFormat="1" outlineLevel="1">
      <c r="A175" s="972"/>
      <c r="B175" s="973" t="s">
        <v>223</v>
      </c>
      <c r="C175" s="974"/>
      <c r="D175" s="975">
        <v>20121</v>
      </c>
      <c r="E175" s="975" t="s">
        <v>1884</v>
      </c>
      <c r="F175" s="976"/>
      <c r="G175" s="976"/>
      <c r="H175" s="972"/>
      <c r="I175" s="972"/>
      <c r="J175" s="977">
        <v>79383.710000000006</v>
      </c>
      <c r="K175" s="972"/>
      <c r="L175" s="977">
        <v>0</v>
      </c>
      <c r="M175" s="972"/>
      <c r="N175" s="978">
        <v>0</v>
      </c>
      <c r="O175" s="972"/>
      <c r="P175" s="977">
        <f t="shared" si="22"/>
        <v>79383.710000000006</v>
      </c>
      <c r="Q175" s="972"/>
      <c r="R175" s="977">
        <v>0</v>
      </c>
      <c r="S175" s="977">
        <v>0</v>
      </c>
      <c r="T175" s="977">
        <f t="shared" si="23"/>
        <v>79383.710000000006</v>
      </c>
      <c r="U175" s="972"/>
      <c r="V175" s="978">
        <f t="shared" si="24"/>
        <v>79383.710000000006</v>
      </c>
      <c r="W175" s="972"/>
      <c r="X175" s="972"/>
    </row>
    <row r="176" spans="1:25" s="979" customFormat="1" outlineLevel="1">
      <c r="A176" s="972"/>
      <c r="B176" s="973" t="s">
        <v>223</v>
      </c>
      <c r="C176" s="974"/>
      <c r="D176" s="975">
        <v>20123</v>
      </c>
      <c r="E176" s="975" t="s">
        <v>1885</v>
      </c>
      <c r="F176" s="976"/>
      <c r="G176" s="976"/>
      <c r="H176" s="972"/>
      <c r="I176" s="972"/>
      <c r="J176" s="977">
        <v>31220.28</v>
      </c>
      <c r="K176" s="972"/>
      <c r="L176" s="977">
        <v>0</v>
      </c>
      <c r="M176" s="972"/>
      <c r="N176" s="978">
        <v>0</v>
      </c>
      <c r="O176" s="972"/>
      <c r="P176" s="977">
        <f t="shared" si="22"/>
        <v>31220.28</v>
      </c>
      <c r="Q176" s="972"/>
      <c r="R176" s="977">
        <v>28629.75</v>
      </c>
      <c r="S176" s="977">
        <v>17113.66</v>
      </c>
      <c r="T176" s="977">
        <f t="shared" si="23"/>
        <v>31220.28</v>
      </c>
      <c r="U176" s="972"/>
      <c r="V176" s="978">
        <f t="shared" si="24"/>
        <v>14106.619999999999</v>
      </c>
      <c r="W176" s="972"/>
      <c r="X176" s="972"/>
    </row>
    <row r="177" spans="1:25" s="979" customFormat="1" outlineLevel="1">
      <c r="A177" s="972"/>
      <c r="B177" s="973" t="s">
        <v>223</v>
      </c>
      <c r="C177" s="974"/>
      <c r="D177" s="975">
        <v>20140</v>
      </c>
      <c r="E177" s="975" t="s">
        <v>1886</v>
      </c>
      <c r="F177" s="976"/>
      <c r="G177" s="976"/>
      <c r="H177" s="972"/>
      <c r="I177" s="972"/>
      <c r="J177" s="977">
        <v>10108.719999999999</v>
      </c>
      <c r="K177" s="972"/>
      <c r="L177" s="977">
        <v>0</v>
      </c>
      <c r="M177" s="972"/>
      <c r="N177" s="978">
        <v>0</v>
      </c>
      <c r="O177" s="972"/>
      <c r="P177" s="977">
        <f t="shared" si="22"/>
        <v>10108.719999999999</v>
      </c>
      <c r="Q177" s="972"/>
      <c r="R177" s="977">
        <v>7288.09</v>
      </c>
      <c r="S177" s="977">
        <v>7582.65</v>
      </c>
      <c r="T177" s="977">
        <f t="shared" si="23"/>
        <v>10108.719999999999</v>
      </c>
      <c r="U177" s="972"/>
      <c r="V177" s="978">
        <f t="shared" si="24"/>
        <v>2526.0699999999997</v>
      </c>
      <c r="W177" s="972"/>
      <c r="X177" s="972"/>
    </row>
    <row r="178" spans="1:25" s="979" customFormat="1" outlineLevel="1">
      <c r="A178" s="972"/>
      <c r="B178" s="973" t="s">
        <v>223</v>
      </c>
      <c r="C178" s="974"/>
      <c r="D178" s="975">
        <v>20165</v>
      </c>
      <c r="E178" s="975" t="s">
        <v>1887</v>
      </c>
      <c r="F178" s="976"/>
      <c r="G178" s="976"/>
      <c r="H178" s="972"/>
      <c r="I178" s="972"/>
      <c r="J178" s="977">
        <v>13.64</v>
      </c>
      <c r="K178" s="972"/>
      <c r="L178" s="977">
        <v>0</v>
      </c>
      <c r="M178" s="972"/>
      <c r="N178" s="978">
        <v>0</v>
      </c>
      <c r="O178" s="972"/>
      <c r="P178" s="977">
        <f t="shared" si="22"/>
        <v>13.64</v>
      </c>
      <c r="Q178" s="972"/>
      <c r="R178" s="977">
        <v>13.44</v>
      </c>
      <c r="S178" s="977">
        <v>884.36</v>
      </c>
      <c r="T178" s="977">
        <f t="shared" si="23"/>
        <v>13.64</v>
      </c>
      <c r="U178" s="972"/>
      <c r="V178" s="978">
        <f t="shared" si="24"/>
        <v>-870.72</v>
      </c>
      <c r="W178" s="972"/>
      <c r="X178" s="972"/>
    </row>
    <row r="179" spans="1:25" s="979" customFormat="1" outlineLevel="1">
      <c r="A179" s="972"/>
      <c r="B179" s="973" t="s">
        <v>223</v>
      </c>
      <c r="C179" s="974"/>
      <c r="D179" s="975">
        <v>20170</v>
      </c>
      <c r="E179" s="975" t="s">
        <v>1888</v>
      </c>
      <c r="F179" s="976"/>
      <c r="G179" s="976"/>
      <c r="H179" s="972"/>
      <c r="I179" s="972"/>
      <c r="J179" s="977">
        <v>159540.68</v>
      </c>
      <c r="K179" s="972"/>
      <c r="L179" s="977">
        <v>0</v>
      </c>
      <c r="M179" s="972"/>
      <c r="N179" s="978">
        <v>0</v>
      </c>
      <c r="O179" s="972"/>
      <c r="P179" s="977">
        <f t="shared" si="22"/>
        <v>159540.68</v>
      </c>
      <c r="Q179" s="972"/>
      <c r="R179" s="977">
        <v>157742.94</v>
      </c>
      <c r="S179" s="977">
        <v>156676.67000000001</v>
      </c>
      <c r="T179" s="977">
        <f t="shared" si="23"/>
        <v>159540.68</v>
      </c>
      <c r="U179" s="972"/>
      <c r="V179" s="978">
        <f t="shared" si="24"/>
        <v>2864.0099999999802</v>
      </c>
      <c r="W179" s="972"/>
      <c r="X179" s="972"/>
    </row>
    <row r="180" spans="1:25" s="979" customFormat="1" outlineLevel="1">
      <c r="A180" s="972"/>
      <c r="B180" s="973" t="s">
        <v>223</v>
      </c>
      <c r="C180" s="974"/>
      <c r="D180" s="975">
        <v>20175</v>
      </c>
      <c r="E180" s="975" t="s">
        <v>1889</v>
      </c>
      <c r="F180" s="976"/>
      <c r="G180" s="976"/>
      <c r="H180" s="972"/>
      <c r="I180" s="972"/>
      <c r="J180" s="977">
        <v>430107.79</v>
      </c>
      <c r="K180" s="972"/>
      <c r="L180" s="977">
        <v>0</v>
      </c>
      <c r="M180" s="972"/>
      <c r="N180" s="978">
        <v>0</v>
      </c>
      <c r="O180" s="972"/>
      <c r="P180" s="977">
        <f t="shared" si="22"/>
        <v>430107.79</v>
      </c>
      <c r="Q180" s="972"/>
      <c r="R180" s="977">
        <v>401019.81</v>
      </c>
      <c r="S180" s="977">
        <v>428349.82</v>
      </c>
      <c r="T180" s="977">
        <f t="shared" si="23"/>
        <v>430107.79</v>
      </c>
      <c r="U180" s="972"/>
      <c r="V180" s="978">
        <f t="shared" si="24"/>
        <v>1757.9699999999721</v>
      </c>
      <c r="W180" s="972"/>
      <c r="X180" s="972"/>
    </row>
    <row r="181" spans="1:25" s="979" customFormat="1" outlineLevel="1">
      <c r="A181" s="972"/>
      <c r="B181" s="973" t="s">
        <v>223</v>
      </c>
      <c r="C181" s="974"/>
      <c r="D181" s="975">
        <v>20177</v>
      </c>
      <c r="E181" s="975" t="s">
        <v>1890</v>
      </c>
      <c r="F181" s="976"/>
      <c r="G181" s="976"/>
      <c r="H181" s="972"/>
      <c r="I181" s="972"/>
      <c r="J181" s="977">
        <v>31277.52</v>
      </c>
      <c r="K181" s="972"/>
      <c r="L181" s="977">
        <v>0</v>
      </c>
      <c r="M181" s="972"/>
      <c r="N181" s="978">
        <v>0</v>
      </c>
      <c r="O181" s="972"/>
      <c r="P181" s="977">
        <f t="shared" si="22"/>
        <v>31277.52</v>
      </c>
      <c r="Q181" s="972"/>
      <c r="R181" s="977">
        <v>30952.75</v>
      </c>
      <c r="S181" s="977">
        <v>31041.7</v>
      </c>
      <c r="T181" s="977">
        <f t="shared" si="23"/>
        <v>31277.52</v>
      </c>
      <c r="U181" s="972"/>
      <c r="V181" s="978">
        <f t="shared" si="24"/>
        <v>235.81999999999971</v>
      </c>
      <c r="W181" s="972"/>
      <c r="X181" s="972"/>
    </row>
    <row r="182" spans="1:25" s="979" customFormat="1" outlineLevel="1">
      <c r="A182" s="972"/>
      <c r="B182" s="973" t="s">
        <v>223</v>
      </c>
      <c r="C182" s="974"/>
      <c r="D182" s="975">
        <v>20178</v>
      </c>
      <c r="E182" s="975" t="s">
        <v>1891</v>
      </c>
      <c r="F182" s="976"/>
      <c r="G182" s="976"/>
      <c r="H182" s="972"/>
      <c r="I182" s="972"/>
      <c r="J182" s="977">
        <v>64166.03</v>
      </c>
      <c r="K182" s="972"/>
      <c r="L182" s="977">
        <v>0</v>
      </c>
      <c r="M182" s="972"/>
      <c r="N182" s="978">
        <v>0</v>
      </c>
      <c r="O182" s="972"/>
      <c r="P182" s="977">
        <f t="shared" si="22"/>
        <v>64166.03</v>
      </c>
      <c r="Q182" s="972"/>
      <c r="R182" s="977">
        <v>49363.839999999997</v>
      </c>
      <c r="S182" s="977">
        <v>56863.15</v>
      </c>
      <c r="T182" s="977">
        <f t="shared" si="23"/>
        <v>64166.03</v>
      </c>
      <c r="U182" s="972"/>
      <c r="V182" s="978">
        <f t="shared" si="24"/>
        <v>7302.8799999999974</v>
      </c>
      <c r="W182" s="972"/>
      <c r="X182" s="972"/>
    </row>
    <row r="183" spans="1:25" s="979" customFormat="1" outlineLevel="1">
      <c r="A183" s="972"/>
      <c r="B183" s="973" t="s">
        <v>223</v>
      </c>
      <c r="C183" s="974"/>
      <c r="D183" s="975">
        <v>20180</v>
      </c>
      <c r="E183" s="975" t="s">
        <v>1892</v>
      </c>
      <c r="F183" s="976"/>
      <c r="G183" s="976"/>
      <c r="H183" s="972"/>
      <c r="I183" s="972"/>
      <c r="J183" s="977">
        <v>169638.09</v>
      </c>
      <c r="K183" s="972"/>
      <c r="L183" s="977">
        <v>0</v>
      </c>
      <c r="M183" s="972"/>
      <c r="N183" s="978">
        <v>0</v>
      </c>
      <c r="O183" s="972"/>
      <c r="P183" s="977">
        <f t="shared" si="22"/>
        <v>169638.09</v>
      </c>
      <c r="Q183" s="972"/>
      <c r="R183" s="977">
        <v>167998.16</v>
      </c>
      <c r="S183" s="977">
        <v>175287.47</v>
      </c>
      <c r="T183" s="977">
        <f t="shared" si="23"/>
        <v>169638.09</v>
      </c>
      <c r="U183" s="972"/>
      <c r="V183" s="978">
        <f t="shared" si="24"/>
        <v>-5649.3800000000047</v>
      </c>
      <c r="W183" s="972"/>
      <c r="X183" s="972"/>
    </row>
    <row r="184" spans="1:25" s="979" customFormat="1" ht="5.0999999999999996" customHeight="1" outlineLevel="1">
      <c r="A184" s="974" t="s">
        <v>217</v>
      </c>
      <c r="B184" s="974" t="s">
        <v>217</v>
      </c>
      <c r="C184" s="974"/>
      <c r="D184" s="976"/>
      <c r="E184" s="976"/>
      <c r="F184" s="976"/>
      <c r="G184" s="976"/>
      <c r="H184" s="972"/>
      <c r="I184" s="972"/>
      <c r="J184" s="1012"/>
      <c r="K184" s="972"/>
      <c r="L184" s="1012"/>
      <c r="M184" s="972"/>
      <c r="N184" s="1013"/>
      <c r="O184" s="972"/>
      <c r="P184" s="1012"/>
      <c r="Q184" s="972"/>
      <c r="R184" s="1012"/>
      <c r="S184" s="1012"/>
      <c r="T184" s="1012"/>
      <c r="U184" s="972"/>
      <c r="V184" s="1013"/>
      <c r="W184" s="972"/>
      <c r="X184" s="972"/>
      <c r="Y184" s="972"/>
    </row>
    <row r="185" spans="1:25" s="979" customFormat="1">
      <c r="A185" s="974" t="s">
        <v>1153</v>
      </c>
      <c r="B185" s="974" t="s">
        <v>217</v>
      </c>
      <c r="C185" s="974"/>
      <c r="D185" s="972"/>
      <c r="E185" s="972"/>
      <c r="F185" s="975" t="s">
        <v>1893</v>
      </c>
      <c r="G185" s="972"/>
      <c r="H185" s="972"/>
      <c r="I185" s="972"/>
      <c r="J185" s="1010">
        <f>SUM(J174:J184)</f>
        <v>1153472.21</v>
      </c>
      <c r="K185" s="972"/>
      <c r="L185" s="1010">
        <f>SUM(L174:L184)</f>
        <v>0</v>
      </c>
      <c r="M185" s="972"/>
      <c r="N185" s="1011">
        <f>SUM(N174:N184)</f>
        <v>0</v>
      </c>
      <c r="O185" s="972"/>
      <c r="P185" s="1010">
        <f>J185+L185+N185</f>
        <v>1153472.21</v>
      </c>
      <c r="Q185" s="972"/>
      <c r="R185" s="1010">
        <f>SUM(R174:R184)</f>
        <v>1025058.1599999999</v>
      </c>
      <c r="S185" s="1010">
        <f>SUM(S174:S184)</f>
        <v>1046709.86</v>
      </c>
      <c r="T185" s="1010">
        <f>SUM(T174:T184)</f>
        <v>1153472.21</v>
      </c>
      <c r="U185" s="972"/>
      <c r="V185" s="1011">
        <f>SUM(V174:V184)</f>
        <v>106762.34999999995</v>
      </c>
      <c r="W185" s="972"/>
      <c r="X185" s="972"/>
      <c r="Y185" s="972"/>
    </row>
    <row r="186" spans="1:25" s="979" customFormat="1" outlineLevel="1">
      <c r="A186" s="972"/>
      <c r="B186" s="973" t="s">
        <v>1161</v>
      </c>
      <c r="C186" s="974"/>
      <c r="D186" s="975">
        <v>20300</v>
      </c>
      <c r="E186" s="975" t="s">
        <v>1894</v>
      </c>
      <c r="F186" s="976"/>
      <c r="G186" s="976"/>
      <c r="H186" s="972"/>
      <c r="I186" s="972"/>
      <c r="J186" s="977">
        <v>1224886.6299999999</v>
      </c>
      <c r="K186" s="972"/>
      <c r="L186" s="977">
        <v>0</v>
      </c>
      <c r="M186" s="972"/>
      <c r="N186" s="978">
        <v>0</v>
      </c>
      <c r="O186" s="972"/>
      <c r="P186" s="977">
        <f>J186+L186+N186</f>
        <v>1224886.6299999999</v>
      </c>
      <c r="Q186" s="972"/>
      <c r="R186" s="977">
        <v>1221214.8</v>
      </c>
      <c r="S186" s="977">
        <v>1355633.28</v>
      </c>
      <c r="T186" s="977">
        <f>P186</f>
        <v>1224886.6299999999</v>
      </c>
      <c r="U186" s="972"/>
      <c r="V186" s="978">
        <f>T186-S186</f>
        <v>-130746.65000000014</v>
      </c>
      <c r="W186" s="972"/>
      <c r="X186" s="972"/>
    </row>
    <row r="187" spans="1:25" s="979" customFormat="1" ht="5.0999999999999996" customHeight="1" outlineLevel="1">
      <c r="A187" s="974" t="s">
        <v>217</v>
      </c>
      <c r="B187" s="1008" t="s">
        <v>217</v>
      </c>
      <c r="C187" s="1008"/>
      <c r="D187" s="976"/>
      <c r="E187" s="976"/>
      <c r="F187" s="976"/>
      <c r="G187" s="976"/>
      <c r="H187" s="972"/>
      <c r="I187" s="972"/>
      <c r="J187" s="1012"/>
      <c r="K187" s="972"/>
      <c r="L187" s="1012"/>
      <c r="M187" s="972"/>
      <c r="N187" s="1013"/>
      <c r="O187" s="972"/>
      <c r="P187" s="1012"/>
      <c r="Q187" s="972"/>
      <c r="R187" s="1012"/>
      <c r="S187" s="1012"/>
      <c r="T187" s="1012"/>
      <c r="U187" s="972"/>
      <c r="V187" s="1013"/>
      <c r="W187" s="972"/>
      <c r="X187" s="972"/>
      <c r="Y187" s="972"/>
    </row>
    <row r="188" spans="1:25" s="979" customFormat="1">
      <c r="A188" s="974" t="s">
        <v>1161</v>
      </c>
      <c r="B188" s="1008" t="s">
        <v>217</v>
      </c>
      <c r="C188" s="1008"/>
      <c r="D188" s="972"/>
      <c r="E188" s="972"/>
      <c r="F188" s="975" t="s">
        <v>1895</v>
      </c>
      <c r="G188" s="972"/>
      <c r="H188" s="972"/>
      <c r="I188" s="972"/>
      <c r="J188" s="1010">
        <f>SUM(J186:J187)</f>
        <v>1224886.6299999999</v>
      </c>
      <c r="K188" s="972"/>
      <c r="L188" s="1010">
        <f>SUM(L186:L187)</f>
        <v>0</v>
      </c>
      <c r="M188" s="972"/>
      <c r="N188" s="1011">
        <f>SUM(N186:N187)</f>
        <v>0</v>
      </c>
      <c r="O188" s="972"/>
      <c r="P188" s="1010">
        <f t="shared" ref="P188:P196" si="25">J188+L188+N188</f>
        <v>1224886.6299999999</v>
      </c>
      <c r="Q188" s="972"/>
      <c r="R188" s="1010">
        <f>SUM(R186:R187)</f>
        <v>1221214.8</v>
      </c>
      <c r="S188" s="1010">
        <f>SUM(S186:S187)</f>
        <v>1355633.28</v>
      </c>
      <c r="T188" s="1010">
        <f>SUM(T186:T187)</f>
        <v>1224886.6299999999</v>
      </c>
      <c r="U188" s="972"/>
      <c r="V188" s="1011">
        <f>SUM(V186:V187)</f>
        <v>-130746.65000000014</v>
      </c>
      <c r="W188" s="972"/>
      <c r="X188" s="972"/>
      <c r="Y188" s="972"/>
    </row>
    <row r="189" spans="1:25" s="979" customFormat="1" outlineLevel="1">
      <c r="A189" s="972"/>
      <c r="B189" s="973" t="s">
        <v>1157</v>
      </c>
      <c r="C189" s="974"/>
      <c r="D189" s="975">
        <v>20320</v>
      </c>
      <c r="E189" s="975" t="s">
        <v>1896</v>
      </c>
      <c r="F189" s="976"/>
      <c r="G189" s="976"/>
      <c r="H189" s="972"/>
      <c r="I189" s="972"/>
      <c r="J189" s="977">
        <v>453239.97</v>
      </c>
      <c r="K189" s="972"/>
      <c r="L189" s="977">
        <v>0</v>
      </c>
      <c r="M189" s="972"/>
      <c r="N189" s="978">
        <v>0</v>
      </c>
      <c r="O189" s="972"/>
      <c r="P189" s="977">
        <f t="shared" si="25"/>
        <v>453239.97</v>
      </c>
      <c r="Q189" s="972"/>
      <c r="R189" s="977">
        <v>229283.05</v>
      </c>
      <c r="S189" s="977">
        <v>360535.69</v>
      </c>
      <c r="T189" s="977">
        <f t="shared" ref="T189:T196" si="26">P189</f>
        <v>453239.97</v>
      </c>
      <c r="U189" s="972"/>
      <c r="V189" s="978">
        <f t="shared" ref="V189:V196" si="27">T189-S189</f>
        <v>92704.27999999997</v>
      </c>
      <c r="W189" s="972"/>
      <c r="X189" s="972"/>
    </row>
    <row r="190" spans="1:25" s="979" customFormat="1" outlineLevel="1">
      <c r="A190" s="972"/>
      <c r="B190" s="973" t="s">
        <v>223</v>
      </c>
      <c r="C190" s="974"/>
      <c r="D190" s="975">
        <v>20321</v>
      </c>
      <c r="E190" s="975" t="s">
        <v>1897</v>
      </c>
      <c r="F190" s="976"/>
      <c r="G190" s="976"/>
      <c r="H190" s="972"/>
      <c r="I190" s="972"/>
      <c r="J190" s="977">
        <v>300539.78000000003</v>
      </c>
      <c r="K190" s="972"/>
      <c r="L190" s="977">
        <v>0</v>
      </c>
      <c r="M190" s="972"/>
      <c r="N190" s="978">
        <v>0</v>
      </c>
      <c r="O190" s="972"/>
      <c r="P190" s="977">
        <f t="shared" si="25"/>
        <v>300539.78000000003</v>
      </c>
      <c r="Q190" s="972"/>
      <c r="R190" s="977">
        <v>316499.89</v>
      </c>
      <c r="S190" s="977">
        <v>313715.48</v>
      </c>
      <c r="T190" s="977">
        <f t="shared" si="26"/>
        <v>300539.78000000003</v>
      </c>
      <c r="U190" s="972"/>
      <c r="V190" s="978">
        <f t="shared" si="27"/>
        <v>-13175.699999999953</v>
      </c>
      <c r="W190" s="972"/>
      <c r="X190" s="972"/>
    </row>
    <row r="191" spans="1:25" s="979" customFormat="1" outlineLevel="1">
      <c r="A191" s="972"/>
      <c r="B191" s="973" t="s">
        <v>223</v>
      </c>
      <c r="C191" s="974"/>
      <c r="D191" s="975">
        <v>20325</v>
      </c>
      <c r="E191" s="975" t="s">
        <v>1898</v>
      </c>
      <c r="F191" s="976"/>
      <c r="G191" s="976"/>
      <c r="H191" s="972"/>
      <c r="I191" s="972"/>
      <c r="J191" s="977">
        <v>9976.0499999999993</v>
      </c>
      <c r="K191" s="972"/>
      <c r="L191" s="977">
        <v>0</v>
      </c>
      <c r="M191" s="972"/>
      <c r="N191" s="978">
        <v>0</v>
      </c>
      <c r="O191" s="972"/>
      <c r="P191" s="977">
        <f t="shared" si="25"/>
        <v>9976.0499999999993</v>
      </c>
      <c r="Q191" s="972"/>
      <c r="R191" s="977">
        <v>3565.32</v>
      </c>
      <c r="S191" s="977">
        <v>10436.049999999999</v>
      </c>
      <c r="T191" s="977">
        <f t="shared" si="26"/>
        <v>9976.0499999999993</v>
      </c>
      <c r="U191" s="972"/>
      <c r="V191" s="978">
        <f t="shared" si="27"/>
        <v>-460</v>
      </c>
      <c r="W191" s="972"/>
      <c r="X191" s="972"/>
    </row>
    <row r="192" spans="1:25" s="979" customFormat="1" outlineLevel="1">
      <c r="A192" s="972"/>
      <c r="B192" s="973" t="s">
        <v>223</v>
      </c>
      <c r="C192" s="974"/>
      <c r="D192" s="975">
        <v>20340</v>
      </c>
      <c r="E192" s="975" t="s">
        <v>1899</v>
      </c>
      <c r="F192" s="976"/>
      <c r="G192" s="976"/>
      <c r="H192" s="972"/>
      <c r="I192" s="972"/>
      <c r="J192" s="977">
        <v>152378.4</v>
      </c>
      <c r="K192" s="972"/>
      <c r="L192" s="977">
        <v>0</v>
      </c>
      <c r="M192" s="972"/>
      <c r="N192" s="978">
        <v>0</v>
      </c>
      <c r="O192" s="972"/>
      <c r="P192" s="977">
        <f t="shared" si="25"/>
        <v>152378.4</v>
      </c>
      <c r="Q192" s="972"/>
      <c r="R192" s="977">
        <v>114043.63</v>
      </c>
      <c r="S192" s="977">
        <v>125237.8</v>
      </c>
      <c r="T192" s="977">
        <f t="shared" si="26"/>
        <v>152378.4</v>
      </c>
      <c r="U192" s="972"/>
      <c r="V192" s="978">
        <f t="shared" si="27"/>
        <v>27140.599999999991</v>
      </c>
      <c r="W192" s="972"/>
      <c r="X192" s="972"/>
    </row>
    <row r="193" spans="1:25" s="979" customFormat="1" outlineLevel="1">
      <c r="A193" s="972"/>
      <c r="B193" s="973" t="s">
        <v>223</v>
      </c>
      <c r="C193" s="974"/>
      <c r="D193" s="975">
        <v>20351</v>
      </c>
      <c r="E193" s="975" t="s">
        <v>1900</v>
      </c>
      <c r="F193" s="976"/>
      <c r="G193" s="976"/>
      <c r="H193" s="972"/>
      <c r="I193" s="972"/>
      <c r="J193" s="977">
        <v>12501.68</v>
      </c>
      <c r="K193" s="972"/>
      <c r="L193" s="977">
        <v>0</v>
      </c>
      <c r="M193" s="972"/>
      <c r="N193" s="978">
        <v>0</v>
      </c>
      <c r="O193" s="972"/>
      <c r="P193" s="977">
        <f t="shared" si="25"/>
        <v>12501.68</v>
      </c>
      <c r="Q193" s="972"/>
      <c r="R193" s="977">
        <v>15831.15</v>
      </c>
      <c r="S193" s="977">
        <v>8334.4500000000007</v>
      </c>
      <c r="T193" s="977">
        <f t="shared" si="26"/>
        <v>12501.68</v>
      </c>
      <c r="U193" s="972"/>
      <c r="V193" s="978">
        <f t="shared" si="27"/>
        <v>4167.2299999999996</v>
      </c>
      <c r="W193" s="972"/>
      <c r="X193" s="972"/>
    </row>
    <row r="194" spans="1:25" s="979" customFormat="1" outlineLevel="1">
      <c r="A194" s="972"/>
      <c r="B194" s="973" t="s">
        <v>223</v>
      </c>
      <c r="C194" s="974"/>
      <c r="D194" s="975">
        <v>20360</v>
      </c>
      <c r="E194" s="975" t="s">
        <v>1901</v>
      </c>
      <c r="F194" s="976"/>
      <c r="G194" s="976"/>
      <c r="H194" s="972"/>
      <c r="I194" s="972"/>
      <c r="J194" s="977">
        <v>23688.15</v>
      </c>
      <c r="K194" s="972"/>
      <c r="L194" s="977">
        <v>0</v>
      </c>
      <c r="M194" s="972"/>
      <c r="N194" s="978">
        <v>0</v>
      </c>
      <c r="O194" s="972"/>
      <c r="P194" s="977">
        <f t="shared" si="25"/>
        <v>23688.15</v>
      </c>
      <c r="Q194" s="972"/>
      <c r="R194" s="977">
        <v>7896.05</v>
      </c>
      <c r="S194" s="977">
        <v>15792.1</v>
      </c>
      <c r="T194" s="977">
        <f t="shared" si="26"/>
        <v>23688.15</v>
      </c>
      <c r="U194" s="972"/>
      <c r="V194" s="978">
        <f t="shared" si="27"/>
        <v>7896.0500000000011</v>
      </c>
      <c r="W194" s="972"/>
      <c r="X194" s="972"/>
    </row>
    <row r="195" spans="1:25" s="979" customFormat="1" outlineLevel="1">
      <c r="A195" s="972"/>
      <c r="B195" s="973" t="s">
        <v>223</v>
      </c>
      <c r="C195" s="974"/>
      <c r="D195" s="975">
        <v>20397</v>
      </c>
      <c r="E195" s="975" t="s">
        <v>1902</v>
      </c>
      <c r="F195" s="976"/>
      <c r="G195" s="976"/>
      <c r="H195" s="972"/>
      <c r="I195" s="972"/>
      <c r="J195" s="977">
        <v>86.87</v>
      </c>
      <c r="K195" s="972"/>
      <c r="L195" s="977">
        <v>0</v>
      </c>
      <c r="M195" s="972"/>
      <c r="N195" s="978">
        <v>0</v>
      </c>
      <c r="O195" s="972"/>
      <c r="P195" s="977">
        <f t="shared" si="25"/>
        <v>86.87</v>
      </c>
      <c r="Q195" s="972"/>
      <c r="R195" s="977">
        <v>77.53</v>
      </c>
      <c r="S195" s="977">
        <v>77.53</v>
      </c>
      <c r="T195" s="977">
        <f t="shared" si="26"/>
        <v>86.87</v>
      </c>
      <c r="U195" s="972"/>
      <c r="V195" s="978">
        <f t="shared" si="27"/>
        <v>9.3400000000000034</v>
      </c>
      <c r="W195" s="972"/>
      <c r="X195" s="972"/>
    </row>
    <row r="196" spans="1:25" s="979" customFormat="1" outlineLevel="1">
      <c r="A196" s="972"/>
      <c r="B196" s="973" t="s">
        <v>223</v>
      </c>
      <c r="C196" s="974"/>
      <c r="D196" s="975">
        <v>20709</v>
      </c>
      <c r="E196" s="975" t="s">
        <v>1903</v>
      </c>
      <c r="F196" s="976"/>
      <c r="G196" s="976"/>
      <c r="H196" s="972"/>
      <c r="I196" s="972"/>
      <c r="J196" s="977">
        <v>7663983.46</v>
      </c>
      <c r="K196" s="972"/>
      <c r="L196" s="977">
        <v>0</v>
      </c>
      <c r="M196" s="972"/>
      <c r="N196" s="978">
        <v>0</v>
      </c>
      <c r="O196" s="972"/>
      <c r="P196" s="977">
        <f t="shared" si="25"/>
        <v>7663983.46</v>
      </c>
      <c r="Q196" s="972"/>
      <c r="R196" s="977">
        <v>4011616.34</v>
      </c>
      <c r="S196" s="977">
        <v>5867737.3300000001</v>
      </c>
      <c r="T196" s="977">
        <f t="shared" si="26"/>
        <v>7663983.46</v>
      </c>
      <c r="U196" s="972"/>
      <c r="V196" s="978">
        <f t="shared" si="27"/>
        <v>1796246.13</v>
      </c>
      <c r="W196" s="972"/>
      <c r="X196" s="972"/>
    </row>
    <row r="197" spans="1:25" s="979" customFormat="1" ht="4.5" customHeight="1" outlineLevel="1">
      <c r="A197" s="1008" t="s">
        <v>217</v>
      </c>
      <c r="B197" s="1008" t="s">
        <v>217</v>
      </c>
      <c r="C197" s="1008"/>
      <c r="D197" s="1019"/>
      <c r="E197" s="972"/>
      <c r="F197" s="972"/>
      <c r="G197" s="972"/>
      <c r="H197" s="972"/>
      <c r="I197" s="972"/>
      <c r="J197" s="1012"/>
      <c r="K197" s="972"/>
      <c r="L197" s="1012"/>
      <c r="M197" s="972"/>
      <c r="N197" s="1013"/>
      <c r="O197" s="972"/>
      <c r="P197" s="1012"/>
      <c r="Q197" s="972"/>
      <c r="R197" s="1012"/>
      <c r="S197" s="1012"/>
      <c r="T197" s="1012"/>
      <c r="U197" s="972"/>
      <c r="V197" s="1013"/>
      <c r="W197" s="972"/>
      <c r="X197" s="972"/>
      <c r="Y197" s="972"/>
    </row>
    <row r="198" spans="1:25" s="979" customFormat="1">
      <c r="A198" s="974" t="s">
        <v>1157</v>
      </c>
      <c r="B198" s="1008" t="s">
        <v>217</v>
      </c>
      <c r="C198" s="1008"/>
      <c r="D198" s="972"/>
      <c r="E198" s="972"/>
      <c r="F198" s="972" t="s">
        <v>1904</v>
      </c>
      <c r="G198" s="972"/>
      <c r="H198" s="972"/>
      <c r="I198" s="972"/>
      <c r="J198" s="1010">
        <f>SUM(J189:J197)</f>
        <v>8616394.3599999994</v>
      </c>
      <c r="K198" s="972"/>
      <c r="L198" s="1010">
        <f>SUM(L189:L197)</f>
        <v>0</v>
      </c>
      <c r="M198" s="972"/>
      <c r="N198" s="1011">
        <f>SUM(N189:N197)</f>
        <v>0</v>
      </c>
      <c r="O198" s="972"/>
      <c r="P198" s="1010">
        <f>J198+L198+N198</f>
        <v>8616394.3599999994</v>
      </c>
      <c r="Q198" s="972"/>
      <c r="R198" s="1010">
        <f>SUM(R189:R197)</f>
        <v>4698812.96</v>
      </c>
      <c r="S198" s="1010">
        <f>SUM(S189:S197)</f>
        <v>6701866.4299999997</v>
      </c>
      <c r="T198" s="1010">
        <f>SUM(T189:T197)</f>
        <v>8616394.3599999994</v>
      </c>
      <c r="U198" s="972"/>
      <c r="V198" s="1011">
        <f>SUM(V189:V197)</f>
        <v>1914527.93</v>
      </c>
      <c r="W198" s="972"/>
      <c r="X198" s="972"/>
      <c r="Y198" s="972"/>
    </row>
    <row r="199" spans="1:25" s="979" customFormat="1" ht="7.5" customHeight="1">
      <c r="A199" s="1008" t="s">
        <v>217</v>
      </c>
      <c r="B199" s="1008" t="s">
        <v>217</v>
      </c>
      <c r="C199" s="1008"/>
      <c r="D199" s="972"/>
      <c r="E199" s="972"/>
      <c r="F199" s="972"/>
      <c r="G199" s="972"/>
      <c r="H199" s="972"/>
      <c r="I199" s="972"/>
      <c r="J199" s="1015"/>
      <c r="K199" s="972"/>
      <c r="L199" s="1015"/>
      <c r="M199" s="972"/>
      <c r="N199" s="978"/>
      <c r="O199" s="972"/>
      <c r="P199" s="1015"/>
      <c r="Q199" s="972"/>
      <c r="R199" s="1015"/>
      <c r="S199" s="1015"/>
      <c r="T199" s="1015"/>
      <c r="U199" s="972"/>
      <c r="V199" s="978"/>
      <c r="W199" s="972"/>
      <c r="X199" s="972"/>
      <c r="Y199" s="972"/>
    </row>
    <row r="200" spans="1:25" s="979" customFormat="1">
      <c r="A200" s="1008" t="s">
        <v>217</v>
      </c>
      <c r="B200" s="1008" t="s">
        <v>217</v>
      </c>
      <c r="C200" s="1008"/>
      <c r="D200" s="972"/>
      <c r="E200" s="1016" t="s">
        <v>1905</v>
      </c>
      <c r="F200" s="972"/>
      <c r="G200" s="972"/>
      <c r="H200" s="972"/>
      <c r="I200" s="972"/>
      <c r="J200" s="1017">
        <f>SUM(J173,J185,J188,J198,J169)</f>
        <v>10994753.199999999</v>
      </c>
      <c r="K200" s="972"/>
      <c r="L200" s="1017">
        <f>SUM(L173,L185,L188,L198,L169)</f>
        <v>0</v>
      </c>
      <c r="M200" s="972"/>
      <c r="N200" s="1018">
        <f>SUM(N173,N185,N188,N198)</f>
        <v>0</v>
      </c>
      <c r="O200" s="972"/>
      <c r="P200" s="1017">
        <f>SUM(P173,P185,P188,P198,P169)</f>
        <v>10994753.199999999</v>
      </c>
      <c r="Q200" s="972"/>
      <c r="R200" s="1017">
        <f>SUM(R173,R185,R188,R198,R169)</f>
        <v>6945085.9199999999</v>
      </c>
      <c r="S200" s="1017">
        <f>SUM(S173,S185,S188,S198,S169)</f>
        <v>9104209.5700000003</v>
      </c>
      <c r="T200" s="1017">
        <f>SUM(T173,T185,T188,T198,T169)</f>
        <v>10994753.199999999</v>
      </c>
      <c r="U200" s="972"/>
      <c r="V200" s="1018">
        <f>SUM(V173,V185,V188,V198,V169)</f>
        <v>1890543.6299999997</v>
      </c>
      <c r="W200" s="972"/>
      <c r="X200" s="972"/>
      <c r="Y200" s="972"/>
    </row>
    <row r="201" spans="1:25" s="979" customFormat="1" ht="7.5" customHeight="1">
      <c r="A201" s="1008" t="s">
        <v>217</v>
      </c>
      <c r="B201" s="1008" t="s">
        <v>217</v>
      </c>
      <c r="C201" s="1008"/>
      <c r="D201" s="972"/>
      <c r="E201" s="972"/>
      <c r="F201" s="972"/>
      <c r="G201" s="972"/>
      <c r="H201" s="972"/>
      <c r="I201" s="972"/>
      <c r="J201" s="1015"/>
      <c r="K201" s="972"/>
      <c r="L201" s="1015"/>
      <c r="M201" s="972"/>
      <c r="N201" s="978"/>
      <c r="O201" s="972"/>
      <c r="P201" s="1015"/>
      <c r="Q201" s="972"/>
      <c r="R201" s="1015"/>
      <c r="S201" s="1015"/>
      <c r="T201" s="1015"/>
      <c r="U201" s="972"/>
      <c r="V201" s="978"/>
      <c r="W201" s="972"/>
      <c r="X201" s="972"/>
      <c r="Y201" s="972"/>
    </row>
    <row r="202" spans="1:25" s="979" customFormat="1" outlineLevel="1">
      <c r="A202" s="1008" t="s">
        <v>217</v>
      </c>
      <c r="B202" s="1008" t="s">
        <v>217</v>
      </c>
      <c r="C202" s="1008"/>
      <c r="D202" s="972"/>
      <c r="E202" s="972"/>
      <c r="F202" s="972"/>
      <c r="G202" s="972"/>
      <c r="H202" s="972"/>
      <c r="I202" s="972"/>
      <c r="J202" s="1015"/>
      <c r="K202" s="972"/>
      <c r="L202" s="1015"/>
      <c r="M202" s="972"/>
      <c r="N202" s="978"/>
      <c r="O202" s="972"/>
      <c r="P202" s="1015"/>
      <c r="Q202" s="972"/>
      <c r="R202" s="1015"/>
      <c r="S202" s="1015"/>
      <c r="T202" s="1015"/>
      <c r="U202" s="972"/>
      <c r="V202" s="978"/>
      <c r="W202" s="972"/>
      <c r="X202" s="972"/>
      <c r="Y202" s="972"/>
    </row>
    <row r="203" spans="1:25" s="979" customFormat="1" outlineLevel="1">
      <c r="A203" s="972"/>
      <c r="B203" s="973" t="s">
        <v>1906</v>
      </c>
      <c r="C203" s="974"/>
      <c r="D203" s="975">
        <v>21609</v>
      </c>
      <c r="E203" s="975" t="s">
        <v>1907</v>
      </c>
      <c r="F203" s="976"/>
      <c r="G203" s="976"/>
      <c r="H203" s="972"/>
      <c r="I203" s="972"/>
      <c r="J203" s="977">
        <v>371427164.10000002</v>
      </c>
      <c r="K203" s="972"/>
      <c r="L203" s="977">
        <v>0</v>
      </c>
      <c r="M203" s="972"/>
      <c r="N203" s="978">
        <v>0</v>
      </c>
      <c r="O203" s="972"/>
      <c r="P203" s="977">
        <f>J203+L203+N203</f>
        <v>371427164.10000002</v>
      </c>
      <c r="Q203" s="972"/>
      <c r="R203" s="977">
        <v>371427164.10000002</v>
      </c>
      <c r="S203" s="977">
        <v>371427164.10000002</v>
      </c>
      <c r="T203" s="977">
        <f>P203</f>
        <v>371427164.10000002</v>
      </c>
      <c r="U203" s="972"/>
      <c r="V203" s="978">
        <f>T203-S203</f>
        <v>0</v>
      </c>
      <c r="W203" s="972"/>
      <c r="X203" s="972"/>
    </row>
    <row r="204" spans="1:25" s="979" customFormat="1" ht="5.0999999999999996" customHeight="1" outlineLevel="1">
      <c r="A204" s="1008" t="s">
        <v>217</v>
      </c>
      <c r="B204" s="1008" t="s">
        <v>217</v>
      </c>
      <c r="C204" s="1008"/>
      <c r="D204" s="976"/>
      <c r="E204" s="976"/>
      <c r="F204" s="976"/>
      <c r="G204" s="976"/>
      <c r="H204" s="972"/>
      <c r="I204" s="972"/>
      <c r="J204" s="1012"/>
      <c r="K204" s="972"/>
      <c r="L204" s="1012"/>
      <c r="M204" s="972"/>
      <c r="N204" s="1013"/>
      <c r="O204" s="972"/>
      <c r="P204" s="1012"/>
      <c r="Q204" s="972"/>
      <c r="R204" s="1012"/>
      <c r="S204" s="1012"/>
      <c r="T204" s="1012"/>
      <c r="U204" s="972"/>
      <c r="V204" s="1013"/>
      <c r="W204" s="972"/>
      <c r="X204" s="972"/>
      <c r="Y204" s="972"/>
    </row>
    <row r="205" spans="1:25" s="979" customFormat="1">
      <c r="A205" s="974" t="s">
        <v>1906</v>
      </c>
      <c r="B205" s="1008" t="s">
        <v>217</v>
      </c>
      <c r="C205" s="1008"/>
      <c r="D205" s="972"/>
      <c r="E205" s="972"/>
      <c r="F205" s="975" t="s">
        <v>1908</v>
      </c>
      <c r="G205" s="972"/>
      <c r="H205" s="972"/>
      <c r="I205" s="972"/>
      <c r="J205" s="1010">
        <f>SUM(J203:J204)</f>
        <v>371427164.10000002</v>
      </c>
      <c r="K205" s="972"/>
      <c r="L205" s="1010">
        <f>SUM(L203:L204)</f>
        <v>0</v>
      </c>
      <c r="M205" s="972"/>
      <c r="N205" s="1011">
        <f>SUM(N203:N204)</f>
        <v>0</v>
      </c>
      <c r="O205" s="972"/>
      <c r="P205" s="1010">
        <f>J205+L205+N205</f>
        <v>371427164.10000002</v>
      </c>
      <c r="Q205" s="972"/>
      <c r="R205" s="1010">
        <f>SUM(R203:R204)</f>
        <v>371427164.10000002</v>
      </c>
      <c r="S205" s="1010">
        <f>SUM(S203:S204)</f>
        <v>371427164.10000002</v>
      </c>
      <c r="T205" s="1010">
        <f>SUM(T203:T204)</f>
        <v>371427164.10000002</v>
      </c>
      <c r="U205" s="972"/>
      <c r="V205" s="1011">
        <f>SUM(V203:V204)</f>
        <v>0</v>
      </c>
      <c r="W205" s="972"/>
      <c r="X205" s="972"/>
      <c r="Y205" s="972"/>
    </row>
    <row r="206" spans="1:25" s="979" customFormat="1" outlineLevel="1">
      <c r="A206" s="972"/>
      <c r="B206" s="973" t="s">
        <v>1155</v>
      </c>
      <c r="C206" s="974"/>
      <c r="D206" s="975"/>
      <c r="E206" s="975"/>
      <c r="F206" s="976"/>
      <c r="G206" s="976"/>
      <c r="H206" s="972"/>
      <c r="I206" s="972"/>
      <c r="J206" s="977"/>
      <c r="K206" s="972"/>
      <c r="L206" s="977"/>
      <c r="M206" s="972"/>
      <c r="N206" s="978"/>
      <c r="O206" s="972"/>
      <c r="P206" s="977">
        <f>J206+L206+N206</f>
        <v>0</v>
      </c>
      <c r="Q206" s="972"/>
      <c r="R206" s="977"/>
      <c r="S206" s="977"/>
      <c r="T206" s="977">
        <f>P206</f>
        <v>0</v>
      </c>
      <c r="U206" s="972"/>
      <c r="V206" s="978">
        <f>T206-S206</f>
        <v>0</v>
      </c>
      <c r="W206" s="972"/>
      <c r="X206" s="972"/>
    </row>
    <row r="207" spans="1:25" s="979" customFormat="1" ht="5.0999999999999996" customHeight="1" outlineLevel="1">
      <c r="A207" s="1008" t="s">
        <v>217</v>
      </c>
      <c r="B207" s="1008" t="s">
        <v>217</v>
      </c>
      <c r="C207" s="1008"/>
      <c r="D207" s="976"/>
      <c r="E207" s="976"/>
      <c r="F207" s="976"/>
      <c r="G207" s="976"/>
      <c r="H207" s="972"/>
      <c r="I207" s="972"/>
      <c r="J207" s="1012"/>
      <c r="K207" s="972"/>
      <c r="L207" s="1012"/>
      <c r="M207" s="972"/>
      <c r="N207" s="1013"/>
      <c r="O207" s="972"/>
      <c r="P207" s="1012"/>
      <c r="Q207" s="972"/>
      <c r="R207" s="1012"/>
      <c r="S207" s="1012"/>
      <c r="T207" s="1012"/>
      <c r="U207" s="972"/>
      <c r="V207" s="1013"/>
      <c r="W207" s="972"/>
      <c r="X207" s="972"/>
      <c r="Y207" s="972"/>
    </row>
    <row r="208" spans="1:25" s="979" customFormat="1">
      <c r="A208" s="974" t="s">
        <v>1155</v>
      </c>
      <c r="B208" s="1008" t="s">
        <v>217</v>
      </c>
      <c r="C208" s="1008"/>
      <c r="D208" s="972"/>
      <c r="E208" s="972"/>
      <c r="F208" s="975" t="s">
        <v>1909</v>
      </c>
      <c r="G208" s="972"/>
      <c r="H208" s="972"/>
      <c r="I208" s="972"/>
      <c r="J208" s="1010">
        <f>SUM(J206:J207)</f>
        <v>0</v>
      </c>
      <c r="K208" s="972"/>
      <c r="L208" s="1010">
        <f>SUM(L206:L207)</f>
        <v>0</v>
      </c>
      <c r="M208" s="972"/>
      <c r="N208" s="1011">
        <f>SUM(N206:N207)</f>
        <v>0</v>
      </c>
      <c r="O208" s="972"/>
      <c r="P208" s="1010">
        <f>J208+L208+N208</f>
        <v>0</v>
      </c>
      <c r="Q208" s="972"/>
      <c r="R208" s="1010">
        <f>SUM(R206:R207)</f>
        <v>0</v>
      </c>
      <c r="S208" s="1010">
        <f>SUM(S206:S207)</f>
        <v>0</v>
      </c>
      <c r="T208" s="1010">
        <f>SUM(T206:T207)</f>
        <v>0</v>
      </c>
      <c r="U208" s="972"/>
      <c r="V208" s="1011">
        <f>SUM(V206:V207)</f>
        <v>0</v>
      </c>
      <c r="W208" s="972"/>
      <c r="X208" s="972"/>
      <c r="Y208" s="972"/>
    </row>
    <row r="209" spans="1:25" s="979" customFormat="1" outlineLevel="1">
      <c r="A209" s="972"/>
      <c r="B209" s="973" t="s">
        <v>1172</v>
      </c>
      <c r="C209" s="974"/>
      <c r="D209" s="975">
        <v>22016</v>
      </c>
      <c r="E209" s="975" t="s">
        <v>1910</v>
      </c>
      <c r="F209" s="976"/>
      <c r="G209" s="976"/>
      <c r="H209" s="972"/>
      <c r="I209" s="972"/>
      <c r="J209" s="977">
        <v>0</v>
      </c>
      <c r="K209" s="972"/>
      <c r="L209" s="977">
        <v>0</v>
      </c>
      <c r="M209" s="972"/>
      <c r="N209" s="978">
        <v>0</v>
      </c>
      <c r="O209" s="972"/>
      <c r="P209" s="977">
        <f>J209+L209+N209</f>
        <v>0</v>
      </c>
      <c r="Q209" s="972"/>
      <c r="R209" s="977">
        <v>0</v>
      </c>
      <c r="S209" s="977">
        <v>0</v>
      </c>
      <c r="T209" s="977">
        <f>P209</f>
        <v>0</v>
      </c>
      <c r="U209" s="972"/>
      <c r="V209" s="978">
        <f>T209-S209</f>
        <v>0</v>
      </c>
      <c r="W209" s="972"/>
      <c r="X209" s="972"/>
    </row>
    <row r="210" spans="1:25" s="979" customFormat="1" ht="5.0999999999999996" customHeight="1" outlineLevel="1">
      <c r="A210" s="1008" t="s">
        <v>217</v>
      </c>
      <c r="B210" s="974" t="s">
        <v>217</v>
      </c>
      <c r="C210" s="974"/>
      <c r="D210" s="976"/>
      <c r="E210" s="976"/>
      <c r="F210" s="976"/>
      <c r="G210" s="976"/>
      <c r="H210" s="972"/>
      <c r="I210" s="972"/>
      <c r="J210" s="1012"/>
      <c r="K210" s="972"/>
      <c r="L210" s="1012"/>
      <c r="M210" s="972"/>
      <c r="N210" s="1013"/>
      <c r="O210" s="972"/>
      <c r="P210" s="1012"/>
      <c r="Q210" s="972"/>
      <c r="R210" s="1012"/>
      <c r="S210" s="1012"/>
      <c r="T210" s="1012"/>
      <c r="U210" s="972"/>
      <c r="V210" s="1013"/>
      <c r="W210" s="972"/>
      <c r="X210" s="972"/>
      <c r="Y210" s="972"/>
    </row>
    <row r="211" spans="1:25" s="979" customFormat="1">
      <c r="A211" s="974" t="s">
        <v>1172</v>
      </c>
      <c r="B211" s="974" t="s">
        <v>217</v>
      </c>
      <c r="C211" s="974"/>
      <c r="D211" s="972"/>
      <c r="E211" s="972"/>
      <c r="F211" s="975" t="s">
        <v>1911</v>
      </c>
      <c r="G211" s="972"/>
      <c r="H211" s="972"/>
      <c r="I211" s="972"/>
      <c r="J211" s="1010">
        <f>SUM(J209:J210)</f>
        <v>0</v>
      </c>
      <c r="K211" s="972"/>
      <c r="L211" s="1010">
        <f>SUM(L209:L210)</f>
        <v>0</v>
      </c>
      <c r="M211" s="972"/>
      <c r="N211" s="1011">
        <f>SUM(N209:N210)</f>
        <v>0</v>
      </c>
      <c r="O211" s="972"/>
      <c r="P211" s="1010">
        <f>J211+L211+N211</f>
        <v>0</v>
      </c>
      <c r="Q211" s="972"/>
      <c r="R211" s="1010">
        <f>SUM(R209:R210)</f>
        <v>0</v>
      </c>
      <c r="S211" s="1010">
        <f>SUM(S209:S210)</f>
        <v>0</v>
      </c>
      <c r="T211" s="1010">
        <f>SUM(T209:T210)</f>
        <v>0</v>
      </c>
      <c r="U211" s="972"/>
      <c r="V211" s="1011">
        <f>SUM(V209:V210)</f>
        <v>0</v>
      </c>
      <c r="W211" s="972"/>
      <c r="X211" s="972"/>
      <c r="Y211" s="972"/>
    </row>
    <row r="212" spans="1:25" s="979" customFormat="1" outlineLevel="1">
      <c r="A212" s="972"/>
      <c r="B212" s="973" t="s">
        <v>1912</v>
      </c>
      <c r="C212" s="974"/>
      <c r="D212" s="975"/>
      <c r="E212" s="975"/>
      <c r="F212" s="976"/>
      <c r="G212" s="976"/>
      <c r="H212" s="972"/>
      <c r="I212" s="972"/>
      <c r="J212" s="977"/>
      <c r="K212" s="972"/>
      <c r="L212" s="977"/>
      <c r="M212" s="972"/>
      <c r="N212" s="978"/>
      <c r="O212" s="972"/>
      <c r="P212" s="977">
        <f>J212+L212+N212</f>
        <v>0</v>
      </c>
      <c r="Q212" s="972"/>
      <c r="R212" s="977"/>
      <c r="S212" s="977"/>
      <c r="T212" s="977">
        <f>P212</f>
        <v>0</v>
      </c>
      <c r="U212" s="972"/>
      <c r="V212" s="978">
        <f>T212-S212</f>
        <v>0</v>
      </c>
      <c r="W212" s="972"/>
      <c r="X212" s="972"/>
    </row>
    <row r="213" spans="1:25" s="979" customFormat="1" ht="5.0999999999999996" customHeight="1" outlineLevel="1">
      <c r="A213" s="974" t="s">
        <v>217</v>
      </c>
      <c r="B213" s="1008"/>
      <c r="C213" s="1008"/>
      <c r="D213" s="975"/>
      <c r="E213" s="975"/>
      <c r="F213" s="972"/>
      <c r="G213" s="972"/>
      <c r="H213" s="972"/>
      <c r="I213" s="972"/>
      <c r="J213" s="1012"/>
      <c r="K213" s="972"/>
      <c r="L213" s="1012"/>
      <c r="M213" s="972"/>
      <c r="N213" s="1013"/>
      <c r="O213" s="972"/>
      <c r="P213" s="1012"/>
      <c r="Q213" s="972"/>
      <c r="R213" s="1012"/>
      <c r="S213" s="1012"/>
      <c r="T213" s="1012"/>
      <c r="U213" s="972"/>
      <c r="V213" s="1013"/>
      <c r="W213" s="972"/>
      <c r="X213" s="972"/>
      <c r="Y213" s="972"/>
    </row>
    <row r="214" spans="1:25" s="979" customFormat="1" ht="12.75" customHeight="1">
      <c r="A214" s="974" t="s">
        <v>1912</v>
      </c>
      <c r="B214" s="1008" t="s">
        <v>217</v>
      </c>
      <c r="C214" s="1008"/>
      <c r="D214" s="972"/>
      <c r="E214" s="972"/>
      <c r="F214" s="972" t="s">
        <v>1913</v>
      </c>
      <c r="G214" s="972"/>
      <c r="H214" s="972"/>
      <c r="I214" s="972"/>
      <c r="J214" s="1010">
        <f>SUM(J212:J213)</f>
        <v>0</v>
      </c>
      <c r="K214" s="972"/>
      <c r="L214" s="1010">
        <f>SUM(L212:L213)</f>
        <v>0</v>
      </c>
      <c r="M214" s="972"/>
      <c r="N214" s="1011">
        <f>SUM(N212:N213)</f>
        <v>0</v>
      </c>
      <c r="O214" s="972"/>
      <c r="P214" s="1010">
        <f>J214+L214+N214</f>
        <v>0</v>
      </c>
      <c r="Q214" s="972"/>
      <c r="R214" s="1010">
        <f>SUM(R212:R213)</f>
        <v>0</v>
      </c>
      <c r="S214" s="1010">
        <f>SUM(S212:S213)</f>
        <v>0</v>
      </c>
      <c r="T214" s="1010">
        <f>SUM(T212:T213)</f>
        <v>0</v>
      </c>
      <c r="U214" s="972"/>
      <c r="V214" s="1011">
        <f>SUM(V212:V213)</f>
        <v>0</v>
      </c>
      <c r="W214" s="972"/>
      <c r="X214" s="972"/>
      <c r="Y214" s="972"/>
    </row>
    <row r="215" spans="1:25" s="979" customFormat="1" outlineLevel="1">
      <c r="A215" s="972"/>
      <c r="B215" s="973" t="s">
        <v>1170</v>
      </c>
      <c r="C215" s="974"/>
      <c r="D215" s="975"/>
      <c r="E215" s="975"/>
      <c r="F215" s="976"/>
      <c r="G215" s="976"/>
      <c r="H215" s="972"/>
      <c r="I215" s="972"/>
      <c r="J215" s="977"/>
      <c r="K215" s="972"/>
      <c r="L215" s="977"/>
      <c r="M215" s="972"/>
      <c r="N215" s="978"/>
      <c r="O215" s="972"/>
      <c r="P215" s="977">
        <f>J215+L215+N215</f>
        <v>0</v>
      </c>
      <c r="Q215" s="972"/>
      <c r="R215" s="977"/>
      <c r="S215" s="977"/>
      <c r="T215" s="977">
        <f>P215</f>
        <v>0</v>
      </c>
      <c r="U215" s="972"/>
      <c r="V215" s="978">
        <f>T215-S215</f>
        <v>0</v>
      </c>
      <c r="W215" s="972"/>
      <c r="X215" s="972"/>
    </row>
    <row r="216" spans="1:25" s="979" customFormat="1" ht="5.0999999999999996" customHeight="1" outlineLevel="1">
      <c r="A216" s="1008" t="s">
        <v>217</v>
      </c>
      <c r="B216" s="974" t="s">
        <v>217</v>
      </c>
      <c r="C216" s="974"/>
      <c r="D216" s="976"/>
      <c r="E216" s="976"/>
      <c r="F216" s="976"/>
      <c r="G216" s="976"/>
      <c r="H216" s="972"/>
      <c r="I216" s="972"/>
      <c r="J216" s="1012"/>
      <c r="K216" s="972"/>
      <c r="L216" s="1012"/>
      <c r="M216" s="972"/>
      <c r="N216" s="1013"/>
      <c r="O216" s="972"/>
      <c r="P216" s="1012"/>
      <c r="Q216" s="972"/>
      <c r="R216" s="1012"/>
      <c r="S216" s="1012"/>
      <c r="T216" s="1012"/>
      <c r="U216" s="972"/>
      <c r="V216" s="1013"/>
      <c r="W216" s="972"/>
      <c r="X216" s="972"/>
      <c r="Y216" s="972"/>
    </row>
    <row r="217" spans="1:25" s="979" customFormat="1">
      <c r="A217" s="974" t="s">
        <v>1170</v>
      </c>
      <c r="B217" s="974" t="s">
        <v>217</v>
      </c>
      <c r="C217" s="974"/>
      <c r="D217" s="972"/>
      <c r="E217" s="972"/>
      <c r="F217" s="975" t="s">
        <v>1914</v>
      </c>
      <c r="G217" s="972"/>
      <c r="H217" s="972"/>
      <c r="I217" s="972"/>
      <c r="J217" s="1010">
        <f>SUM(J215:J216)</f>
        <v>0</v>
      </c>
      <c r="K217" s="972"/>
      <c r="L217" s="1010">
        <f>SUM(L215:L216)</f>
        <v>0</v>
      </c>
      <c r="M217" s="972"/>
      <c r="N217" s="1011">
        <f>SUM(N215:N216)</f>
        <v>0</v>
      </c>
      <c r="O217" s="972"/>
      <c r="P217" s="1010">
        <f>J217+L217+N217</f>
        <v>0</v>
      </c>
      <c r="Q217" s="972"/>
      <c r="R217" s="1010">
        <f>SUM(R215:R216)</f>
        <v>0</v>
      </c>
      <c r="S217" s="1010">
        <f>SUM(S215:S216)</f>
        <v>0</v>
      </c>
      <c r="T217" s="1010">
        <f>SUM(T215:T216)</f>
        <v>0</v>
      </c>
      <c r="U217" s="972"/>
      <c r="V217" s="1011">
        <f>SUM(V215:V216)</f>
        <v>0</v>
      </c>
      <c r="W217" s="972"/>
      <c r="X217" s="972"/>
      <c r="Y217" s="972"/>
    </row>
    <row r="218" spans="1:25" s="979" customFormat="1" outlineLevel="1">
      <c r="A218" s="972"/>
      <c r="B218" s="973" t="s">
        <v>1915</v>
      </c>
      <c r="C218" s="974"/>
      <c r="D218" s="975"/>
      <c r="E218" s="975"/>
      <c r="F218" s="976"/>
      <c r="G218" s="976"/>
      <c r="H218" s="972"/>
      <c r="I218" s="972"/>
      <c r="J218" s="977"/>
      <c r="K218" s="972"/>
      <c r="L218" s="977"/>
      <c r="M218" s="972"/>
      <c r="N218" s="978"/>
      <c r="O218" s="972"/>
      <c r="P218" s="977">
        <f>J218+L218+N218</f>
        <v>0</v>
      </c>
      <c r="Q218" s="972"/>
      <c r="R218" s="977"/>
      <c r="S218" s="977"/>
      <c r="T218" s="977">
        <f>P218</f>
        <v>0</v>
      </c>
      <c r="U218" s="972"/>
      <c r="V218" s="978">
        <f>T218-S218</f>
        <v>0</v>
      </c>
      <c r="W218" s="972"/>
      <c r="X218" s="972"/>
    </row>
    <row r="219" spans="1:25" s="979" customFormat="1" ht="5.0999999999999996" customHeight="1" outlineLevel="1">
      <c r="A219" s="974" t="s">
        <v>217</v>
      </c>
      <c r="B219" s="974" t="s">
        <v>217</v>
      </c>
      <c r="C219" s="974"/>
      <c r="D219" s="976"/>
      <c r="E219" s="976"/>
      <c r="F219" s="976"/>
      <c r="G219" s="976"/>
      <c r="H219" s="972"/>
      <c r="I219" s="972"/>
      <c r="J219" s="1012"/>
      <c r="K219" s="972"/>
      <c r="L219" s="1012"/>
      <c r="M219" s="972"/>
      <c r="N219" s="1013"/>
      <c r="O219" s="972"/>
      <c r="P219" s="1012"/>
      <c r="Q219" s="972"/>
      <c r="R219" s="1012"/>
      <c r="S219" s="1012"/>
      <c r="T219" s="1012"/>
      <c r="U219" s="972"/>
      <c r="V219" s="1013"/>
      <c r="W219" s="972"/>
      <c r="X219" s="972"/>
      <c r="Y219" s="972"/>
    </row>
    <row r="220" spans="1:25" s="979" customFormat="1">
      <c r="A220" s="974" t="s">
        <v>1915</v>
      </c>
      <c r="B220" s="974" t="s">
        <v>217</v>
      </c>
      <c r="C220" s="974"/>
      <c r="D220" s="972"/>
      <c r="E220" s="972"/>
      <c r="F220" s="975" t="s">
        <v>1916</v>
      </c>
      <c r="G220" s="972"/>
      <c r="H220" s="972"/>
      <c r="I220" s="972"/>
      <c r="J220" s="1010">
        <f>SUM(J218:J219)</f>
        <v>0</v>
      </c>
      <c r="K220" s="972"/>
      <c r="L220" s="1010">
        <f>SUM(L218:L219)</f>
        <v>0</v>
      </c>
      <c r="M220" s="972"/>
      <c r="N220" s="1011">
        <f>SUM(N218:N219)</f>
        <v>0</v>
      </c>
      <c r="O220" s="972"/>
      <c r="P220" s="1010">
        <f>J220+L220+N220</f>
        <v>0</v>
      </c>
      <c r="Q220" s="972"/>
      <c r="R220" s="1010">
        <f>SUM(R218:R219)</f>
        <v>0</v>
      </c>
      <c r="S220" s="1010">
        <f>SUM(S218:S219)</f>
        <v>0</v>
      </c>
      <c r="T220" s="1010">
        <f>SUM(T218:T219)</f>
        <v>0</v>
      </c>
      <c r="U220" s="972"/>
      <c r="V220" s="1011">
        <f>SUM(V218:V219)</f>
        <v>0</v>
      </c>
      <c r="W220" s="972"/>
      <c r="X220" s="972"/>
      <c r="Y220" s="972"/>
    </row>
    <row r="221" spans="1:25" s="979" customFormat="1" outlineLevel="1">
      <c r="A221" s="972"/>
      <c r="B221" s="973" t="s">
        <v>1917</v>
      </c>
      <c r="C221" s="974"/>
      <c r="D221" s="975"/>
      <c r="E221" s="975"/>
      <c r="F221" s="976"/>
      <c r="G221" s="976"/>
      <c r="H221" s="972"/>
      <c r="I221" s="972"/>
      <c r="J221" s="977"/>
      <c r="K221" s="972"/>
      <c r="L221" s="977"/>
      <c r="M221" s="972"/>
      <c r="N221" s="978"/>
      <c r="O221" s="972"/>
      <c r="P221" s="977">
        <f>J221+L221+N221</f>
        <v>0</v>
      </c>
      <c r="Q221" s="972"/>
      <c r="R221" s="977"/>
      <c r="S221" s="977"/>
      <c r="T221" s="977">
        <f>P221</f>
        <v>0</v>
      </c>
      <c r="U221" s="972"/>
      <c r="V221" s="978">
        <f>T221-S221</f>
        <v>0</v>
      </c>
      <c r="W221" s="972"/>
      <c r="X221" s="972"/>
    </row>
    <row r="222" spans="1:25" s="979" customFormat="1" ht="5.0999999999999996" customHeight="1" outlineLevel="1">
      <c r="A222" s="1008" t="s">
        <v>217</v>
      </c>
      <c r="B222" s="1008" t="s">
        <v>217</v>
      </c>
      <c r="C222" s="1008"/>
      <c r="D222" s="976"/>
      <c r="E222" s="976"/>
      <c r="F222" s="976"/>
      <c r="G222" s="976"/>
      <c r="H222" s="972"/>
      <c r="I222" s="972"/>
      <c r="J222" s="1012"/>
      <c r="K222" s="972"/>
      <c r="L222" s="1012"/>
      <c r="M222" s="972"/>
      <c r="N222" s="1013"/>
      <c r="O222" s="972"/>
      <c r="P222" s="1012"/>
      <c r="Q222" s="972"/>
      <c r="R222" s="1012"/>
      <c r="S222" s="1012"/>
      <c r="T222" s="1012"/>
      <c r="U222" s="972"/>
      <c r="V222" s="1013"/>
      <c r="W222" s="972"/>
      <c r="X222" s="972"/>
      <c r="Y222" s="972"/>
    </row>
    <row r="223" spans="1:25" s="979" customFormat="1">
      <c r="A223" s="974" t="s">
        <v>1917</v>
      </c>
      <c r="B223" s="974" t="s">
        <v>217</v>
      </c>
      <c r="C223" s="974"/>
      <c r="D223" s="972"/>
      <c r="E223" s="972"/>
      <c r="F223" s="975" t="s">
        <v>1918</v>
      </c>
      <c r="G223" s="972"/>
      <c r="H223" s="972"/>
      <c r="I223" s="972"/>
      <c r="J223" s="1010">
        <f>SUM(J221:J222)</f>
        <v>0</v>
      </c>
      <c r="K223" s="972"/>
      <c r="L223" s="1010">
        <f>SUM(L221:L222)</f>
        <v>0</v>
      </c>
      <c r="M223" s="972"/>
      <c r="N223" s="1011">
        <f>SUM(N221:N222)</f>
        <v>0</v>
      </c>
      <c r="O223" s="972"/>
      <c r="P223" s="1010">
        <f>J223+L223+N223</f>
        <v>0</v>
      </c>
      <c r="Q223" s="972"/>
      <c r="R223" s="1010">
        <f>SUM(R221:R222)</f>
        <v>0</v>
      </c>
      <c r="S223" s="1010">
        <f>SUM(S221:S222)</f>
        <v>0</v>
      </c>
      <c r="T223" s="1010">
        <f>SUM(T221:T222)</f>
        <v>0</v>
      </c>
      <c r="U223" s="972"/>
      <c r="V223" s="1011">
        <f>SUM(V221:V222)</f>
        <v>0</v>
      </c>
      <c r="W223" s="972"/>
      <c r="X223" s="972"/>
      <c r="Y223" s="972"/>
    </row>
    <row r="224" spans="1:25" s="979" customFormat="1" ht="7.5" customHeight="1">
      <c r="A224" s="974" t="s">
        <v>217</v>
      </c>
      <c r="B224" s="974" t="s">
        <v>217</v>
      </c>
      <c r="C224" s="974"/>
      <c r="D224" s="972"/>
      <c r="E224" s="972"/>
      <c r="F224" s="972"/>
      <c r="G224" s="972"/>
      <c r="H224" s="972"/>
      <c r="I224" s="972"/>
      <c r="J224" s="1015"/>
      <c r="K224" s="972"/>
      <c r="L224" s="1015"/>
      <c r="M224" s="972"/>
      <c r="N224" s="978"/>
      <c r="O224" s="972"/>
      <c r="P224" s="1015"/>
      <c r="Q224" s="972"/>
      <c r="R224" s="1015"/>
      <c r="S224" s="1015"/>
      <c r="T224" s="1015"/>
      <c r="U224" s="972"/>
      <c r="V224" s="978"/>
      <c r="W224" s="972"/>
      <c r="X224" s="972"/>
      <c r="Y224" s="972"/>
    </row>
    <row r="225" spans="1:25" s="979" customFormat="1">
      <c r="A225" s="974" t="s">
        <v>217</v>
      </c>
      <c r="B225" s="974" t="s">
        <v>217</v>
      </c>
      <c r="C225" s="974"/>
      <c r="D225" s="972"/>
      <c r="E225" s="1016" t="s">
        <v>1919</v>
      </c>
      <c r="F225" s="972"/>
      <c r="G225" s="972"/>
      <c r="H225" s="972"/>
      <c r="I225" s="972"/>
      <c r="J225" s="1017">
        <f>SUM(J205,J211,J220,J200,J208,J217,J214)</f>
        <v>382421917.30000001</v>
      </c>
      <c r="K225" s="972"/>
      <c r="L225" s="1017">
        <f>SUM(L205,L211,L220,L200,L208,L217,L214)</f>
        <v>0</v>
      </c>
      <c r="M225" s="972"/>
      <c r="N225" s="1018">
        <f>SUM(N205,N211,N220,N200,N208,N217,N214)</f>
        <v>0</v>
      </c>
      <c r="O225" s="972"/>
      <c r="P225" s="1017">
        <f>SUM(P205,P211,P220,P200,P208,P217,P214)</f>
        <v>382421917.30000001</v>
      </c>
      <c r="Q225" s="972"/>
      <c r="R225" s="1017">
        <f>SUM(R205,R211,R220,R200,R208,R217,R214)</f>
        <v>378372250.02000004</v>
      </c>
      <c r="S225" s="1017">
        <f>SUM(S205,S211,S220,S200,S208,S217,S214)</f>
        <v>380531373.67000002</v>
      </c>
      <c r="T225" s="1017">
        <f>SUM(T205,T211,T220,T200,T208,T217,T214)</f>
        <v>382421917.30000001</v>
      </c>
      <c r="U225" s="972"/>
      <c r="V225" s="1018">
        <f>SUM(V205,V211,V220,V200,V208,V217,V214)</f>
        <v>1890543.6299999997</v>
      </c>
      <c r="W225" s="972"/>
      <c r="X225" s="972"/>
      <c r="Y225" s="972"/>
    </row>
    <row r="226" spans="1:25" s="979" customFormat="1" ht="7.5" customHeight="1">
      <c r="A226" s="974" t="s">
        <v>217</v>
      </c>
      <c r="B226" s="974" t="s">
        <v>217</v>
      </c>
      <c r="C226" s="974"/>
      <c r="D226" s="972"/>
      <c r="E226" s="972"/>
      <c r="F226" s="972"/>
      <c r="G226" s="972"/>
      <c r="H226" s="972"/>
      <c r="I226" s="972"/>
      <c r="J226" s="1015"/>
      <c r="K226" s="972"/>
      <c r="L226" s="1015"/>
      <c r="M226" s="972"/>
      <c r="N226" s="978"/>
      <c r="O226" s="972"/>
      <c r="P226" s="1015"/>
      <c r="Q226" s="972"/>
      <c r="R226" s="1015"/>
      <c r="S226" s="1015"/>
      <c r="T226" s="1015"/>
      <c r="U226" s="972"/>
      <c r="V226" s="978"/>
      <c r="W226" s="972"/>
      <c r="X226" s="972"/>
      <c r="Y226" s="972"/>
    </row>
    <row r="227" spans="1:25" s="979" customFormat="1" outlineLevel="1">
      <c r="A227" s="972"/>
      <c r="B227" s="973" t="s">
        <v>1176</v>
      </c>
      <c r="C227" s="974"/>
      <c r="D227" s="975"/>
      <c r="E227" s="975"/>
      <c r="F227" s="976"/>
      <c r="G227" s="976"/>
      <c r="H227" s="972"/>
      <c r="I227" s="972"/>
      <c r="J227" s="977"/>
      <c r="K227" s="972"/>
      <c r="L227" s="977"/>
      <c r="M227" s="972"/>
      <c r="N227" s="978"/>
      <c r="O227" s="972"/>
      <c r="P227" s="977">
        <f>J227+L227+N227</f>
        <v>0</v>
      </c>
      <c r="Q227" s="972"/>
      <c r="R227" s="977"/>
      <c r="S227" s="977"/>
      <c r="T227" s="977">
        <f>P227</f>
        <v>0</v>
      </c>
      <c r="U227" s="972"/>
      <c r="V227" s="978">
        <f>T227-S227</f>
        <v>0</v>
      </c>
      <c r="W227" s="972"/>
      <c r="X227" s="972"/>
    </row>
    <row r="228" spans="1:25" s="979" customFormat="1" ht="5.0999999999999996" customHeight="1" outlineLevel="1">
      <c r="A228" s="974" t="s">
        <v>217</v>
      </c>
      <c r="B228" s="974" t="s">
        <v>217</v>
      </c>
      <c r="C228" s="974"/>
      <c r="D228" s="976"/>
      <c r="E228" s="976"/>
      <c r="F228" s="976"/>
      <c r="G228" s="976"/>
      <c r="H228" s="972"/>
      <c r="I228" s="972"/>
      <c r="J228" s="1012"/>
      <c r="K228" s="972"/>
      <c r="L228" s="1012"/>
      <c r="M228" s="972"/>
      <c r="N228" s="1013"/>
      <c r="O228" s="972"/>
      <c r="P228" s="1012"/>
      <c r="Q228" s="972"/>
      <c r="R228" s="1012"/>
      <c r="S228" s="1012"/>
      <c r="T228" s="1012"/>
      <c r="U228" s="972"/>
      <c r="V228" s="1013"/>
      <c r="W228" s="972"/>
      <c r="X228" s="972"/>
      <c r="Y228" s="972"/>
    </row>
    <row r="229" spans="1:25" s="979" customFormat="1">
      <c r="A229" s="974" t="s">
        <v>1176</v>
      </c>
      <c r="B229" s="974" t="s">
        <v>217</v>
      </c>
      <c r="C229" s="974"/>
      <c r="D229" s="972"/>
      <c r="E229" s="972"/>
      <c r="F229" s="975" t="s">
        <v>1920</v>
      </c>
      <c r="G229" s="972"/>
      <c r="H229" s="972"/>
      <c r="I229" s="972"/>
      <c r="J229" s="1010">
        <f>SUM(J227:J228)</f>
        <v>0</v>
      </c>
      <c r="K229" s="972"/>
      <c r="L229" s="1010">
        <f>SUM(L227:L228)</f>
        <v>0</v>
      </c>
      <c r="M229" s="972"/>
      <c r="N229" s="1011">
        <f>SUM(N227:N228)</f>
        <v>0</v>
      </c>
      <c r="O229" s="972"/>
      <c r="P229" s="1010">
        <f>J229+L229+N229</f>
        <v>0</v>
      </c>
      <c r="Q229" s="972"/>
      <c r="R229" s="1010">
        <f>SUM(R227:R228)</f>
        <v>0</v>
      </c>
      <c r="S229" s="1010">
        <f>SUM(S227:S228)</f>
        <v>0</v>
      </c>
      <c r="T229" s="1010">
        <f>SUM(T227:T228)</f>
        <v>0</v>
      </c>
      <c r="U229" s="972"/>
      <c r="V229" s="1011">
        <f>SUM(V227:V228)</f>
        <v>0</v>
      </c>
      <c r="W229" s="972"/>
      <c r="X229" s="972"/>
      <c r="Y229" s="972"/>
    </row>
    <row r="230" spans="1:25" s="979" customFormat="1" outlineLevel="1">
      <c r="A230" s="972"/>
      <c r="B230" s="973" t="s">
        <v>1180</v>
      </c>
      <c r="C230" s="974"/>
      <c r="D230" s="975"/>
      <c r="E230" s="975"/>
      <c r="F230" s="976"/>
      <c r="G230" s="976"/>
      <c r="H230" s="972"/>
      <c r="I230" s="972"/>
      <c r="J230" s="977"/>
      <c r="K230" s="972"/>
      <c r="L230" s="977"/>
      <c r="M230" s="972"/>
      <c r="N230" s="978"/>
      <c r="O230" s="972"/>
      <c r="P230" s="977">
        <f>J230+L230+N230</f>
        <v>0</v>
      </c>
      <c r="Q230" s="972"/>
      <c r="R230" s="977"/>
      <c r="S230" s="977"/>
      <c r="T230" s="977">
        <f>P230</f>
        <v>0</v>
      </c>
      <c r="U230" s="972"/>
      <c r="V230" s="978">
        <f>T230-S230</f>
        <v>0</v>
      </c>
      <c r="W230" s="972"/>
      <c r="X230" s="972"/>
    </row>
    <row r="231" spans="1:25" s="979" customFormat="1" ht="5.0999999999999996" customHeight="1" outlineLevel="1">
      <c r="A231" s="974" t="s">
        <v>217</v>
      </c>
      <c r="B231" s="974" t="s">
        <v>217</v>
      </c>
      <c r="C231" s="974"/>
      <c r="D231" s="976"/>
      <c r="E231" s="976"/>
      <c r="F231" s="976"/>
      <c r="G231" s="976"/>
      <c r="H231" s="972"/>
      <c r="I231" s="972"/>
      <c r="J231" s="1012"/>
      <c r="K231" s="972"/>
      <c r="L231" s="1012"/>
      <c r="M231" s="972"/>
      <c r="N231" s="1013"/>
      <c r="O231" s="972"/>
      <c r="P231" s="1012"/>
      <c r="Q231" s="972"/>
      <c r="R231" s="1012"/>
      <c r="S231" s="1012"/>
      <c r="T231" s="1012"/>
      <c r="U231" s="972"/>
      <c r="V231" s="1013"/>
      <c r="W231" s="972"/>
      <c r="X231" s="972"/>
      <c r="Y231" s="972"/>
    </row>
    <row r="232" spans="1:25" s="979" customFormat="1">
      <c r="A232" s="1024" t="s">
        <v>1180</v>
      </c>
      <c r="B232" s="974" t="s">
        <v>217</v>
      </c>
      <c r="C232" s="974"/>
      <c r="D232" s="972"/>
      <c r="E232" s="972"/>
      <c r="F232" s="975" t="s">
        <v>1921</v>
      </c>
      <c r="G232" s="972"/>
      <c r="H232" s="972"/>
      <c r="I232" s="972"/>
      <c r="J232" s="1010">
        <f>SUM(J230:J231)</f>
        <v>0</v>
      </c>
      <c r="K232" s="972"/>
      <c r="L232" s="1010">
        <f>SUM(L230:L231)</f>
        <v>0</v>
      </c>
      <c r="M232" s="972"/>
      <c r="N232" s="1011">
        <f>SUM(N230:N231)</f>
        <v>0</v>
      </c>
      <c r="O232" s="972"/>
      <c r="P232" s="1010">
        <f>J232+L232+N232</f>
        <v>0</v>
      </c>
      <c r="Q232" s="972"/>
      <c r="R232" s="1010">
        <f>SUM(R230:R231)</f>
        <v>0</v>
      </c>
      <c r="S232" s="1010">
        <f>SUM(S230:S231)</f>
        <v>0</v>
      </c>
      <c r="T232" s="1010">
        <f>SUM(T230:T231)</f>
        <v>0</v>
      </c>
      <c r="U232" s="972"/>
      <c r="V232" s="1011">
        <f>SUM(V230:V231)</f>
        <v>0</v>
      </c>
      <c r="W232" s="972"/>
      <c r="X232" s="972"/>
      <c r="Y232" s="972"/>
    </row>
    <row r="233" spans="1:25" s="979" customFormat="1" outlineLevel="1">
      <c r="A233" s="972"/>
      <c r="B233" s="973" t="s">
        <v>1182</v>
      </c>
      <c r="C233" s="974"/>
      <c r="D233" s="975"/>
      <c r="E233" s="975"/>
      <c r="F233" s="976"/>
      <c r="G233" s="976"/>
      <c r="H233" s="972"/>
      <c r="I233" s="972"/>
      <c r="J233" s="977"/>
      <c r="K233" s="972"/>
      <c r="L233" s="977"/>
      <c r="M233" s="972"/>
      <c r="N233" s="978"/>
      <c r="O233" s="972"/>
      <c r="P233" s="977">
        <f>J233+L233+N233</f>
        <v>0</v>
      </c>
      <c r="Q233" s="972"/>
      <c r="R233" s="977"/>
      <c r="S233" s="977"/>
      <c r="T233" s="977">
        <f>P233</f>
        <v>0</v>
      </c>
      <c r="U233" s="972"/>
      <c r="V233" s="978">
        <f>T233-S233</f>
        <v>0</v>
      </c>
      <c r="W233" s="972"/>
      <c r="X233" s="972"/>
    </row>
    <row r="234" spans="1:25" s="979" customFormat="1" ht="5.0999999999999996" customHeight="1" outlineLevel="1">
      <c r="A234" s="974" t="s">
        <v>217</v>
      </c>
      <c r="B234" s="974" t="s">
        <v>217</v>
      </c>
      <c r="C234" s="974"/>
      <c r="D234" s="976"/>
      <c r="E234" s="976"/>
      <c r="F234" s="976"/>
      <c r="G234" s="976"/>
      <c r="H234" s="972"/>
      <c r="I234" s="972"/>
      <c r="J234" s="1012"/>
      <c r="K234" s="972"/>
      <c r="L234" s="1012"/>
      <c r="M234" s="972"/>
      <c r="N234" s="1013"/>
      <c r="O234" s="972"/>
      <c r="P234" s="1012"/>
      <c r="Q234" s="972"/>
      <c r="R234" s="1012"/>
      <c r="S234" s="1012"/>
      <c r="T234" s="1012"/>
      <c r="U234" s="972"/>
      <c r="V234" s="1013"/>
      <c r="W234" s="972"/>
      <c r="X234" s="972"/>
      <c r="Y234" s="972"/>
    </row>
    <row r="235" spans="1:25" s="979" customFormat="1">
      <c r="A235" s="1024" t="s">
        <v>1182</v>
      </c>
      <c r="B235" s="974" t="s">
        <v>217</v>
      </c>
      <c r="C235" s="974"/>
      <c r="D235" s="972"/>
      <c r="E235" s="972"/>
      <c r="F235" s="975" t="s">
        <v>1922</v>
      </c>
      <c r="G235" s="972"/>
      <c r="H235" s="972"/>
      <c r="I235" s="972"/>
      <c r="J235" s="1010">
        <f>SUM(J233:J234)</f>
        <v>0</v>
      </c>
      <c r="K235" s="972"/>
      <c r="L235" s="1010">
        <f>SUM(L233:L234)</f>
        <v>0</v>
      </c>
      <c r="M235" s="972"/>
      <c r="N235" s="1011">
        <f>SUM(N233:N234)</f>
        <v>0</v>
      </c>
      <c r="O235" s="972"/>
      <c r="P235" s="1010">
        <f>J235+L235+N235</f>
        <v>0</v>
      </c>
      <c r="Q235" s="972"/>
      <c r="R235" s="1010">
        <f>SUM(R233:R234)</f>
        <v>0</v>
      </c>
      <c r="S235" s="1010">
        <f>SUM(S233:S234)</f>
        <v>0</v>
      </c>
      <c r="T235" s="1010">
        <f>SUM(T233:T234)</f>
        <v>0</v>
      </c>
      <c r="U235" s="972"/>
      <c r="V235" s="1011">
        <f>SUM(V233:V234)</f>
        <v>0</v>
      </c>
      <c r="W235" s="972"/>
      <c r="X235" s="972"/>
      <c r="Y235" s="972"/>
    </row>
    <row r="236" spans="1:25" s="979" customFormat="1" outlineLevel="1">
      <c r="A236" s="972"/>
      <c r="B236" s="973" t="s">
        <v>1190</v>
      </c>
      <c r="C236" s="974"/>
      <c r="D236" s="975"/>
      <c r="E236" s="975"/>
      <c r="F236" s="976"/>
      <c r="G236" s="976"/>
      <c r="H236" s="972"/>
      <c r="I236" s="972"/>
      <c r="J236" s="977"/>
      <c r="K236" s="972"/>
      <c r="L236" s="977"/>
      <c r="M236" s="972"/>
      <c r="N236" s="978"/>
      <c r="O236" s="972"/>
      <c r="P236" s="977">
        <f>J236+L236+N236</f>
        <v>0</v>
      </c>
      <c r="Q236" s="972"/>
      <c r="R236" s="977"/>
      <c r="S236" s="977"/>
      <c r="T236" s="977">
        <f>P236</f>
        <v>0</v>
      </c>
      <c r="U236" s="972"/>
      <c r="V236" s="978">
        <f>T236-S236</f>
        <v>0</v>
      </c>
      <c r="W236" s="972"/>
      <c r="X236" s="972"/>
    </row>
    <row r="237" spans="1:25" s="979" customFormat="1" ht="5.0999999999999996" customHeight="1" outlineLevel="1">
      <c r="A237" s="974" t="s">
        <v>217</v>
      </c>
      <c r="B237" s="974" t="s">
        <v>217</v>
      </c>
      <c r="C237" s="974"/>
      <c r="D237" s="976"/>
      <c r="E237" s="976"/>
      <c r="F237" s="976"/>
      <c r="G237" s="976"/>
      <c r="H237" s="972"/>
      <c r="I237" s="972"/>
      <c r="J237" s="1012"/>
      <c r="K237" s="972"/>
      <c r="L237" s="1012"/>
      <c r="M237" s="972"/>
      <c r="N237" s="1013"/>
      <c r="O237" s="972"/>
      <c r="P237" s="1012"/>
      <c r="Q237" s="972"/>
      <c r="R237" s="1012"/>
      <c r="S237" s="1012"/>
      <c r="T237" s="1012"/>
      <c r="U237" s="972"/>
      <c r="V237" s="1013"/>
      <c r="W237" s="972"/>
      <c r="X237" s="972"/>
      <c r="Y237" s="972"/>
    </row>
    <row r="238" spans="1:25" s="979" customFormat="1">
      <c r="A238" s="974" t="s">
        <v>1190</v>
      </c>
      <c r="B238" s="974" t="s">
        <v>217</v>
      </c>
      <c r="C238" s="974"/>
      <c r="D238" s="972"/>
      <c r="E238" s="972"/>
      <c r="F238" s="975" t="s">
        <v>1923</v>
      </c>
      <c r="G238" s="972"/>
      <c r="H238" s="972"/>
      <c r="I238" s="972"/>
      <c r="J238" s="1010">
        <f>SUM(J236:J237)</f>
        <v>0</v>
      </c>
      <c r="K238" s="972"/>
      <c r="L238" s="1010">
        <f>SUM(L236:L237)</f>
        <v>0</v>
      </c>
      <c r="M238" s="972"/>
      <c r="N238" s="1011">
        <f>SUM(N236:N237)</f>
        <v>0</v>
      </c>
      <c r="O238" s="972"/>
      <c r="P238" s="1010">
        <f>J238+L238+N238</f>
        <v>0</v>
      </c>
      <c r="Q238" s="972"/>
      <c r="R238" s="1010">
        <f>SUM(R236:R237)</f>
        <v>0</v>
      </c>
      <c r="S238" s="1010">
        <f>SUM(S236:S237)</f>
        <v>0</v>
      </c>
      <c r="T238" s="1010">
        <f>SUM(T236:T237)</f>
        <v>0</v>
      </c>
      <c r="U238" s="972"/>
      <c r="V238" s="1011">
        <f>SUM(V236:V237)</f>
        <v>0</v>
      </c>
      <c r="W238" s="972"/>
      <c r="X238" s="972"/>
      <c r="Y238" s="972"/>
    </row>
    <row r="239" spans="1:25" s="979" customFormat="1" outlineLevel="1">
      <c r="A239" s="972"/>
      <c r="B239" s="973" t="s">
        <v>1178</v>
      </c>
      <c r="C239" s="974"/>
      <c r="D239" s="975"/>
      <c r="E239" s="975"/>
      <c r="F239" s="976"/>
      <c r="G239" s="976"/>
      <c r="H239" s="972"/>
      <c r="I239" s="972"/>
      <c r="J239" s="977"/>
      <c r="K239" s="972"/>
      <c r="L239" s="977"/>
      <c r="M239" s="972"/>
      <c r="N239" s="978"/>
      <c r="O239" s="972"/>
      <c r="P239" s="977">
        <f>J239+L239+N239</f>
        <v>0</v>
      </c>
      <c r="Q239" s="972"/>
      <c r="R239" s="977"/>
      <c r="S239" s="977"/>
      <c r="T239" s="977">
        <f>P239</f>
        <v>0</v>
      </c>
      <c r="U239" s="972"/>
      <c r="V239" s="978">
        <f>T239-S239</f>
        <v>0</v>
      </c>
      <c r="W239" s="972"/>
      <c r="X239" s="972"/>
    </row>
    <row r="240" spans="1:25" s="979" customFormat="1" ht="5.0999999999999996" customHeight="1" outlineLevel="1">
      <c r="A240" s="974" t="s">
        <v>217</v>
      </c>
      <c r="B240" s="974" t="s">
        <v>217</v>
      </c>
      <c r="C240" s="974"/>
      <c r="D240" s="976"/>
      <c r="E240" s="976"/>
      <c r="F240" s="976"/>
      <c r="G240" s="976"/>
      <c r="H240" s="972"/>
      <c r="I240" s="972"/>
      <c r="J240" s="1012"/>
      <c r="K240" s="972"/>
      <c r="L240" s="1012"/>
      <c r="M240" s="972"/>
      <c r="N240" s="1013"/>
      <c r="O240" s="972"/>
      <c r="P240" s="1012"/>
      <c r="Q240" s="972"/>
      <c r="R240" s="1012"/>
      <c r="S240" s="1012"/>
      <c r="T240" s="1012"/>
      <c r="U240" s="972"/>
      <c r="V240" s="1013"/>
      <c r="W240" s="972"/>
      <c r="X240" s="972"/>
      <c r="Y240" s="972"/>
    </row>
    <row r="241" spans="1:25" s="979" customFormat="1">
      <c r="A241" s="974" t="s">
        <v>1178</v>
      </c>
      <c r="B241" s="974" t="s">
        <v>217</v>
      </c>
      <c r="C241" s="974"/>
      <c r="D241" s="972"/>
      <c r="E241" s="972"/>
      <c r="F241" s="975" t="s">
        <v>1924</v>
      </c>
      <c r="G241" s="972"/>
      <c r="H241" s="972"/>
      <c r="I241" s="972"/>
      <c r="J241" s="1010">
        <f>SUM(J239:J240)</f>
        <v>0</v>
      </c>
      <c r="K241" s="972"/>
      <c r="L241" s="1010">
        <f>SUM(L239:L240)</f>
        <v>0</v>
      </c>
      <c r="M241" s="972"/>
      <c r="N241" s="1011">
        <f>SUM(N239:N240)</f>
        <v>0</v>
      </c>
      <c r="O241" s="972"/>
      <c r="P241" s="1010">
        <f>J241+L241+N241</f>
        <v>0</v>
      </c>
      <c r="Q241" s="972"/>
      <c r="R241" s="1010">
        <f>SUM(R239:R240)</f>
        <v>0</v>
      </c>
      <c r="S241" s="1010">
        <f>SUM(S239:S240)</f>
        <v>0</v>
      </c>
      <c r="T241" s="1010">
        <f>SUM(T239:T240)</f>
        <v>0</v>
      </c>
      <c r="U241" s="972"/>
      <c r="V241" s="1011">
        <f>SUM(V239:V240)</f>
        <v>0</v>
      </c>
      <c r="W241" s="972"/>
      <c r="X241" s="972"/>
      <c r="Y241" s="972"/>
    </row>
    <row r="242" spans="1:25" s="979" customFormat="1" outlineLevel="1">
      <c r="A242" s="972"/>
      <c r="B242" s="973" t="s">
        <v>1184</v>
      </c>
      <c r="C242" s="974"/>
      <c r="D242" s="975"/>
      <c r="E242" s="975"/>
      <c r="F242" s="976"/>
      <c r="G242" s="976"/>
      <c r="H242" s="972"/>
      <c r="I242" s="972"/>
      <c r="J242" s="977"/>
      <c r="K242" s="972"/>
      <c r="L242" s="977"/>
      <c r="M242" s="972"/>
      <c r="N242" s="978"/>
      <c r="O242" s="972"/>
      <c r="P242" s="977">
        <f>J242+L242+N242</f>
        <v>0</v>
      </c>
      <c r="Q242" s="972"/>
      <c r="R242" s="977"/>
      <c r="S242" s="977"/>
      <c r="T242" s="977">
        <f>P242</f>
        <v>0</v>
      </c>
      <c r="U242" s="972"/>
      <c r="V242" s="978">
        <f>T242-S242</f>
        <v>0</v>
      </c>
      <c r="W242" s="972"/>
      <c r="X242" s="972"/>
    </row>
    <row r="243" spans="1:25" s="979" customFormat="1" ht="5.0999999999999996" customHeight="1" outlineLevel="1">
      <c r="A243" s="974" t="s">
        <v>217</v>
      </c>
      <c r="B243" s="974" t="s">
        <v>217</v>
      </c>
      <c r="C243" s="974"/>
      <c r="D243" s="976"/>
      <c r="E243" s="976"/>
      <c r="F243" s="976"/>
      <c r="G243" s="976"/>
      <c r="H243" s="972"/>
      <c r="I243" s="972"/>
      <c r="J243" s="1012"/>
      <c r="K243" s="972"/>
      <c r="L243" s="1012"/>
      <c r="M243" s="972"/>
      <c r="N243" s="1013"/>
      <c r="O243" s="972"/>
      <c r="P243" s="1012"/>
      <c r="Q243" s="972"/>
      <c r="R243" s="1012"/>
      <c r="S243" s="1012"/>
      <c r="T243" s="1012"/>
      <c r="U243" s="972"/>
      <c r="V243" s="1013"/>
      <c r="W243" s="972"/>
      <c r="X243" s="972"/>
      <c r="Y243" s="972"/>
    </row>
    <row r="244" spans="1:25" s="979" customFormat="1">
      <c r="A244" s="974" t="s">
        <v>1184</v>
      </c>
      <c r="B244" s="974" t="s">
        <v>217</v>
      </c>
      <c r="C244" s="974"/>
      <c r="D244" s="972"/>
      <c r="E244" s="972"/>
      <c r="F244" s="975" t="s">
        <v>1925</v>
      </c>
      <c r="G244" s="972"/>
      <c r="H244" s="972"/>
      <c r="I244" s="972"/>
      <c r="J244" s="1010">
        <f>SUM(J242:J243)</f>
        <v>0</v>
      </c>
      <c r="K244" s="972"/>
      <c r="L244" s="1010">
        <f>SUM(L242:L243)</f>
        <v>0</v>
      </c>
      <c r="M244" s="972"/>
      <c r="N244" s="1011">
        <f>SUM(N242:N243)</f>
        <v>0</v>
      </c>
      <c r="O244" s="972"/>
      <c r="P244" s="1010">
        <f>J244+L244+N244</f>
        <v>0</v>
      </c>
      <c r="Q244" s="972"/>
      <c r="R244" s="1010">
        <f>SUM(R242:R243)</f>
        <v>0</v>
      </c>
      <c r="S244" s="1010">
        <f>SUM(S242:S243)</f>
        <v>0</v>
      </c>
      <c r="T244" s="1010">
        <f>SUM(T242:T243)</f>
        <v>0</v>
      </c>
      <c r="U244" s="972"/>
      <c r="V244" s="1011">
        <f>SUM(V242:V243)</f>
        <v>0</v>
      </c>
      <c r="W244" s="972"/>
      <c r="X244" s="972"/>
      <c r="Y244" s="972"/>
    </row>
    <row r="245" spans="1:25" s="979" customFormat="1" outlineLevel="1">
      <c r="A245" s="972"/>
      <c r="B245" s="973" t="s">
        <v>1186</v>
      </c>
      <c r="C245" s="974"/>
      <c r="D245" s="975"/>
      <c r="E245" s="975"/>
      <c r="F245" s="976"/>
      <c r="G245" s="976"/>
      <c r="H245" s="972"/>
      <c r="I245" s="972"/>
      <c r="J245" s="977"/>
      <c r="K245" s="972"/>
      <c r="L245" s="977"/>
      <c r="M245" s="972"/>
      <c r="N245" s="978"/>
      <c r="O245" s="972"/>
      <c r="P245" s="977">
        <f>J245+L245+N245</f>
        <v>0</v>
      </c>
      <c r="Q245" s="972"/>
      <c r="R245" s="977"/>
      <c r="S245" s="977"/>
      <c r="T245" s="977">
        <f>P245</f>
        <v>0</v>
      </c>
      <c r="U245" s="972"/>
      <c r="V245" s="978">
        <f>T245-S245</f>
        <v>0</v>
      </c>
      <c r="W245" s="972"/>
      <c r="X245" s="972"/>
    </row>
    <row r="246" spans="1:25" s="979" customFormat="1" ht="5.0999999999999996" customHeight="1" outlineLevel="1">
      <c r="A246" s="974" t="s">
        <v>217</v>
      </c>
      <c r="B246" s="1008"/>
      <c r="C246" s="1008"/>
      <c r="D246" s="976"/>
      <c r="E246" s="976"/>
      <c r="F246" s="976"/>
      <c r="G246" s="976"/>
      <c r="H246" s="972"/>
      <c r="I246" s="972"/>
      <c r="J246" s="1012"/>
      <c r="K246" s="972"/>
      <c r="L246" s="1012"/>
      <c r="M246" s="972"/>
      <c r="N246" s="1013"/>
      <c r="O246" s="972"/>
      <c r="P246" s="1012"/>
      <c r="Q246" s="972"/>
      <c r="R246" s="1012"/>
      <c r="S246" s="1012"/>
      <c r="T246" s="1012"/>
      <c r="U246" s="972"/>
      <c r="V246" s="1013"/>
      <c r="W246" s="972"/>
      <c r="X246" s="972"/>
      <c r="Y246" s="972"/>
    </row>
    <row r="247" spans="1:25" s="979" customFormat="1">
      <c r="A247" s="974" t="s">
        <v>1186</v>
      </c>
      <c r="B247" s="1008"/>
      <c r="C247" s="1008"/>
      <c r="D247" s="972"/>
      <c r="E247" s="972"/>
      <c r="F247" s="975" t="s">
        <v>1926</v>
      </c>
      <c r="G247" s="972"/>
      <c r="H247" s="972"/>
      <c r="I247" s="972"/>
      <c r="J247" s="1010">
        <f>SUM(J245:J246)</f>
        <v>0</v>
      </c>
      <c r="K247" s="972"/>
      <c r="L247" s="1010">
        <f>SUM(L245:L246)</f>
        <v>0</v>
      </c>
      <c r="M247" s="972"/>
      <c r="N247" s="1011">
        <f>SUM(N245:N246)</f>
        <v>0</v>
      </c>
      <c r="O247" s="972"/>
      <c r="P247" s="1010">
        <f>J247+L247+N247</f>
        <v>0</v>
      </c>
      <c r="Q247" s="972"/>
      <c r="R247" s="1010">
        <f>SUM(R245:R246)</f>
        <v>0</v>
      </c>
      <c r="S247" s="1010">
        <f>SUM(S245:S246)</f>
        <v>0</v>
      </c>
      <c r="T247" s="1010">
        <f>SUM(T245:T246)</f>
        <v>0</v>
      </c>
      <c r="U247" s="972"/>
      <c r="V247" s="1011">
        <f>SUM(V245:V246)</f>
        <v>0</v>
      </c>
      <c r="W247" s="972"/>
      <c r="X247" s="972"/>
      <c r="Y247" s="972"/>
    </row>
    <row r="248" spans="1:25" s="979" customFormat="1" ht="7.5" hidden="1" customHeight="1">
      <c r="A248" s="1008"/>
      <c r="B248" s="974"/>
      <c r="C248" s="974"/>
      <c r="D248" s="972"/>
      <c r="E248" s="972"/>
      <c r="F248" s="972"/>
      <c r="G248" s="972"/>
      <c r="H248" s="972"/>
      <c r="I248" s="972"/>
      <c r="J248" s="1015"/>
      <c r="K248" s="972"/>
      <c r="L248" s="1015"/>
      <c r="M248" s="972"/>
      <c r="N248" s="978"/>
      <c r="O248" s="972"/>
      <c r="P248" s="1015"/>
      <c r="Q248" s="972"/>
      <c r="R248" s="1015"/>
      <c r="S248" s="1015"/>
      <c r="T248" s="1015"/>
      <c r="U248" s="972"/>
      <c r="V248" s="978"/>
      <c r="W248" s="972"/>
      <c r="X248" s="972"/>
      <c r="Y248" s="972"/>
    </row>
    <row r="249" spans="1:25" s="979" customFormat="1" outlineLevel="1">
      <c r="A249" s="972"/>
      <c r="B249" s="973" t="s">
        <v>1188</v>
      </c>
      <c r="C249" s="974"/>
      <c r="D249" s="975">
        <v>29100</v>
      </c>
      <c r="E249" s="975" t="s">
        <v>1927</v>
      </c>
      <c r="F249" s="976"/>
      <c r="G249" s="976"/>
      <c r="H249" s="972"/>
      <c r="I249" s="972"/>
      <c r="J249" s="977">
        <v>92137314.430000007</v>
      </c>
      <c r="K249" s="972"/>
      <c r="L249" s="977">
        <v>0</v>
      </c>
      <c r="M249" s="972"/>
      <c r="N249" s="978">
        <v>0</v>
      </c>
      <c r="O249" s="972"/>
      <c r="P249" s="977">
        <f>J249+L249+N249</f>
        <v>92137314.430000007</v>
      </c>
      <c r="Q249" s="972"/>
      <c r="R249" s="977">
        <v>94122446.760000005</v>
      </c>
      <c r="S249" s="977">
        <v>93024090.340000004</v>
      </c>
      <c r="T249" s="977">
        <f>P249</f>
        <v>92137314.430000007</v>
      </c>
      <c r="U249" s="972"/>
      <c r="V249" s="978">
        <f>T249-S249</f>
        <v>-886775.90999999642</v>
      </c>
      <c r="W249" s="972"/>
      <c r="X249" s="972"/>
    </row>
    <row r="250" spans="1:25" s="979" customFormat="1" ht="5.0999999999999996" customHeight="1" outlineLevel="1">
      <c r="A250" s="974" t="s">
        <v>217</v>
      </c>
      <c r="B250" s="1008"/>
      <c r="C250" s="1008"/>
      <c r="D250" s="976"/>
      <c r="E250" s="976"/>
      <c r="F250" s="976"/>
      <c r="G250" s="976"/>
      <c r="H250" s="972"/>
      <c r="I250" s="972"/>
      <c r="J250" s="1012"/>
      <c r="K250" s="972"/>
      <c r="L250" s="1012"/>
      <c r="M250" s="972"/>
      <c r="N250" s="1013"/>
      <c r="O250" s="972"/>
      <c r="P250" s="1012"/>
      <c r="Q250" s="972"/>
      <c r="R250" s="1012"/>
      <c r="S250" s="1012"/>
      <c r="T250" s="1012"/>
      <c r="U250" s="972"/>
      <c r="V250" s="1013"/>
      <c r="W250" s="972"/>
      <c r="X250" s="972"/>
      <c r="Y250" s="972"/>
    </row>
    <row r="251" spans="1:25" s="979" customFormat="1">
      <c r="A251" s="974" t="s">
        <v>1188</v>
      </c>
      <c r="B251" s="1008"/>
      <c r="C251" s="1008"/>
      <c r="D251" s="972"/>
      <c r="E251" s="972"/>
      <c r="F251" s="975" t="s">
        <v>1927</v>
      </c>
      <c r="G251" s="972"/>
      <c r="H251" s="972"/>
      <c r="I251" s="972"/>
      <c r="J251" s="1010">
        <f>SUM(J249:J250)</f>
        <v>92137314.430000007</v>
      </c>
      <c r="K251" s="972"/>
      <c r="L251" s="1010">
        <f>SUM(L249:L250)</f>
        <v>0</v>
      </c>
      <c r="M251" s="972"/>
      <c r="N251" s="1011">
        <f>SUM(N249:N250)</f>
        <v>0</v>
      </c>
      <c r="O251" s="972"/>
      <c r="P251" s="1010">
        <f>J251+L251+N251</f>
        <v>92137314.430000007</v>
      </c>
      <c r="Q251" s="972"/>
      <c r="R251" s="1010">
        <f>SUM(R249:R250)</f>
        <v>94122446.760000005</v>
      </c>
      <c r="S251" s="1010">
        <f>SUM(S249:S250)</f>
        <v>93024090.340000004</v>
      </c>
      <c r="T251" s="1010">
        <f>SUM(T249:T250)</f>
        <v>92137314.430000007</v>
      </c>
      <c r="U251" s="972"/>
      <c r="V251" s="1011">
        <f>SUM(V249:V250)</f>
        <v>-886775.90999999642</v>
      </c>
      <c r="W251" s="972"/>
      <c r="X251" s="972"/>
      <c r="Y251" s="972"/>
    </row>
    <row r="252" spans="1:25" s="979" customFormat="1" ht="7.5" customHeight="1">
      <c r="A252" s="1008"/>
      <c r="B252" s="974"/>
      <c r="C252" s="974"/>
      <c r="D252" s="972"/>
      <c r="E252" s="972"/>
      <c r="F252" s="972"/>
      <c r="G252" s="972"/>
      <c r="H252" s="972"/>
      <c r="I252" s="972"/>
      <c r="J252" s="1015"/>
      <c r="K252" s="972"/>
      <c r="L252" s="1015"/>
      <c r="M252" s="972"/>
      <c r="N252" s="978"/>
      <c r="O252" s="972"/>
      <c r="P252" s="1015"/>
      <c r="Q252" s="972"/>
      <c r="R252" s="1015"/>
      <c r="S252" s="1015"/>
      <c r="T252" s="1015"/>
      <c r="U252" s="972"/>
      <c r="V252" s="978"/>
      <c r="W252" s="972"/>
      <c r="X252" s="972"/>
      <c r="Y252" s="972"/>
    </row>
    <row r="253" spans="1:25" s="979" customFormat="1">
      <c r="A253" s="1008"/>
      <c r="B253" s="974"/>
      <c r="C253" s="974"/>
      <c r="D253" s="972"/>
      <c r="E253" s="1016" t="s">
        <v>1927</v>
      </c>
      <c r="F253" s="972"/>
      <c r="G253" s="972"/>
      <c r="H253" s="972"/>
      <c r="I253" s="972"/>
      <c r="J253" s="1017">
        <f>SUM(J229,J235,J241,J247,J238,J232,J244,J251)</f>
        <v>92137314.430000007</v>
      </c>
      <c r="K253" s="972"/>
      <c r="L253" s="1017">
        <f>SUM(L229,L235,L241,L247,L238,L232,L244,L251)</f>
        <v>0</v>
      </c>
      <c r="M253" s="972"/>
      <c r="N253" s="1018">
        <f>SUM(N229,N235,N241,N247,N238,N232,N244,N251)</f>
        <v>0</v>
      </c>
      <c r="O253" s="972"/>
      <c r="P253" s="1017">
        <f>SUM(P229,P235,P241,P247,P238,P232,P244,P251)</f>
        <v>92137314.430000007</v>
      </c>
      <c r="Q253" s="972"/>
      <c r="R253" s="1017">
        <f>SUM(R229,R235,R241,R247,R238,R232,R244,R251)</f>
        <v>94122446.760000005</v>
      </c>
      <c r="S253" s="1017">
        <f>SUM(S229,S235,S241,S247,S238,S232,S244,S251)</f>
        <v>93024090.340000004</v>
      </c>
      <c r="T253" s="1017">
        <f>SUM(T229,T235,T241,T247,T238,T232,T244,T251)</f>
        <v>92137314.430000007</v>
      </c>
      <c r="U253" s="972"/>
      <c r="V253" s="1018">
        <f>SUM(V229,V235,V241,V247,V238,V232,V244,V251)</f>
        <v>-886775.90999999642</v>
      </c>
      <c r="W253" s="972"/>
      <c r="X253" s="972"/>
      <c r="Y253" s="972"/>
    </row>
    <row r="254" spans="1:25" s="979" customFormat="1" ht="7.5" customHeight="1">
      <c r="A254" s="974"/>
      <c r="B254" s="974"/>
      <c r="C254" s="974"/>
      <c r="D254" s="972"/>
      <c r="E254" s="972"/>
      <c r="F254" s="972"/>
      <c r="G254" s="972"/>
      <c r="H254" s="972"/>
      <c r="I254" s="972"/>
      <c r="J254" s="1015"/>
      <c r="K254" s="972"/>
      <c r="L254" s="1015"/>
      <c r="M254" s="972"/>
      <c r="N254" s="978"/>
      <c r="O254" s="972"/>
      <c r="P254" s="1015"/>
      <c r="Q254" s="972"/>
      <c r="R254" s="1015"/>
      <c r="S254" s="1015"/>
      <c r="T254" s="1015"/>
      <c r="U254" s="972"/>
      <c r="V254" s="978"/>
      <c r="W254" s="972"/>
      <c r="X254" s="972"/>
      <c r="Y254" s="972"/>
    </row>
    <row r="255" spans="1:25" s="979" customFormat="1" ht="13.5" thickBot="1">
      <c r="A255" s="974"/>
      <c r="B255" s="974"/>
      <c r="C255" s="974"/>
      <c r="D255" s="972"/>
      <c r="E255" s="1016" t="s">
        <v>1928</v>
      </c>
      <c r="F255" s="972"/>
      <c r="G255" s="972"/>
      <c r="H255" s="972"/>
      <c r="I255" s="972"/>
      <c r="J255" s="1022">
        <f>+J225+J253</f>
        <v>474559231.73000002</v>
      </c>
      <c r="K255" s="972"/>
      <c r="L255" s="1022">
        <f>+L225+L253</f>
        <v>0</v>
      </c>
      <c r="M255" s="972"/>
      <c r="N255" s="1023">
        <f>+N225+N253</f>
        <v>0</v>
      </c>
      <c r="O255" s="972"/>
      <c r="P255" s="1022">
        <f>+P225+P253</f>
        <v>474559231.73000002</v>
      </c>
      <c r="Q255" s="972"/>
      <c r="R255" s="1022">
        <f>+R225+R253</f>
        <v>472494696.78000003</v>
      </c>
      <c r="S255" s="1022">
        <f>+S225+S253</f>
        <v>473555464.00999999</v>
      </c>
      <c r="T255" s="1022">
        <f>+T225+T253</f>
        <v>474559231.73000002</v>
      </c>
      <c r="U255" s="972"/>
      <c r="V255" s="1023">
        <f>+V225+V253</f>
        <v>1003767.7200000032</v>
      </c>
      <c r="W255" s="972"/>
      <c r="X255" s="972"/>
      <c r="Y255" s="972"/>
    </row>
    <row r="256" spans="1:25" s="979" customFormat="1" ht="7.5" customHeight="1" thickTop="1">
      <c r="A256" s="974"/>
      <c r="B256" s="974"/>
      <c r="C256" s="974"/>
      <c r="D256" s="972"/>
      <c r="E256" s="972"/>
      <c r="F256" s="972"/>
      <c r="G256" s="972"/>
      <c r="H256" s="972"/>
      <c r="I256" s="972"/>
      <c r="J256" s="1015"/>
      <c r="K256" s="972"/>
      <c r="L256" s="1015"/>
      <c r="M256" s="972"/>
      <c r="N256" s="978"/>
      <c r="O256" s="972"/>
      <c r="P256" s="1015"/>
      <c r="Q256" s="972"/>
      <c r="R256" s="1015"/>
      <c r="S256" s="1015"/>
      <c r="T256" s="1015"/>
      <c r="U256" s="972"/>
      <c r="V256" s="978"/>
      <c r="W256" s="972"/>
      <c r="X256" s="972"/>
      <c r="Y256" s="972"/>
    </row>
    <row r="257" spans="1:25" s="1025" customFormat="1" ht="12">
      <c r="A257" s="974"/>
      <c r="B257" s="974"/>
      <c r="C257" s="974"/>
      <c r="D257" s="972"/>
      <c r="E257" s="972"/>
      <c r="F257" s="972" t="s">
        <v>1929</v>
      </c>
      <c r="G257" s="972"/>
      <c r="H257" s="972"/>
      <c r="I257" s="972"/>
      <c r="J257" s="1015">
        <f>J165-J255</f>
        <v>0</v>
      </c>
      <c r="K257" s="972"/>
      <c r="L257" s="1015">
        <f>L165-L255</f>
        <v>0</v>
      </c>
      <c r="M257" s="972"/>
      <c r="N257" s="1015">
        <f>N165-N255</f>
        <v>0</v>
      </c>
      <c r="O257" s="972"/>
      <c r="P257" s="1015">
        <f>P165-P255</f>
        <v>0</v>
      </c>
      <c r="Q257" s="972"/>
      <c r="R257" s="1015">
        <f>R165-R255</f>
        <v>0</v>
      </c>
      <c r="S257" s="1015">
        <f>S165-S255</f>
        <v>0</v>
      </c>
      <c r="T257" s="1015">
        <f>T165-T255</f>
        <v>0</v>
      </c>
      <c r="U257" s="972"/>
      <c r="V257" s="1015">
        <f>V165-V255</f>
        <v>-1.6298145055770874E-9</v>
      </c>
      <c r="W257" s="972"/>
      <c r="X257" s="972"/>
      <c r="Y257" s="972"/>
    </row>
    <row r="258" spans="1:25" s="1027" customFormat="1" ht="9.75" customHeight="1">
      <c r="A258" s="974"/>
      <c r="B258" s="1008"/>
      <c r="C258" s="1008"/>
      <c r="D258" s="972"/>
      <c r="E258" s="972"/>
      <c r="F258" s="975"/>
      <c r="G258" s="972"/>
      <c r="H258" s="974"/>
      <c r="I258" s="974"/>
      <c r="J258" s="1026"/>
      <c r="K258" s="974"/>
      <c r="L258" s="974"/>
      <c r="M258" s="974"/>
      <c r="N258" s="974"/>
      <c r="O258" s="974"/>
      <c r="P258" s="974"/>
      <c r="Q258" s="974"/>
      <c r="R258" s="974"/>
      <c r="S258" s="974"/>
      <c r="T258" s="974"/>
      <c r="U258" s="974"/>
      <c r="V258" s="974"/>
      <c r="W258" s="974"/>
      <c r="X258" s="974"/>
      <c r="Y258" s="974"/>
    </row>
    <row r="259" spans="1:25" s="979" customFormat="1" outlineLevel="1">
      <c r="A259" s="974"/>
      <c r="B259" s="973" t="s">
        <v>337</v>
      </c>
      <c r="C259" s="974"/>
      <c r="D259" s="975"/>
      <c r="E259" s="975"/>
      <c r="F259" s="976"/>
      <c r="G259" s="976"/>
      <c r="H259" s="972"/>
      <c r="I259" s="972"/>
      <c r="J259" s="977"/>
      <c r="K259" s="972"/>
      <c r="L259" s="977"/>
      <c r="M259" s="972"/>
      <c r="N259" s="978"/>
      <c r="O259" s="972"/>
      <c r="P259" s="977"/>
      <c r="Q259" s="972"/>
      <c r="R259" s="977"/>
      <c r="S259" s="977"/>
      <c r="T259" s="977"/>
      <c r="U259" s="972"/>
      <c r="V259" s="978"/>
      <c r="W259" s="972"/>
      <c r="X259" s="972"/>
      <c r="Y259" s="972"/>
    </row>
    <row r="260" spans="1:25" ht="6" customHeight="1" outlineLevel="1">
      <c r="A260" s="1008"/>
      <c r="B260" s="974"/>
      <c r="C260" s="974"/>
      <c r="D260" s="974"/>
      <c r="E260" s="974"/>
      <c r="F260" s="974"/>
      <c r="G260" s="974"/>
      <c r="H260" s="974"/>
      <c r="I260" s="974"/>
      <c r="J260" s="1012"/>
      <c r="K260" s="1015"/>
      <c r="L260" s="1012"/>
      <c r="M260" s="974"/>
      <c r="N260" s="1012"/>
      <c r="O260" s="974"/>
      <c r="P260" s="1012"/>
      <c r="Q260" s="974"/>
      <c r="R260" s="1012"/>
      <c r="S260" s="1012"/>
      <c r="T260" s="1012"/>
      <c r="U260" s="974"/>
      <c r="V260" s="1012"/>
      <c r="W260" s="974"/>
      <c r="X260" s="974"/>
      <c r="Y260" s="974"/>
    </row>
    <row r="261" spans="1:25" s="4" customFormat="1">
      <c r="A261" s="974" t="s">
        <v>337</v>
      </c>
      <c r="B261" s="1028"/>
      <c r="C261" s="1028"/>
      <c r="D261" s="1028"/>
      <c r="E261" s="1028" t="s">
        <v>338</v>
      </c>
      <c r="F261" s="1028"/>
      <c r="G261" s="1028"/>
      <c r="H261" s="1028"/>
      <c r="I261" s="1028"/>
      <c r="J261" s="1029">
        <f>SUM(J259:J260)</f>
        <v>0</v>
      </c>
      <c r="K261" s="1030"/>
      <c r="L261" s="1029">
        <f>SUM(L259:L260)</f>
        <v>0</v>
      </c>
      <c r="M261" s="1030"/>
      <c r="N261" s="1029">
        <f>SUM(N259:N260)</f>
        <v>0</v>
      </c>
      <c r="O261" s="1030"/>
      <c r="P261" s="1029">
        <f>SUM(P259:P260)</f>
        <v>0</v>
      </c>
      <c r="Q261" s="1030"/>
      <c r="R261" s="1029">
        <f>SUM(R259:R260)</f>
        <v>0</v>
      </c>
      <c r="S261" s="1029">
        <f>SUM(S259:S260)</f>
        <v>0</v>
      </c>
      <c r="T261" s="1029">
        <f>SUM(T259:T260)</f>
        <v>0</v>
      </c>
      <c r="U261" s="1030"/>
      <c r="V261" s="1029">
        <f>SUM(V259:V260)</f>
        <v>0</v>
      </c>
      <c r="W261" s="974"/>
      <c r="X261" s="974"/>
      <c r="Y261" s="974"/>
    </row>
    <row r="262" spans="1:25">
      <c r="A262" s="1031"/>
      <c r="B262" s="974"/>
      <c r="C262" s="974"/>
      <c r="D262" s="974"/>
      <c r="E262" s="974"/>
      <c r="F262" s="974"/>
      <c r="G262" s="974"/>
      <c r="H262" s="974"/>
      <c r="I262" s="974"/>
      <c r="J262" s="1032"/>
      <c r="K262" s="1032"/>
      <c r="L262" s="1033"/>
      <c r="M262" s="1033"/>
      <c r="N262" s="1033"/>
      <c r="O262" s="1033"/>
      <c r="P262" s="1033"/>
      <c r="Q262" s="1033"/>
      <c r="R262" s="1033"/>
      <c r="S262" s="1033"/>
      <c r="T262" s="1033"/>
      <c r="U262" s="1033"/>
      <c r="V262" s="1033"/>
      <c r="W262" s="974"/>
      <c r="X262" s="974"/>
      <c r="Y262" s="974"/>
    </row>
    <row r="263" spans="1:25">
      <c r="B263" s="974"/>
      <c r="C263" s="974"/>
      <c r="D263" s="974"/>
      <c r="E263" s="974"/>
      <c r="F263" s="974"/>
      <c r="G263" s="974"/>
      <c r="H263" s="974"/>
      <c r="I263" s="974"/>
      <c r="J263" s="974"/>
      <c r="K263" s="974"/>
      <c r="L263" s="974"/>
      <c r="M263" s="974"/>
      <c r="N263" s="974"/>
      <c r="O263" s="974"/>
      <c r="P263" s="974"/>
      <c r="Q263" s="974"/>
      <c r="R263" s="974"/>
      <c r="S263" s="974"/>
      <c r="T263" s="974"/>
      <c r="U263" s="974"/>
      <c r="V263" s="974"/>
      <c r="W263" s="974"/>
      <c r="X263" s="974"/>
      <c r="Y263" s="974"/>
    </row>
    <row r="264" spans="1:25">
      <c r="B264" s="974"/>
      <c r="C264" s="974"/>
      <c r="D264" s="974"/>
      <c r="E264" s="974"/>
      <c r="F264" s="974"/>
      <c r="G264" s="974"/>
      <c r="H264" s="974"/>
      <c r="I264" s="974"/>
      <c r="J264" s="974"/>
      <c r="K264" s="974"/>
      <c r="L264" s="974"/>
      <c r="M264" s="974"/>
      <c r="N264" s="974"/>
      <c r="O264" s="974"/>
      <c r="P264" s="974"/>
      <c r="Q264" s="974"/>
      <c r="R264" s="974"/>
      <c r="S264" s="974"/>
      <c r="T264" s="974"/>
      <c r="U264" s="974"/>
      <c r="V264" s="974"/>
      <c r="W264" s="974"/>
      <c r="X264" s="974"/>
      <c r="Y264" s="974"/>
    </row>
  </sheetData>
  <dataValidations count="1">
    <dataValidation type="list" allowBlank="1" showInputMessage="1" showErrorMessage="1" sqref="V7">
      <formula1>"TRUE,FALSE"</formula1>
    </dataValidation>
  </dataValidations>
  <pageMargins left="0.5" right="0.5" top="0.39" bottom="0.4" header="0.25" footer="0.25"/>
  <pageSetup scale="57" fitToHeight="0" orientation="landscape" errors="blank" r:id="rId1"/>
  <headerFooter alignWithMargins="0">
    <oddHeader>&amp;R&amp;D - &amp;T</oddHeader>
    <oddFooter>&amp;L&amp;F - &amp;A&amp;RPage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M322"/>
  <sheetViews>
    <sheetView showGridLines="0" view="pageBreakPreview" zoomScale="85" zoomScaleNormal="100" zoomScaleSheetLayoutView="85" zoomScalePageLayoutView="80" workbookViewId="0">
      <selection activeCell="AI26" sqref="AI26"/>
    </sheetView>
  </sheetViews>
  <sheetFormatPr defaultRowHeight="12.75"/>
  <cols>
    <col min="1" max="1" width="25.140625" style="483" bestFit="1" customWidth="1"/>
    <col min="2" max="2" width="7" style="483" customWidth="1"/>
    <col min="3" max="3" width="22" style="483" customWidth="1"/>
    <col min="4" max="4" width="9.5703125" style="483" bestFit="1" customWidth="1"/>
    <col min="5" max="5" width="10.7109375" style="483" bestFit="1" customWidth="1"/>
    <col min="6" max="6" width="9.5703125" style="483" bestFit="1" customWidth="1"/>
    <col min="7" max="7" width="10.140625" style="483" bestFit="1" customWidth="1"/>
    <col min="8" max="8" width="7.5703125" style="483" bestFit="1" customWidth="1"/>
    <col min="9" max="9" width="9.28515625" style="483" bestFit="1" customWidth="1"/>
    <col min="10" max="10" width="9.5703125" style="483" bestFit="1" customWidth="1"/>
    <col min="11" max="11" width="14.5703125" style="483" customWidth="1"/>
    <col min="12" max="12" width="9.140625" style="483"/>
    <col min="13" max="13" width="17.42578125" style="483" customWidth="1"/>
    <col min="14" max="16384" width="9.140625" style="483"/>
  </cols>
  <sheetData>
    <row r="1" spans="1:10">
      <c r="A1" s="486" t="s">
        <v>340</v>
      </c>
    </row>
    <row r="2" spans="1:10">
      <c r="A2" s="486" t="s">
        <v>1342</v>
      </c>
    </row>
    <row r="3" spans="1:10">
      <c r="A3" s="486" t="s">
        <v>341</v>
      </c>
    </row>
    <row r="5" spans="1:10">
      <c r="A5" s="1418" t="s">
        <v>1343</v>
      </c>
      <c r="B5" s="1418"/>
      <c r="C5" s="1418"/>
      <c r="D5" s="1418"/>
      <c r="E5" s="1418"/>
      <c r="F5" s="1418"/>
      <c r="G5" s="1418"/>
      <c r="H5" s="1418"/>
      <c r="I5" s="1418"/>
      <c r="J5" s="482"/>
    </row>
    <row r="6" spans="1:10">
      <c r="A6" s="483" t="s">
        <v>945</v>
      </c>
      <c r="C6" s="706" t="s">
        <v>1344</v>
      </c>
      <c r="D6" s="706" t="s">
        <v>1345</v>
      </c>
      <c r="E6" s="706" t="s">
        <v>1346</v>
      </c>
      <c r="F6" s="706" t="s">
        <v>1347</v>
      </c>
      <c r="G6" s="706" t="s">
        <v>1348</v>
      </c>
      <c r="H6" s="706" t="s">
        <v>1349</v>
      </c>
      <c r="I6" s="706" t="s">
        <v>1350</v>
      </c>
    </row>
    <row r="7" spans="1:10">
      <c r="A7" s="483" t="s">
        <v>1351</v>
      </c>
      <c r="C7" s="504">
        <f>+C11*5</f>
        <v>21.65</v>
      </c>
      <c r="D7" s="705">
        <f>ROUND($C$7*2,2)</f>
        <v>43.3</v>
      </c>
      <c r="E7" s="705">
        <f>ROUND($C$7*3,2)</f>
        <v>64.95</v>
      </c>
      <c r="F7" s="705">
        <f>ROUND($C$7*4,2)</f>
        <v>86.6</v>
      </c>
      <c r="G7" s="705">
        <f>ROUND($C$7*5,2)</f>
        <v>108.25</v>
      </c>
      <c r="H7" s="705">
        <f>ROUND($C$7*6,2)</f>
        <v>129.9</v>
      </c>
      <c r="I7" s="705">
        <f>ROUND($C$7*7,2)</f>
        <v>151.55000000000001</v>
      </c>
    </row>
    <row r="8" spans="1:10">
      <c r="A8" s="483" t="s">
        <v>1352</v>
      </c>
      <c r="C8" s="504">
        <f>+C11*4</f>
        <v>17.32</v>
      </c>
      <c r="D8" s="705">
        <f>ROUND($C$8*2,2)</f>
        <v>34.64</v>
      </c>
      <c r="E8" s="705">
        <f>ROUND($C$8*3,2)</f>
        <v>51.96</v>
      </c>
      <c r="F8" s="705">
        <f>ROUND($C$8*4,2)</f>
        <v>69.28</v>
      </c>
      <c r="G8" s="705">
        <f>ROUND($C$8*5,2)</f>
        <v>86.6</v>
      </c>
      <c r="H8" s="705">
        <f>ROUND($C$8*6,2)</f>
        <v>103.92</v>
      </c>
      <c r="I8" s="705">
        <f>ROUND($C$8*7,2)</f>
        <v>121.24</v>
      </c>
    </row>
    <row r="9" spans="1:10">
      <c r="A9" s="483" t="s">
        <v>1353</v>
      </c>
      <c r="C9" s="504">
        <f>+C11*3</f>
        <v>12.99</v>
      </c>
      <c r="D9" s="705">
        <f>ROUND($C$9*2,2)</f>
        <v>25.98</v>
      </c>
      <c r="E9" s="705">
        <f>ROUND($C$9*3,2)</f>
        <v>38.97</v>
      </c>
      <c r="F9" s="705">
        <f>ROUND($C$9*4,2)</f>
        <v>51.96</v>
      </c>
      <c r="G9" s="705">
        <f>ROUND($C$9*5,2)</f>
        <v>64.95</v>
      </c>
      <c r="H9" s="705">
        <f>ROUND($C$9*6,2)</f>
        <v>77.94</v>
      </c>
      <c r="I9" s="705">
        <f>ROUND($C$9*7,2)</f>
        <v>90.93</v>
      </c>
    </row>
    <row r="10" spans="1:10">
      <c r="A10" s="483" t="s">
        <v>1354</v>
      </c>
      <c r="C10" s="504">
        <f>+C11*2</f>
        <v>8.66</v>
      </c>
      <c r="D10" s="599">
        <f>ROUND($C$10*2,2)</f>
        <v>17.32</v>
      </c>
      <c r="E10" s="599">
        <f>ROUND($C$10*3,2)</f>
        <v>25.98</v>
      </c>
      <c r="F10" s="599">
        <f>ROUND($C$10*4,2)</f>
        <v>34.64</v>
      </c>
      <c r="G10" s="599">
        <f>ROUND($C$10*5,2)</f>
        <v>43.3</v>
      </c>
      <c r="H10" s="599">
        <f>ROUND($C$10*6,2)</f>
        <v>51.96</v>
      </c>
      <c r="I10" s="599">
        <f>ROUND($C$10*7,2)</f>
        <v>60.62</v>
      </c>
    </row>
    <row r="11" spans="1:10">
      <c r="A11" s="483" t="s">
        <v>1355</v>
      </c>
      <c r="C11" s="704">
        <f>ROUND(52/12,2)</f>
        <v>4.33</v>
      </c>
      <c r="D11" s="599">
        <f>ROUND($C$11*2,2)</f>
        <v>8.66</v>
      </c>
      <c r="E11" s="599">
        <f>ROUND($C$11*3,2)</f>
        <v>12.99</v>
      </c>
      <c r="F11" s="599">
        <f>ROUND($C$11*4,2)</f>
        <v>17.32</v>
      </c>
      <c r="G11" s="599">
        <f>ROUND($C$11*5,2)</f>
        <v>21.65</v>
      </c>
      <c r="H11" s="599">
        <f>ROUND($C$11*6,2)</f>
        <v>25.98</v>
      </c>
      <c r="I11" s="599">
        <f>ROUND($C$11*7,2)</f>
        <v>30.31</v>
      </c>
    </row>
    <row r="12" spans="1:10">
      <c r="A12" s="483" t="s">
        <v>1356</v>
      </c>
      <c r="C12" s="504">
        <f>ROUND(26/12,2)</f>
        <v>2.17</v>
      </c>
      <c r="D12" s="599">
        <f>ROUND($C$12*2,2)</f>
        <v>4.34</v>
      </c>
      <c r="E12" s="599">
        <f>ROUND($C$12*3,2)</f>
        <v>6.51</v>
      </c>
      <c r="F12" s="599">
        <f>ROUND($C$12*4,2)</f>
        <v>8.68</v>
      </c>
      <c r="G12" s="599">
        <f>ROUND($C$12*5,2)</f>
        <v>10.85</v>
      </c>
      <c r="H12" s="599">
        <f>ROUND($C$12*6,2)</f>
        <v>13.02</v>
      </c>
      <c r="I12" s="599">
        <f>ROUND($C$12*7,2)</f>
        <v>15.19</v>
      </c>
    </row>
    <row r="13" spans="1:10">
      <c r="A13" s="483" t="s">
        <v>1357</v>
      </c>
      <c r="C13" s="704">
        <f>12/12</f>
        <v>1</v>
      </c>
      <c r="D13" s="599">
        <f>$C$13*2</f>
        <v>2</v>
      </c>
      <c r="E13" s="599">
        <f>$C$13*3</f>
        <v>3</v>
      </c>
      <c r="F13" s="599">
        <f>$C$13*4</f>
        <v>4</v>
      </c>
      <c r="G13" s="599">
        <f>$C$13*5</f>
        <v>5</v>
      </c>
      <c r="H13" s="599">
        <f>$C$13*6</f>
        <v>6</v>
      </c>
      <c r="I13" s="599">
        <f>$C$13*7</f>
        <v>7</v>
      </c>
    </row>
    <row r="14" spans="1:10">
      <c r="A14" s="483" t="s">
        <v>1358</v>
      </c>
      <c r="C14" s="504">
        <v>1</v>
      </c>
      <c r="D14" s="599"/>
      <c r="E14" s="599"/>
      <c r="F14" s="599"/>
      <c r="G14" s="599"/>
      <c r="H14" s="599"/>
      <c r="I14" s="599"/>
    </row>
    <row r="15" spans="1:10">
      <c r="A15" s="1418" t="s">
        <v>1359</v>
      </c>
      <c r="B15" s="1418"/>
      <c r="C15" s="1418"/>
      <c r="D15" s="599"/>
      <c r="E15" s="599"/>
      <c r="F15" s="599"/>
      <c r="G15" s="599"/>
      <c r="H15" s="599"/>
      <c r="I15" s="599"/>
    </row>
    <row r="16" spans="1:10">
      <c r="A16" s="568" t="s">
        <v>1360</v>
      </c>
      <c r="B16" s="568"/>
      <c r="C16" s="703" t="s">
        <v>1361</v>
      </c>
      <c r="D16" s="599"/>
      <c r="E16" s="599"/>
      <c r="F16" s="599"/>
      <c r="G16" s="599"/>
      <c r="H16" s="599"/>
      <c r="I16" s="599"/>
    </row>
    <row r="17" spans="1:9">
      <c r="A17" s="702" t="s">
        <v>1362</v>
      </c>
      <c r="B17" s="702"/>
      <c r="C17" s="674">
        <v>20</v>
      </c>
      <c r="D17" s="599"/>
      <c r="E17" s="599"/>
      <c r="F17" s="599"/>
      <c r="G17" s="599"/>
      <c r="H17" s="599"/>
      <c r="I17" s="599"/>
    </row>
    <row r="18" spans="1:9">
      <c r="A18" s="702" t="s">
        <v>1363</v>
      </c>
      <c r="B18" s="702"/>
      <c r="C18" s="674">
        <v>34</v>
      </c>
      <c r="D18" s="599"/>
      <c r="E18" s="599"/>
      <c r="F18" s="599"/>
      <c r="G18" s="599"/>
      <c r="H18" s="599"/>
      <c r="I18" s="599"/>
    </row>
    <row r="19" spans="1:9">
      <c r="A19" s="702" t="s">
        <v>1364</v>
      </c>
      <c r="B19" s="702"/>
      <c r="C19" s="674">
        <v>51</v>
      </c>
      <c r="D19" s="599"/>
      <c r="E19" s="599"/>
      <c r="F19" s="599"/>
      <c r="G19" s="599"/>
      <c r="H19" s="599"/>
      <c r="I19" s="599"/>
    </row>
    <row r="20" spans="1:9">
      <c r="A20" s="702" t="s">
        <v>1365</v>
      </c>
      <c r="B20" s="702"/>
      <c r="C20" s="674">
        <v>77</v>
      </c>
      <c r="D20" s="599"/>
      <c r="E20" s="599"/>
      <c r="F20" s="599"/>
      <c r="G20" s="483" t="s">
        <v>1366</v>
      </c>
      <c r="H20" s="674">
        <v>2000</v>
      </c>
      <c r="I20" s="599"/>
    </row>
    <row r="21" spans="1:9">
      <c r="A21" s="702" t="s">
        <v>1367</v>
      </c>
      <c r="B21" s="702"/>
      <c r="C21" s="674">
        <v>97</v>
      </c>
      <c r="D21" s="599"/>
      <c r="E21" s="599"/>
      <c r="F21" s="599"/>
      <c r="G21" s="483" t="s">
        <v>1368</v>
      </c>
      <c r="H21" s="701" t="s">
        <v>1369</v>
      </c>
      <c r="I21" s="599"/>
    </row>
    <row r="22" spans="1:9">
      <c r="A22" s="702" t="s">
        <v>1370</v>
      </c>
      <c r="B22" s="702"/>
      <c r="C22" s="700">
        <v>117</v>
      </c>
      <c r="D22" s="599"/>
      <c r="E22" s="599"/>
      <c r="F22" s="599"/>
      <c r="I22" s="599"/>
    </row>
    <row r="23" spans="1:9">
      <c r="A23" s="702" t="s">
        <v>1371</v>
      </c>
      <c r="B23" s="702"/>
      <c r="C23" s="700">
        <v>137</v>
      </c>
      <c r="D23" s="599"/>
      <c r="E23" s="599"/>
      <c r="F23" s="599"/>
      <c r="G23" s="585" t="s">
        <v>1372</v>
      </c>
      <c r="H23" s="699">
        <v>12</v>
      </c>
      <c r="I23" s="599"/>
    </row>
    <row r="24" spans="1:9">
      <c r="A24" s="702" t="s">
        <v>1373</v>
      </c>
      <c r="B24" s="702"/>
      <c r="C24" s="700">
        <f>C23+20+20</f>
        <v>177</v>
      </c>
      <c r="D24" s="599"/>
      <c r="E24" s="599"/>
      <c r="F24" s="599"/>
      <c r="G24" s="585"/>
      <c r="H24" s="699"/>
      <c r="I24" s="599"/>
    </row>
    <row r="25" spans="1:9">
      <c r="A25" s="702" t="s">
        <v>1374</v>
      </c>
      <c r="B25" s="702"/>
      <c r="C25" s="700">
        <v>40</v>
      </c>
      <c r="D25" s="599" t="s">
        <v>383</v>
      </c>
      <c r="E25" s="599"/>
      <c r="F25" s="599"/>
      <c r="G25" s="698"/>
      <c r="H25" s="697"/>
      <c r="I25" s="599"/>
    </row>
    <row r="26" spans="1:9">
      <c r="A26" s="702" t="s">
        <v>1375</v>
      </c>
      <c r="B26" s="702"/>
      <c r="C26" s="700">
        <v>47</v>
      </c>
      <c r="D26" s="599"/>
      <c r="E26" s="599"/>
      <c r="F26" s="599"/>
      <c r="G26" s="599"/>
      <c r="H26" s="599"/>
      <c r="I26" s="599"/>
    </row>
    <row r="27" spans="1:9">
      <c r="A27" s="702" t="s">
        <v>1376</v>
      </c>
      <c r="B27" s="702"/>
      <c r="C27" s="700">
        <f>C19</f>
        <v>51</v>
      </c>
      <c r="D27" s="599"/>
      <c r="E27" s="599"/>
      <c r="F27" s="599"/>
      <c r="G27" s="599"/>
      <c r="H27" s="599"/>
      <c r="I27" s="599"/>
    </row>
    <row r="28" spans="1:9">
      <c r="A28" s="702" t="s">
        <v>1377</v>
      </c>
      <c r="B28" s="702"/>
      <c r="C28" s="700">
        <v>68</v>
      </c>
      <c r="D28" s="599"/>
      <c r="E28" s="599"/>
      <c r="F28" s="599"/>
      <c r="G28" s="599"/>
      <c r="H28" s="599"/>
      <c r="I28" s="599"/>
    </row>
    <row r="29" spans="1:9">
      <c r="A29" s="702" t="s">
        <v>1378</v>
      </c>
      <c r="B29" s="702"/>
      <c r="C29" s="700">
        <f>C20</f>
        <v>77</v>
      </c>
      <c r="D29" s="599"/>
      <c r="E29" s="599"/>
      <c r="F29" s="599"/>
      <c r="G29" s="599"/>
      <c r="H29" s="599"/>
      <c r="I29" s="599"/>
    </row>
    <row r="30" spans="1:9">
      <c r="A30" s="702" t="s">
        <v>1379</v>
      </c>
      <c r="B30" s="702"/>
      <c r="C30" s="700">
        <v>34</v>
      </c>
      <c r="D30" s="599"/>
      <c r="E30" s="599"/>
      <c r="F30" s="599"/>
      <c r="G30" s="599"/>
      <c r="H30" s="599"/>
      <c r="I30" s="599"/>
    </row>
    <row r="31" spans="1:9">
      <c r="A31" s="702" t="s">
        <v>1335</v>
      </c>
      <c r="B31" s="702"/>
      <c r="C31" s="700">
        <v>34</v>
      </c>
      <c r="D31" s="599"/>
      <c r="E31" s="599"/>
      <c r="F31" s="599"/>
      <c r="G31" s="599"/>
      <c r="H31" s="599"/>
      <c r="I31" s="599"/>
    </row>
    <row r="32" spans="1:9">
      <c r="A32" s="568" t="s">
        <v>1380</v>
      </c>
      <c r="B32" s="568"/>
      <c r="C32" s="700"/>
      <c r="D32" s="599"/>
      <c r="E32" s="599"/>
      <c r="F32" s="599"/>
      <c r="G32" s="599"/>
      <c r="H32" s="599"/>
      <c r="I32" s="599"/>
    </row>
    <row r="33" spans="1:9">
      <c r="A33" s="702" t="s">
        <v>891</v>
      </c>
      <c r="B33" s="702"/>
      <c r="C33" s="700">
        <v>29</v>
      </c>
      <c r="D33" s="599"/>
      <c r="E33" s="599"/>
      <c r="F33" s="599"/>
      <c r="G33" s="599"/>
      <c r="H33" s="599"/>
      <c r="I33" s="599"/>
    </row>
    <row r="34" spans="1:9">
      <c r="A34" s="702" t="s">
        <v>1381</v>
      </c>
      <c r="B34" s="702"/>
      <c r="C34" s="700">
        <v>125</v>
      </c>
      <c r="D34" s="599"/>
      <c r="E34" s="599"/>
      <c r="F34" s="599"/>
      <c r="G34" s="599"/>
      <c r="H34" s="599"/>
      <c r="I34" s="599"/>
    </row>
    <row r="35" spans="1:9">
      <c r="A35" s="702" t="s">
        <v>1382</v>
      </c>
      <c r="B35" s="702"/>
      <c r="C35" s="700">
        <v>175</v>
      </c>
      <c r="D35" s="599"/>
      <c r="E35" s="599"/>
      <c r="F35" s="599"/>
      <c r="G35" s="599"/>
      <c r="H35" s="599"/>
      <c r="I35" s="599"/>
    </row>
    <row r="36" spans="1:9">
      <c r="A36" s="702" t="s">
        <v>1383</v>
      </c>
      <c r="B36" s="702"/>
      <c r="C36" s="700">
        <v>250</v>
      </c>
      <c r="D36" s="599"/>
      <c r="E36" s="599"/>
      <c r="F36" s="599"/>
      <c r="G36" s="599"/>
      <c r="H36" s="599"/>
      <c r="I36" s="599"/>
    </row>
    <row r="37" spans="1:9">
      <c r="A37" s="702" t="s">
        <v>1384</v>
      </c>
      <c r="B37" s="702"/>
      <c r="C37" s="700">
        <v>324</v>
      </c>
      <c r="D37" s="599"/>
      <c r="E37" s="599"/>
      <c r="F37" s="599"/>
      <c r="G37" s="599"/>
      <c r="H37" s="599"/>
      <c r="I37" s="599"/>
    </row>
    <row r="38" spans="1:9">
      <c r="A38" s="702" t="s">
        <v>1385</v>
      </c>
      <c r="B38" s="702"/>
      <c r="C38" s="700">
        <v>473</v>
      </c>
      <c r="D38" s="599"/>
      <c r="E38" s="599"/>
      <c r="F38" s="599"/>
      <c r="G38" s="599"/>
      <c r="H38" s="599"/>
      <c r="I38" s="599"/>
    </row>
    <row r="39" spans="1:9">
      <c r="A39" s="702" t="s">
        <v>1386</v>
      </c>
      <c r="B39" s="702"/>
      <c r="C39" s="700">
        <v>613</v>
      </c>
      <c r="D39" s="599"/>
      <c r="E39" s="599"/>
      <c r="F39" s="599"/>
      <c r="G39" s="599"/>
      <c r="H39" s="599"/>
      <c r="I39" s="599"/>
    </row>
    <row r="40" spans="1:9">
      <c r="A40" s="696" t="s">
        <v>1387</v>
      </c>
      <c r="B40" s="696"/>
      <c r="C40" s="700">
        <f>C39+115</f>
        <v>728</v>
      </c>
      <c r="D40" s="599"/>
      <c r="E40" s="599"/>
      <c r="F40" s="599"/>
      <c r="G40" s="599"/>
      <c r="H40" s="599"/>
      <c r="I40" s="599"/>
    </row>
    <row r="41" spans="1:9">
      <c r="A41" s="702" t="s">
        <v>1388</v>
      </c>
      <c r="B41" s="702"/>
      <c r="C41" s="700">
        <v>840</v>
      </c>
      <c r="D41" s="599"/>
      <c r="E41" s="599"/>
      <c r="F41" s="599"/>
      <c r="G41" s="599"/>
      <c r="H41" s="599"/>
      <c r="I41" s="599"/>
    </row>
    <row r="42" spans="1:9">
      <c r="A42" s="702" t="s">
        <v>1389</v>
      </c>
      <c r="B42" s="702"/>
      <c r="C42" s="700">
        <v>980</v>
      </c>
      <c r="D42" s="599"/>
      <c r="E42" s="599"/>
      <c r="F42" s="599"/>
      <c r="G42" s="599"/>
      <c r="H42" s="599"/>
      <c r="I42" s="599"/>
    </row>
    <row r="43" spans="1:9">
      <c r="A43" s="695" t="s">
        <v>1390</v>
      </c>
      <c r="B43" s="695">
        <v>2.25</v>
      </c>
      <c r="C43" s="700"/>
      <c r="D43" s="694"/>
      <c r="E43" s="599"/>
      <c r="F43" s="599"/>
      <c r="G43" s="599"/>
      <c r="H43" s="599"/>
      <c r="I43" s="599"/>
    </row>
    <row r="44" spans="1:9">
      <c r="A44" s="702" t="s">
        <v>1391</v>
      </c>
      <c r="B44" s="702"/>
      <c r="C44" s="700">
        <f>C37*$B$43</f>
        <v>729</v>
      </c>
      <c r="D44" s="599" t="s">
        <v>383</v>
      </c>
      <c r="E44" s="599"/>
      <c r="F44" s="599"/>
      <c r="G44" s="599"/>
      <c r="H44" s="599"/>
      <c r="I44" s="599"/>
    </row>
    <row r="45" spans="1:9">
      <c r="A45" s="702" t="s">
        <v>1392</v>
      </c>
      <c r="B45" s="702"/>
      <c r="C45" s="674">
        <f>C39*$B$43</f>
        <v>1379.25</v>
      </c>
      <c r="D45" s="599" t="s">
        <v>383</v>
      </c>
      <c r="E45" s="599"/>
      <c r="F45" s="599"/>
      <c r="G45" s="599"/>
      <c r="H45" s="599"/>
      <c r="I45" s="599"/>
    </row>
    <row r="46" spans="1:9">
      <c r="A46" s="702" t="s">
        <v>1393</v>
      </c>
      <c r="B46" s="702"/>
      <c r="C46" s="674">
        <f>C41*$B$43</f>
        <v>1890</v>
      </c>
      <c r="D46" s="599" t="s">
        <v>383</v>
      </c>
      <c r="E46" s="599"/>
      <c r="F46" s="599"/>
      <c r="G46" s="599"/>
      <c r="H46" s="599"/>
      <c r="I46" s="599"/>
    </row>
    <row r="47" spans="1:9">
      <c r="A47" s="695" t="s">
        <v>1394</v>
      </c>
      <c r="B47" s="695">
        <v>3</v>
      </c>
      <c r="C47" s="674"/>
      <c r="D47" s="599"/>
      <c r="E47" s="599"/>
      <c r="F47" s="599"/>
      <c r="G47" s="599"/>
      <c r="H47" s="599"/>
      <c r="I47" s="599"/>
    </row>
    <row r="48" spans="1:9">
      <c r="A48" s="702" t="s">
        <v>1391</v>
      </c>
      <c r="B48" s="702"/>
      <c r="C48" s="693">
        <f>C37*$B$47</f>
        <v>972</v>
      </c>
      <c r="D48" s="599" t="s">
        <v>383</v>
      </c>
      <c r="E48" s="599"/>
      <c r="F48" s="599"/>
      <c r="G48" s="599"/>
      <c r="H48" s="599"/>
      <c r="I48" s="599"/>
    </row>
    <row r="49" spans="1:9">
      <c r="A49" s="702" t="s">
        <v>1395</v>
      </c>
      <c r="B49" s="702"/>
      <c r="C49" s="693">
        <f>C38*$B$47</f>
        <v>1419</v>
      </c>
      <c r="D49" s="599" t="s">
        <v>383</v>
      </c>
      <c r="E49" s="599"/>
      <c r="F49" s="599"/>
      <c r="G49" s="599"/>
      <c r="H49" s="599"/>
      <c r="I49" s="599"/>
    </row>
    <row r="50" spans="1:9">
      <c r="A50" s="702" t="s">
        <v>1392</v>
      </c>
      <c r="B50" s="702"/>
      <c r="C50" s="693">
        <f>C39*$B$47</f>
        <v>1839</v>
      </c>
      <c r="D50" s="599" t="s">
        <v>383</v>
      </c>
      <c r="E50" s="599"/>
      <c r="F50" s="599"/>
      <c r="G50" s="599"/>
      <c r="H50" s="599"/>
      <c r="I50" s="599"/>
    </row>
    <row r="51" spans="1:9">
      <c r="A51" s="702" t="s">
        <v>1393</v>
      </c>
      <c r="B51" s="702"/>
      <c r="C51" s="693">
        <f>C41*$B$47</f>
        <v>2520</v>
      </c>
      <c r="D51" s="599" t="s">
        <v>383</v>
      </c>
      <c r="E51" s="599"/>
      <c r="F51" s="599"/>
      <c r="G51" s="599"/>
      <c r="H51" s="599"/>
      <c r="I51" s="599"/>
    </row>
    <row r="52" spans="1:9">
      <c r="A52" s="695" t="s">
        <v>1396</v>
      </c>
      <c r="B52" s="695">
        <v>4</v>
      </c>
      <c r="C52" s="674"/>
      <c r="D52" s="599"/>
      <c r="E52" s="599"/>
      <c r="F52" s="599"/>
      <c r="G52" s="599"/>
      <c r="H52" s="599"/>
      <c r="I52" s="599"/>
    </row>
    <row r="53" spans="1:9">
      <c r="A53" s="702" t="s">
        <v>1397</v>
      </c>
      <c r="B53" s="695"/>
      <c r="C53" s="674">
        <f>C36*B52</f>
        <v>1000</v>
      </c>
      <c r="D53" s="599" t="s">
        <v>383</v>
      </c>
      <c r="E53" s="599"/>
      <c r="F53" s="599"/>
      <c r="G53" s="599"/>
      <c r="H53" s="599"/>
      <c r="I53" s="599"/>
    </row>
    <row r="54" spans="1:9">
      <c r="A54" s="702" t="s">
        <v>1391</v>
      </c>
      <c r="B54" s="695"/>
      <c r="C54" s="674">
        <f>C37*B52</f>
        <v>1296</v>
      </c>
      <c r="D54" s="599" t="s">
        <v>383</v>
      </c>
      <c r="E54" s="599"/>
      <c r="F54" s="599"/>
      <c r="G54" s="599"/>
      <c r="H54" s="599"/>
      <c r="I54" s="599"/>
    </row>
    <row r="55" spans="1:9">
      <c r="A55" s="702" t="s">
        <v>1395</v>
      </c>
      <c r="B55" s="702"/>
      <c r="C55" s="693">
        <f>C38*$B$52</f>
        <v>1892</v>
      </c>
      <c r="D55" s="599" t="s">
        <v>383</v>
      </c>
      <c r="E55" s="599"/>
      <c r="F55" s="599"/>
      <c r="G55" s="599"/>
      <c r="H55" s="599"/>
      <c r="I55" s="599"/>
    </row>
    <row r="56" spans="1:9">
      <c r="A56" s="702" t="s">
        <v>1392</v>
      </c>
      <c r="B56" s="702"/>
      <c r="C56" s="693">
        <f>C39*$B$52</f>
        <v>2452</v>
      </c>
      <c r="D56" s="599" t="s">
        <v>383</v>
      </c>
      <c r="E56" s="599"/>
      <c r="F56" s="599"/>
      <c r="G56" s="599"/>
      <c r="H56" s="599"/>
      <c r="I56" s="599"/>
    </row>
    <row r="57" spans="1:9">
      <c r="A57" s="702" t="s">
        <v>1393</v>
      </c>
      <c r="B57" s="702"/>
      <c r="C57" s="693">
        <f>C41*$B$52</f>
        <v>3360</v>
      </c>
      <c r="D57" s="599" t="s">
        <v>383</v>
      </c>
      <c r="E57" s="599"/>
      <c r="F57" s="599"/>
      <c r="G57" s="599"/>
      <c r="H57" s="599"/>
      <c r="I57" s="599"/>
    </row>
    <row r="58" spans="1:9">
      <c r="A58" s="695" t="s">
        <v>1398</v>
      </c>
      <c r="B58" s="695">
        <v>5</v>
      </c>
      <c r="C58" s="674"/>
      <c r="D58" s="599"/>
      <c r="E58" s="599"/>
      <c r="F58" s="599"/>
      <c r="G58" s="599"/>
      <c r="H58" s="599"/>
      <c r="I58" s="599"/>
    </row>
    <row r="59" spans="1:9">
      <c r="A59" s="702" t="s">
        <v>1392</v>
      </c>
      <c r="B59" s="702"/>
      <c r="C59" s="693">
        <f>C39*$B$58</f>
        <v>3065</v>
      </c>
      <c r="D59" s="599" t="s">
        <v>383</v>
      </c>
      <c r="E59" s="599"/>
      <c r="F59" s="599"/>
      <c r="G59" s="599"/>
      <c r="H59" s="599"/>
      <c r="I59" s="599"/>
    </row>
    <row r="60" spans="1:9">
      <c r="A60" s="702" t="s">
        <v>1393</v>
      </c>
      <c r="B60" s="702"/>
      <c r="C60" s="693">
        <f>C41*$B$58</f>
        <v>4200</v>
      </c>
      <c r="D60" s="599" t="s">
        <v>383</v>
      </c>
      <c r="E60" s="599"/>
      <c r="F60" s="599"/>
      <c r="G60" s="599"/>
      <c r="H60" s="599"/>
      <c r="I60" s="599"/>
    </row>
    <row r="61" spans="1:9">
      <c r="C61" s="1419" t="s">
        <v>1399</v>
      </c>
      <c r="D61" s="1419"/>
    </row>
    <row r="62" spans="1:9">
      <c r="C62" s="1419"/>
      <c r="D62" s="1419"/>
    </row>
    <row r="64" spans="1:9">
      <c r="A64" s="484"/>
      <c r="B64" s="484"/>
      <c r="C64" s="690"/>
      <c r="D64" s="484"/>
    </row>
    <row r="65" spans="1:4">
      <c r="A65" s="484"/>
      <c r="B65" s="484"/>
      <c r="C65" s="484"/>
      <c r="D65" s="484"/>
    </row>
    <row r="66" spans="1:4">
      <c r="A66" s="691"/>
      <c r="B66" s="691"/>
      <c r="C66" s="689"/>
      <c r="D66" s="484"/>
    </row>
    <row r="67" spans="1:4">
      <c r="A67" s="484"/>
      <c r="B67" s="484"/>
      <c r="C67" s="484"/>
      <c r="D67" s="484"/>
    </row>
    <row r="68" spans="1:4">
      <c r="A68" s="484"/>
      <c r="B68" s="484"/>
      <c r="C68" s="484"/>
      <c r="D68" s="484"/>
    </row>
    <row r="207" spans="2:4">
      <c r="B207" s="688" t="s">
        <v>1400</v>
      </c>
    </row>
    <row r="208" spans="2:4">
      <c r="C208" s="484"/>
      <c r="D208" s="484"/>
    </row>
    <row r="209" spans="3:4">
      <c r="C209" s="484"/>
      <c r="D209" s="484"/>
    </row>
    <row r="210" spans="3:4">
      <c r="C210" s="484"/>
      <c r="D210" s="484"/>
    </row>
    <row r="211" spans="3:4">
      <c r="C211" s="484"/>
      <c r="D211" s="484"/>
    </row>
    <row r="212" spans="3:4">
      <c r="C212" s="484"/>
      <c r="D212" s="484"/>
    </row>
    <row r="213" spans="3:4">
      <c r="C213" s="484"/>
      <c r="D213" s="484"/>
    </row>
    <row r="214" spans="3:4">
      <c r="C214" s="484"/>
      <c r="D214" s="484"/>
    </row>
    <row r="215" spans="3:4">
      <c r="C215" s="484"/>
      <c r="D215" s="484"/>
    </row>
    <row r="216" spans="3:4">
      <c r="C216" s="484"/>
      <c r="D216" s="484"/>
    </row>
    <row r="217" spans="3:4">
      <c r="C217" s="484"/>
      <c r="D217" s="484"/>
    </row>
    <row r="218" spans="3:4">
      <c r="C218" s="484"/>
      <c r="D218" s="484"/>
    </row>
    <row r="219" spans="3:4">
      <c r="C219" s="484"/>
      <c r="D219" s="484"/>
    </row>
    <row r="220" spans="3:4">
      <c r="C220" s="484"/>
      <c r="D220" s="484"/>
    </row>
    <row r="221" spans="3:4">
      <c r="C221" s="484"/>
      <c r="D221" s="484"/>
    </row>
    <row r="222" spans="3:4">
      <c r="C222" s="484"/>
      <c r="D222" s="484"/>
    </row>
    <row r="223" spans="3:4">
      <c r="C223" s="484"/>
      <c r="D223" s="484"/>
    </row>
    <row r="224" spans="3:4">
      <c r="C224" s="484"/>
      <c r="D224" s="484"/>
    </row>
    <row r="225" spans="3:4">
      <c r="C225" s="484"/>
      <c r="D225" s="484"/>
    </row>
    <row r="226" spans="3:4">
      <c r="C226" s="484"/>
      <c r="D226" s="484"/>
    </row>
    <row r="227" spans="3:4">
      <c r="C227" s="484"/>
      <c r="D227" s="484"/>
    </row>
    <row r="228" spans="3:4">
      <c r="C228" s="484"/>
      <c r="D228" s="484"/>
    </row>
    <row r="229" spans="3:4">
      <c r="C229" s="484"/>
      <c r="D229" s="484"/>
    </row>
    <row r="230" spans="3:4">
      <c r="C230" s="484"/>
      <c r="D230" s="484"/>
    </row>
    <row r="231" spans="3:4">
      <c r="C231" s="484"/>
      <c r="D231" s="484"/>
    </row>
    <row r="232" spans="3:4">
      <c r="C232" s="484"/>
      <c r="D232" s="484"/>
    </row>
    <row r="233" spans="3:4">
      <c r="C233" s="484"/>
      <c r="D233" s="484"/>
    </row>
    <row r="234" spans="3:4">
      <c r="C234" s="484"/>
      <c r="D234" s="484"/>
    </row>
    <row r="235" spans="3:4">
      <c r="C235" s="484"/>
      <c r="D235" s="484"/>
    </row>
    <row r="236" spans="3:4">
      <c r="C236" s="484"/>
      <c r="D236" s="484"/>
    </row>
    <row r="237" spans="3:4">
      <c r="D237" s="687"/>
    </row>
    <row r="238" spans="3:4">
      <c r="C238" s="484"/>
      <c r="D238" s="484"/>
    </row>
    <row r="239" spans="3:4">
      <c r="C239" s="484"/>
      <c r="D239" s="484"/>
    </row>
    <row r="240" spans="3:4">
      <c r="C240" s="484"/>
      <c r="D240" s="484"/>
    </row>
    <row r="241" spans="3:4">
      <c r="C241" s="484"/>
      <c r="D241" s="484"/>
    </row>
    <row r="242" spans="3:4">
      <c r="C242" s="484"/>
      <c r="D242" s="484"/>
    </row>
    <row r="243" spans="3:4">
      <c r="C243" s="484"/>
      <c r="D243" s="484"/>
    </row>
    <row r="244" spans="3:4">
      <c r="C244" s="484"/>
      <c r="D244" s="484"/>
    </row>
    <row r="245" spans="3:4">
      <c r="C245" s="484"/>
      <c r="D245" s="484"/>
    </row>
    <row r="246" spans="3:4">
      <c r="C246" s="484"/>
      <c r="D246" s="484"/>
    </row>
    <row r="247" spans="3:4">
      <c r="C247" s="484"/>
      <c r="D247" s="484"/>
    </row>
    <row r="248" spans="3:4">
      <c r="C248" s="484"/>
      <c r="D248" s="484"/>
    </row>
    <row r="249" spans="3:4">
      <c r="C249" s="484"/>
      <c r="D249" s="484"/>
    </row>
    <row r="250" spans="3:4">
      <c r="C250" s="484"/>
      <c r="D250" s="484"/>
    </row>
    <row r="251" spans="3:4">
      <c r="C251" s="484"/>
      <c r="D251" s="484"/>
    </row>
    <row r="252" spans="3:4">
      <c r="C252" s="484"/>
      <c r="D252" s="484"/>
    </row>
    <row r="253" spans="3:4">
      <c r="C253" s="484"/>
      <c r="D253" s="484"/>
    </row>
    <row r="254" spans="3:4">
      <c r="C254" s="484"/>
      <c r="D254" s="484"/>
    </row>
    <row r="255" spans="3:4">
      <c r="C255" s="484"/>
      <c r="D255" s="484"/>
    </row>
    <row r="256" spans="3:4">
      <c r="C256" s="484"/>
      <c r="D256" s="484"/>
    </row>
    <row r="257" spans="3:4">
      <c r="C257" s="484"/>
      <c r="D257" s="484"/>
    </row>
    <row r="258" spans="3:4">
      <c r="C258" s="484"/>
      <c r="D258" s="484"/>
    </row>
    <row r="259" spans="3:4">
      <c r="C259" s="484"/>
      <c r="D259" s="484"/>
    </row>
    <row r="260" spans="3:4">
      <c r="C260" s="484"/>
      <c r="D260" s="484"/>
    </row>
    <row r="261" spans="3:4">
      <c r="C261" s="484"/>
      <c r="D261" s="484"/>
    </row>
    <row r="262" spans="3:4">
      <c r="C262" s="484"/>
      <c r="D262" s="484"/>
    </row>
    <row r="263" spans="3:4">
      <c r="C263" s="484"/>
      <c r="D263" s="484"/>
    </row>
    <row r="264" spans="3:4">
      <c r="C264" s="484"/>
      <c r="D264" s="484"/>
    </row>
    <row r="265" spans="3:4">
      <c r="C265" s="484"/>
      <c r="D265" s="484"/>
    </row>
    <row r="266" spans="3:4">
      <c r="C266" s="484"/>
      <c r="D266" s="484"/>
    </row>
    <row r="267" spans="3:4">
      <c r="C267" s="484"/>
      <c r="D267" s="484"/>
    </row>
    <row r="268" spans="3:4">
      <c r="C268" s="484"/>
      <c r="D268" s="484"/>
    </row>
    <row r="269" spans="3:4">
      <c r="C269" s="484"/>
      <c r="D269" s="484"/>
    </row>
    <row r="270" spans="3:4">
      <c r="C270" s="484"/>
      <c r="D270" s="484"/>
    </row>
    <row r="271" spans="3:4">
      <c r="C271" s="484"/>
      <c r="D271" s="484"/>
    </row>
    <row r="272" spans="3:4">
      <c r="C272" s="484"/>
      <c r="D272" s="484"/>
    </row>
    <row r="273" spans="3:4">
      <c r="C273" s="484"/>
      <c r="D273" s="484"/>
    </row>
    <row r="274" spans="3:4">
      <c r="C274" s="484"/>
      <c r="D274" s="484"/>
    </row>
    <row r="275" spans="3:4">
      <c r="C275" s="484"/>
      <c r="D275" s="484"/>
    </row>
    <row r="276" spans="3:4">
      <c r="C276" s="484"/>
      <c r="D276" s="484"/>
    </row>
    <row r="277" spans="3:4">
      <c r="C277" s="484"/>
      <c r="D277" s="484"/>
    </row>
    <row r="278" spans="3:4">
      <c r="C278" s="484"/>
      <c r="D278" s="484"/>
    </row>
    <row r="279" spans="3:4">
      <c r="C279" s="484"/>
      <c r="D279" s="484"/>
    </row>
    <row r="280" spans="3:4">
      <c r="C280" s="484"/>
      <c r="D280" s="484"/>
    </row>
    <row r="281" spans="3:4">
      <c r="C281" s="484"/>
      <c r="D281" s="484"/>
    </row>
    <row r="282" spans="3:4">
      <c r="C282" s="484"/>
      <c r="D282" s="484"/>
    </row>
    <row r="283" spans="3:4">
      <c r="C283" s="484"/>
      <c r="D283" s="484"/>
    </row>
    <row r="284" spans="3:4">
      <c r="C284" s="484"/>
      <c r="D284" s="484"/>
    </row>
    <row r="285" spans="3:4">
      <c r="C285" s="484"/>
      <c r="D285" s="484"/>
    </row>
    <row r="286" spans="3:4">
      <c r="C286" s="484"/>
      <c r="D286" s="484"/>
    </row>
    <row r="287" spans="3:4">
      <c r="C287" s="484"/>
      <c r="D287" s="484"/>
    </row>
    <row r="288" spans="3:4">
      <c r="C288" s="484"/>
      <c r="D288" s="484"/>
    </row>
    <row r="289" spans="2:4">
      <c r="C289" s="484"/>
      <c r="D289" s="484"/>
    </row>
    <row r="290" spans="2:4">
      <c r="C290" s="484"/>
      <c r="D290" s="484"/>
    </row>
    <row r="291" spans="2:4">
      <c r="C291" s="484"/>
      <c r="D291" s="484"/>
    </row>
    <row r="292" spans="2:4">
      <c r="C292" s="484"/>
      <c r="D292" s="484"/>
    </row>
    <row r="293" spans="2:4">
      <c r="C293" s="484"/>
      <c r="D293" s="484"/>
    </row>
    <row r="294" spans="2:4">
      <c r="C294" s="484"/>
      <c r="D294" s="484"/>
    </row>
    <row r="295" spans="2:4">
      <c r="C295" s="484"/>
      <c r="D295" s="484"/>
    </row>
    <row r="296" spans="2:4">
      <c r="C296" s="484"/>
      <c r="D296" s="484"/>
    </row>
    <row r="297" spans="2:4">
      <c r="C297" s="484"/>
      <c r="D297" s="484"/>
    </row>
    <row r="298" spans="2:4">
      <c r="B298" s="687"/>
      <c r="C298" s="687"/>
      <c r="D298" s="687"/>
    </row>
    <row r="299" spans="2:4">
      <c r="B299" s="484"/>
      <c r="C299" s="484"/>
      <c r="D299" s="484"/>
    </row>
    <row r="300" spans="2:4">
      <c r="B300" s="484"/>
      <c r="C300" s="484"/>
      <c r="D300" s="484"/>
    </row>
    <row r="301" spans="2:4">
      <c r="B301" s="484"/>
      <c r="C301" s="484"/>
      <c r="D301" s="484"/>
    </row>
    <row r="302" spans="2:4">
      <c r="B302" s="484"/>
      <c r="C302" s="484"/>
      <c r="D302" s="484"/>
    </row>
    <row r="303" spans="2:4">
      <c r="B303" s="484"/>
      <c r="C303" s="484"/>
      <c r="D303" s="484"/>
    </row>
    <row r="305" spans="12:13">
      <c r="L305" s="692"/>
    </row>
    <row r="306" spans="12:13">
      <c r="L306" s="692"/>
    </row>
    <row r="307" spans="12:13">
      <c r="L307" s="692"/>
    </row>
    <row r="308" spans="12:13">
      <c r="L308" s="692"/>
      <c r="M308" s="686"/>
    </row>
    <row r="311" spans="12:13">
      <c r="L311" s="692"/>
    </row>
    <row r="312" spans="12:13">
      <c r="L312" s="692"/>
    </row>
    <row r="313" spans="12:13">
      <c r="L313" s="692"/>
    </row>
    <row r="314" spans="12:13">
      <c r="L314" s="692"/>
      <c r="M314" s="686"/>
    </row>
    <row r="317" spans="12:13">
      <c r="L317" s="692"/>
    </row>
    <row r="318" spans="12:13">
      <c r="L318" s="692"/>
    </row>
    <row r="319" spans="12:13">
      <c r="L319" s="692"/>
    </row>
    <row r="320" spans="12:13">
      <c r="L320" s="692"/>
      <c r="M320" s="686"/>
    </row>
    <row r="322" spans="11:11">
      <c r="K322" s="685"/>
    </row>
  </sheetData>
  <mergeCells count="3">
    <mergeCell ref="A5:I5"/>
    <mergeCell ref="A15:C15"/>
    <mergeCell ref="C61:D62"/>
  </mergeCells>
  <pageMargins left="0.7" right="0.7" top="0.75" bottom="0.75" header="0.3" footer="0.3"/>
  <pageSetup scale="64" pageOrder="overThenDown" orientation="portrait" r:id="rId1"/>
  <headerFooter>
    <oddFooter xml:space="preserve">&amp;L&amp;F - &amp;A
&amp;R&amp;P of &amp;N
</oddFooter>
  </headerFooter>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2"/>
  <sheetViews>
    <sheetView showGridLines="0" view="pageBreakPreview" zoomScale="60" zoomScaleNormal="100" workbookViewId="0">
      <selection activeCell="AI26" sqref="AI26"/>
    </sheetView>
  </sheetViews>
  <sheetFormatPr defaultColWidth="9.28515625" defaultRowHeight="15" customHeight="1"/>
  <cols>
    <col min="1" max="1" width="9.28515625" style="95"/>
    <col min="2" max="2" width="25.28515625" style="95" customWidth="1"/>
    <col min="3" max="3" width="13.28515625" style="95" bestFit="1" customWidth="1"/>
    <col min="4" max="4" width="14.28515625" style="95" customWidth="1"/>
    <col min="5" max="5" width="13.42578125" style="95" customWidth="1"/>
    <col min="6" max="6" width="15" style="95" customWidth="1"/>
    <col min="7" max="7" width="16.7109375" style="95" customWidth="1"/>
    <col min="8" max="8" width="27.5703125" style="95" customWidth="1"/>
    <col min="9" max="9" width="21" style="95" customWidth="1"/>
    <col min="10" max="11" width="13.7109375" style="95" customWidth="1"/>
    <col min="12" max="12" width="12" style="95" customWidth="1"/>
    <col min="13" max="13" width="11" style="95" customWidth="1"/>
    <col min="14" max="14" width="8.28515625" style="95" bestFit="1" customWidth="1"/>
    <col min="15" max="15" width="7.5703125" style="95" bestFit="1" customWidth="1"/>
    <col min="16" max="16" width="8.7109375" style="95" bestFit="1" customWidth="1"/>
    <col min="17" max="16384" width="9.28515625" style="95"/>
  </cols>
  <sheetData>
    <row r="1" spans="1:8">
      <c r="B1" s="1370" t="str">
        <f>'Vancouver Consolidated IS'!A1</f>
        <v>Waste Connections of Washington, G-253</v>
      </c>
    </row>
    <row r="2" spans="1:8">
      <c r="B2" s="123" t="s">
        <v>385</v>
      </c>
    </row>
    <row r="3" spans="1:8">
      <c r="A3" s="123"/>
      <c r="B3" s="119"/>
    </row>
    <row r="4" spans="1:8">
      <c r="B4" s="124" t="s">
        <v>386</v>
      </c>
      <c r="C4" s="125"/>
      <c r="D4" s="125"/>
      <c r="E4" s="125"/>
      <c r="F4" s="125"/>
      <c r="G4" s="125"/>
    </row>
    <row r="5" spans="1:8" ht="15.75" thickBot="1">
      <c r="B5" s="123"/>
    </row>
    <row r="6" spans="1:8" s="481" customFormat="1" ht="15.75" thickBot="1">
      <c r="B6" s="1391" t="s">
        <v>402</v>
      </c>
      <c r="C6" s="1392"/>
      <c r="D6" s="1392"/>
      <c r="E6" s="1392"/>
      <c r="F6" s="1392"/>
      <c r="G6" s="1393"/>
      <c r="H6" s="95"/>
    </row>
    <row r="7" spans="1:8" s="481" customFormat="1">
      <c r="B7" s="160" t="s">
        <v>403</v>
      </c>
      <c r="C7" s="161"/>
      <c r="D7" s="161"/>
      <c r="E7" s="161"/>
      <c r="F7" s="1368" t="s">
        <v>404</v>
      </c>
      <c r="G7" s="162"/>
      <c r="H7" s="163"/>
    </row>
    <row r="8" spans="1:8" s="481" customFormat="1">
      <c r="B8" s="165" t="s">
        <v>405</v>
      </c>
      <c r="C8" s="166" t="s">
        <v>388</v>
      </c>
      <c r="D8" s="167" t="s">
        <v>389</v>
      </c>
      <c r="E8" s="167" t="s">
        <v>27</v>
      </c>
      <c r="F8" s="167" t="s">
        <v>388</v>
      </c>
      <c r="G8" s="168" t="s">
        <v>406</v>
      </c>
      <c r="H8" s="167"/>
    </row>
    <row r="9" spans="1:8" s="481" customFormat="1">
      <c r="B9" s="169" t="s">
        <v>1278</v>
      </c>
      <c r="C9" s="1366">
        <f>+'[50]Week 1 Time'!$H$765</f>
        <v>1434.7666690000001</v>
      </c>
      <c r="D9" s="1366">
        <f>+'[50]Week 1 Time'!$I$771</f>
        <v>545.53333399999997</v>
      </c>
      <c r="E9" s="170">
        <f>SUM(C9:D9)</f>
        <v>1980.3000030000001</v>
      </c>
      <c r="F9" s="437">
        <f t="shared" ref="F9:G11" si="0">+C9/$E9</f>
        <v>0.72451985397487273</v>
      </c>
      <c r="G9" s="436">
        <f t="shared" si="0"/>
        <v>0.27548014602512727</v>
      </c>
      <c r="H9" s="664"/>
    </row>
    <row r="10" spans="1:8" s="481" customFormat="1">
      <c r="B10" s="172" t="s">
        <v>1246</v>
      </c>
      <c r="C10" s="1366">
        <f>+'[50]Week 1 Time'!$H$767</f>
        <v>130.18225600491525</v>
      </c>
      <c r="D10" s="1366">
        <f>+'[50]Week 1 Time'!$I$767</f>
        <v>235.73441099508474</v>
      </c>
      <c r="E10" s="170">
        <f t="shared" ref="E10:E17" si="1">SUM(C10:D10)</f>
        <v>365.91666699999996</v>
      </c>
      <c r="F10" s="437">
        <f t="shared" si="0"/>
        <v>0.35577022788337559</v>
      </c>
      <c r="G10" s="436">
        <f t="shared" si="0"/>
        <v>0.64422977211662447</v>
      </c>
      <c r="H10" s="174"/>
    </row>
    <row r="11" spans="1:8" s="481" customFormat="1">
      <c r="B11" s="172" t="s">
        <v>408</v>
      </c>
      <c r="C11" s="1366">
        <f>+'[50]Week 1 Time'!$H$769</f>
        <v>383.4637810089248</v>
      </c>
      <c r="D11" s="1366">
        <f>+'[50]Week 1 Time'!$I$769</f>
        <v>517.7862189910752</v>
      </c>
      <c r="E11" s="170">
        <f t="shared" si="1"/>
        <v>901.25</v>
      </c>
      <c r="F11" s="437">
        <f t="shared" si="0"/>
        <v>0.42547992344956981</v>
      </c>
      <c r="G11" s="436">
        <f t="shared" si="0"/>
        <v>0.57452007655043014</v>
      </c>
      <c r="H11" s="171"/>
    </row>
    <row r="12" spans="1:8" s="481" customFormat="1">
      <c r="B12" s="172" t="s">
        <v>18</v>
      </c>
      <c r="C12" s="1366"/>
      <c r="D12" s="1366">
        <f>+'[50]Week 1 Time'!$I$775</f>
        <v>1313.9000039999999</v>
      </c>
      <c r="E12" s="170">
        <f t="shared" si="1"/>
        <v>1313.9000039999999</v>
      </c>
      <c r="F12" s="437"/>
      <c r="G12" s="436"/>
      <c r="H12" s="171"/>
    </row>
    <row r="13" spans="1:8" s="481" customFormat="1">
      <c r="B13" s="172" t="s">
        <v>19</v>
      </c>
      <c r="C13" s="1366"/>
      <c r="D13" s="1366">
        <f>+'[50]Week 1 Time'!$I$777</f>
        <v>466.18333100000001</v>
      </c>
      <c r="E13" s="170">
        <f t="shared" si="1"/>
        <v>466.18333100000001</v>
      </c>
      <c r="F13" s="437"/>
      <c r="G13" s="436"/>
      <c r="H13" s="171"/>
    </row>
    <row r="14" spans="1:8" s="481" customFormat="1">
      <c r="B14" s="172" t="s">
        <v>396</v>
      </c>
      <c r="C14" s="1366"/>
      <c r="D14" s="1366">
        <f>+'[50]Week 1 Time'!$I$773+'[50]Week 1 Time'!$I$783+'[50]Week 1 Time'!$I$781+'[50]Week 1 Time'!$I$779</f>
        <v>393.683335</v>
      </c>
      <c r="E14" s="170">
        <f t="shared" si="1"/>
        <v>393.683335</v>
      </c>
      <c r="F14" s="437"/>
      <c r="G14" s="436"/>
      <c r="H14" s="171"/>
    </row>
    <row r="15" spans="1:8" s="481" customFormat="1">
      <c r="B15" s="172" t="s">
        <v>481</v>
      </c>
      <c r="C15" s="1366"/>
      <c r="D15" s="1366">
        <f>+'[50]Week 1 Time'!$I$787</f>
        <v>90.883333999999991</v>
      </c>
      <c r="E15" s="170">
        <f t="shared" si="1"/>
        <v>90.883333999999991</v>
      </c>
      <c r="F15" s="437"/>
      <c r="G15" s="436"/>
      <c r="H15" s="171"/>
    </row>
    <row r="16" spans="1:8" s="481" customFormat="1">
      <c r="B16" s="172" t="s">
        <v>1241</v>
      </c>
      <c r="C16" s="1366">
        <f>+'[50]Week 1 Time'!$H$785</f>
        <v>10.561263252065565</v>
      </c>
      <c r="D16" s="1366">
        <f>+'[50]Week 1 Time'!$I$785</f>
        <v>247.10540574793438</v>
      </c>
      <c r="E16" s="170">
        <f t="shared" si="1"/>
        <v>257.66666899999996</v>
      </c>
      <c r="F16" s="437">
        <f>+C16/$E16</f>
        <v>4.0988084695058352E-2</v>
      </c>
      <c r="G16" s="436">
        <f>+D16/$E16</f>
        <v>0.95901191530494156</v>
      </c>
      <c r="H16" s="171"/>
    </row>
    <row r="17" spans="2:13" s="481" customFormat="1">
      <c r="B17" s="172" t="s">
        <v>1423</v>
      </c>
      <c r="C17" s="1367">
        <f>+'[50]Week 1 Time'!$H$789</f>
        <v>84.537800516261541</v>
      </c>
      <c r="D17" s="1367">
        <f>+'[50]Week 1 Time'!$I$789</f>
        <v>150.67886648373843</v>
      </c>
      <c r="E17" s="170">
        <f t="shared" si="1"/>
        <v>235.21666699999997</v>
      </c>
      <c r="F17" s="437">
        <f>SUM(C13:C17)/SUM($E$13,$E$17)</f>
        <v>0.13558463649771371</v>
      </c>
      <c r="G17" s="436">
        <f>SUM(D17)/SUM($E$13,$E$17)</f>
        <v>0.21482587241715168</v>
      </c>
      <c r="H17" s="171"/>
    </row>
    <row r="18" spans="2:13" s="481" customFormat="1">
      <c r="B18" s="175" t="s">
        <v>409</v>
      </c>
      <c r="C18" s="176">
        <f>SUM(C9:C17)</f>
        <v>2043.5117697821672</v>
      </c>
      <c r="D18" s="176">
        <f>SUM(D9:D17)</f>
        <v>3961.4882402178337</v>
      </c>
      <c r="E18" s="176">
        <f>SUM(E9:E17)</f>
        <v>6005.0000099999997</v>
      </c>
      <c r="F18" s="177"/>
      <c r="G18" s="178"/>
      <c r="H18" s="177"/>
    </row>
    <row r="19" spans="2:13" s="481" customFormat="1">
      <c r="B19" s="172"/>
      <c r="C19" s="177"/>
      <c r="D19" s="177"/>
      <c r="E19" s="177"/>
      <c r="F19" s="177"/>
      <c r="G19" s="173"/>
      <c r="H19" s="174"/>
    </row>
    <row r="20" spans="2:13" s="481" customFormat="1">
      <c r="B20" s="172" t="s">
        <v>30</v>
      </c>
      <c r="C20" s="435">
        <f>C18/E18</f>
        <v>0.34030170963849293</v>
      </c>
      <c r="D20" s="435">
        <f>D18/E18</f>
        <v>0.65969829036150718</v>
      </c>
      <c r="E20" s="177">
        <f>SUM(C20:D20)</f>
        <v>1</v>
      </c>
      <c r="F20" s="177"/>
      <c r="G20" s="173" t="s">
        <v>401</v>
      </c>
      <c r="H20" s="174"/>
    </row>
    <row r="21" spans="2:13" s="481" customFormat="1">
      <c r="B21" s="172"/>
      <c r="C21" s="434" t="s">
        <v>410</v>
      </c>
      <c r="D21" s="434" t="s">
        <v>410</v>
      </c>
      <c r="E21" s="177"/>
      <c r="F21" s="177"/>
      <c r="G21" s="178"/>
      <c r="H21" s="177"/>
    </row>
    <row r="22" spans="2:13" s="481" customFormat="1" ht="15.75" thickBot="1">
      <c r="B22" s="179"/>
      <c r="C22" s="180"/>
      <c r="D22" s="180"/>
      <c r="E22" s="180"/>
      <c r="F22" s="180"/>
      <c r="G22" s="181"/>
      <c r="H22" s="177"/>
    </row>
    <row r="23" spans="2:13" s="481" customFormat="1" ht="15.75" thickBot="1">
      <c r="B23" s="182"/>
      <c r="C23" s="177"/>
      <c r="D23" s="177"/>
      <c r="E23" s="177"/>
      <c r="F23" s="177"/>
      <c r="G23" s="177"/>
      <c r="H23" s="177"/>
    </row>
    <row r="24" spans="2:13">
      <c r="B24" s="126"/>
      <c r="C24" s="127"/>
      <c r="D24" s="127"/>
      <c r="E24" s="127"/>
      <c r="F24" s="127"/>
      <c r="G24" s="127"/>
      <c r="H24" s="128"/>
      <c r="I24" s="91"/>
      <c r="J24" s="129"/>
      <c r="K24" s="129"/>
      <c r="L24" s="129"/>
      <c r="M24" s="129"/>
    </row>
    <row r="25" spans="2:13">
      <c r="B25" s="130" t="s">
        <v>387</v>
      </c>
      <c r="C25" s="131" t="s">
        <v>388</v>
      </c>
      <c r="D25" s="131" t="s">
        <v>389</v>
      </c>
      <c r="E25" s="131" t="s">
        <v>27</v>
      </c>
      <c r="F25" s="131" t="s">
        <v>390</v>
      </c>
      <c r="G25" s="131" t="s">
        <v>391</v>
      </c>
      <c r="H25" s="132" t="s">
        <v>392</v>
      </c>
      <c r="I25" s="91"/>
      <c r="J25" s="133"/>
      <c r="K25" s="133"/>
      <c r="L25" s="133"/>
      <c r="M25" s="129"/>
    </row>
    <row r="26" spans="2:13">
      <c r="B26" s="134"/>
      <c r="C26" s="97"/>
      <c r="D26" s="135"/>
      <c r="E26" s="97"/>
      <c r="H26" s="136"/>
      <c r="I26" s="129"/>
      <c r="J26" s="129"/>
      <c r="K26" s="129"/>
      <c r="L26" s="129"/>
      <c r="M26" s="129"/>
    </row>
    <row r="27" spans="2:13">
      <c r="B27" s="137" t="s">
        <v>393</v>
      </c>
      <c r="C27" s="247">
        <f>'Cust Counts'!B5</f>
        <v>64740.327497774051</v>
      </c>
      <c r="D27" s="247">
        <f>'Cust Counts'!J5</f>
        <v>50017.163092335206</v>
      </c>
      <c r="E27" s="139">
        <f>SUM(C27:D27)</f>
        <v>114757.49059010926</v>
      </c>
      <c r="F27" s="243">
        <f>C27/$E$27</f>
        <v>0.56414903432328889</v>
      </c>
      <c r="G27" s="243">
        <f>D27/$E$27</f>
        <v>0.43585096567671111</v>
      </c>
      <c r="H27" s="136"/>
      <c r="I27" s="664"/>
      <c r="J27" s="140"/>
      <c r="K27" s="140"/>
      <c r="L27" s="140"/>
      <c r="M27" s="129"/>
    </row>
    <row r="28" spans="2:13">
      <c r="B28" s="137" t="s">
        <v>394</v>
      </c>
      <c r="C28" s="247">
        <f>'Cust Counts'!B8</f>
        <v>4063.1633009423308</v>
      </c>
      <c r="D28" s="247">
        <f>'Cust Counts'!J8</f>
        <v>4294.0040278979095</v>
      </c>
      <c r="E28" s="139">
        <f>SUM(C28:D28)</f>
        <v>8357.1673288402399</v>
      </c>
      <c r="F28" s="243">
        <f>C28/$E$28</f>
        <v>0.48618905677771007</v>
      </c>
      <c r="G28" s="243">
        <f>D28/$E$28</f>
        <v>0.51381094322229004</v>
      </c>
      <c r="H28" s="141">
        <f>SUM(C27:C28)/C42</f>
        <v>0.99557224345797546</v>
      </c>
      <c r="I28" s="129"/>
      <c r="J28" s="140"/>
      <c r="K28" s="140"/>
      <c r="L28" s="140"/>
      <c r="M28" s="142"/>
    </row>
    <row r="29" spans="2:13">
      <c r="B29" s="137"/>
      <c r="C29" s="247"/>
      <c r="D29" s="247"/>
      <c r="E29" s="139"/>
      <c r="F29" s="244"/>
      <c r="G29" s="245"/>
      <c r="H29" s="141"/>
      <c r="I29" s="129"/>
      <c r="J29" s="140"/>
      <c r="K29" s="140"/>
      <c r="L29" s="140"/>
      <c r="M29" s="142"/>
    </row>
    <row r="30" spans="2:13">
      <c r="B30" s="137" t="s">
        <v>395</v>
      </c>
      <c r="C30" s="138">
        <f>'Cust Counts'!B12</f>
        <v>306</v>
      </c>
      <c r="D30" s="138">
        <f>'Cust Counts'!J12</f>
        <v>377</v>
      </c>
      <c r="E30" s="139">
        <f>SUM(C30:D30)</f>
        <v>683</v>
      </c>
      <c r="F30" s="243">
        <f>C30/$E$30</f>
        <v>0.44802342606149342</v>
      </c>
      <c r="G30" s="243">
        <f>D30/$E$30</f>
        <v>0.55197657393850663</v>
      </c>
      <c r="H30" s="141">
        <f>C30/C42</f>
        <v>4.4277565420245231E-3</v>
      </c>
      <c r="I30" s="143"/>
      <c r="J30" s="140"/>
      <c r="K30" s="140"/>
      <c r="L30" s="140"/>
      <c r="M30" s="142"/>
    </row>
    <row r="31" spans="2:13">
      <c r="B31" s="137"/>
      <c r="C31" s="138"/>
      <c r="D31" s="138"/>
      <c r="E31" s="139"/>
      <c r="F31" s="244"/>
      <c r="G31" s="245"/>
      <c r="H31" s="141"/>
      <c r="I31" s="129"/>
      <c r="J31" s="140"/>
      <c r="K31" s="140"/>
      <c r="L31" s="140"/>
      <c r="M31" s="142"/>
    </row>
    <row r="32" spans="2:13">
      <c r="B32" s="137" t="s">
        <v>874</v>
      </c>
      <c r="C32" s="138"/>
      <c r="D32" s="138">
        <f>'Cust Counts'!J10</f>
        <v>1469</v>
      </c>
      <c r="E32" s="139">
        <f>SUM(C32:D32)</f>
        <v>1469</v>
      </c>
      <c r="F32" s="243">
        <f>C32/$E$32</f>
        <v>0</v>
      </c>
      <c r="G32" s="243">
        <f>D32/$E$32</f>
        <v>1</v>
      </c>
      <c r="H32" s="141"/>
      <c r="I32" s="129"/>
      <c r="J32" s="140"/>
      <c r="K32" s="140"/>
      <c r="L32" s="140"/>
      <c r="M32" s="142"/>
    </row>
    <row r="33" spans="2:13">
      <c r="B33" s="137"/>
      <c r="C33" s="247"/>
      <c r="D33" s="247"/>
      <c r="E33" s="139"/>
      <c r="F33" s="244"/>
      <c r="G33" s="245"/>
      <c r="H33" s="141"/>
      <c r="I33" s="129"/>
      <c r="J33" s="140"/>
      <c r="K33" s="140"/>
      <c r="L33" s="140"/>
      <c r="M33" s="142"/>
    </row>
    <row r="34" spans="2:13">
      <c r="B34" s="137" t="s">
        <v>18</v>
      </c>
      <c r="C34" s="247"/>
      <c r="D34" s="247">
        <f>'Cust Counts'!J6*0.25</f>
        <v>30155.139084803988</v>
      </c>
      <c r="E34" s="139">
        <f>SUM(C34:D34)</f>
        <v>30155.139084803988</v>
      </c>
      <c r="F34" s="243">
        <f>C34/$E$34</f>
        <v>0</v>
      </c>
      <c r="G34" s="243">
        <f>D34/$E$34</f>
        <v>1</v>
      </c>
      <c r="H34" s="141">
        <f>C34/C42</f>
        <v>0</v>
      </c>
      <c r="I34" s="129"/>
      <c r="J34" s="140"/>
      <c r="K34" s="140"/>
      <c r="L34" s="140"/>
      <c r="M34" s="142"/>
    </row>
    <row r="35" spans="2:13">
      <c r="B35" s="137"/>
      <c r="C35" s="247"/>
      <c r="D35" s="247"/>
      <c r="E35" s="139"/>
      <c r="F35" s="244"/>
      <c r="G35" s="245"/>
      <c r="H35" s="141"/>
      <c r="I35" s="129"/>
      <c r="J35" s="140"/>
      <c r="K35" s="140"/>
      <c r="L35" s="140"/>
      <c r="M35" s="142"/>
    </row>
    <row r="36" spans="2:13">
      <c r="B36" s="137" t="s">
        <v>19</v>
      </c>
      <c r="C36" s="247"/>
      <c r="D36" s="247">
        <f>'Cust Counts'!J7*0.25</f>
        <v>12303.379690605087</v>
      </c>
      <c r="E36" s="139">
        <f>SUM(C36:D36)</f>
        <v>12303.379690605087</v>
      </c>
      <c r="F36" s="243">
        <f>C36/$E$36</f>
        <v>0</v>
      </c>
      <c r="G36" s="243">
        <f>D36/$E$36</f>
        <v>1</v>
      </c>
      <c r="H36" s="141">
        <f>C36/C42</f>
        <v>0</v>
      </c>
      <c r="I36" s="129"/>
      <c r="J36" s="140"/>
      <c r="K36" s="140"/>
      <c r="L36" s="140"/>
      <c r="M36" s="142"/>
    </row>
    <row r="37" spans="2:13">
      <c r="B37" s="137"/>
      <c r="C37" s="247"/>
      <c r="D37" s="247"/>
      <c r="E37" s="139"/>
      <c r="F37" s="244"/>
      <c r="G37" s="245"/>
      <c r="H37" s="141"/>
      <c r="I37" s="129"/>
      <c r="J37" s="140"/>
      <c r="K37" s="140"/>
      <c r="L37" s="140"/>
      <c r="M37" s="142"/>
    </row>
    <row r="38" spans="2:13">
      <c r="B38" s="137" t="s">
        <v>396</v>
      </c>
      <c r="C38" s="247"/>
      <c r="D38" s="247">
        <f>'Cust Counts'!J11</f>
        <v>4100.5559543211157</v>
      </c>
      <c r="E38" s="139">
        <f>SUM(C38:D38)</f>
        <v>4100.5559543211157</v>
      </c>
      <c r="F38" s="243">
        <f>C38/$E$38</f>
        <v>0</v>
      </c>
      <c r="G38" s="243">
        <f>D38/$E$38</f>
        <v>1</v>
      </c>
      <c r="H38" s="141"/>
      <c r="I38" s="129"/>
      <c r="J38" s="140"/>
      <c r="K38" s="140"/>
      <c r="L38" s="140"/>
      <c r="M38" s="142"/>
    </row>
    <row r="39" spans="2:13">
      <c r="B39" s="137"/>
      <c r="C39" s="247"/>
      <c r="D39" s="247"/>
      <c r="E39" s="139"/>
      <c r="F39" s="243"/>
      <c r="G39" s="243"/>
      <c r="H39" s="141"/>
      <c r="I39" s="129"/>
      <c r="J39" s="140"/>
      <c r="K39" s="140"/>
      <c r="L39" s="140"/>
      <c r="M39" s="142"/>
    </row>
    <row r="40" spans="2:13">
      <c r="B40" s="137" t="s">
        <v>873</v>
      </c>
      <c r="C40" s="247"/>
      <c r="D40" s="247">
        <f>'Cust Counts'!J13</f>
        <v>170</v>
      </c>
      <c r="E40" s="139">
        <f t="shared" ref="E40" si="2">SUM(C40:D40)</f>
        <v>170</v>
      </c>
      <c r="F40" s="243">
        <f>C40/$E$40</f>
        <v>0</v>
      </c>
      <c r="G40" s="243">
        <f>D40/$E$40</f>
        <v>1</v>
      </c>
      <c r="H40" s="141"/>
      <c r="I40" s="129"/>
      <c r="J40" s="140"/>
      <c r="K40" s="140"/>
      <c r="L40" s="140"/>
      <c r="M40" s="142"/>
    </row>
    <row r="41" spans="2:13">
      <c r="B41" s="137"/>
      <c r="C41" s="144"/>
      <c r="D41" s="144"/>
      <c r="E41" s="145"/>
      <c r="G41" s="96"/>
      <c r="H41" s="141"/>
      <c r="I41" s="129"/>
      <c r="J41" s="140"/>
      <c r="K41" s="140"/>
      <c r="L41" s="140"/>
      <c r="M41" s="142"/>
    </row>
    <row r="42" spans="2:13">
      <c r="B42" s="137" t="s">
        <v>27</v>
      </c>
      <c r="C42" s="146">
        <f>SUM(C27:C40)</f>
        <v>69109.490798716375</v>
      </c>
      <c r="D42" s="146">
        <f>SUM(D27:D40)</f>
        <v>102886.24184996331</v>
      </c>
      <c r="E42" s="146">
        <f>SUM(E27:E40)</f>
        <v>171995.7326486797</v>
      </c>
      <c r="H42" s="136"/>
      <c r="I42" s="129"/>
      <c r="J42" s="140"/>
      <c r="K42" s="140"/>
      <c r="L42" s="140"/>
      <c r="M42" s="142"/>
    </row>
    <row r="43" spans="2:13">
      <c r="B43" s="137"/>
      <c r="C43" s="97"/>
      <c r="D43" s="97"/>
      <c r="E43" s="97"/>
      <c r="H43" s="136"/>
      <c r="I43" s="129"/>
      <c r="J43" s="140"/>
      <c r="K43" s="140"/>
      <c r="L43" s="140"/>
      <c r="M43" s="142"/>
    </row>
    <row r="44" spans="2:13">
      <c r="B44" s="137" t="s">
        <v>397</v>
      </c>
      <c r="C44" s="246">
        <f>C42/E42</f>
        <v>0.40180933407156183</v>
      </c>
      <c r="D44" s="246">
        <f>D42/E42</f>
        <v>0.59819066592843806</v>
      </c>
      <c r="E44" s="246">
        <f>SUM(C44:D44)</f>
        <v>0.99999999999999989</v>
      </c>
      <c r="H44" s="136"/>
    </row>
    <row r="45" spans="2:13" ht="15.75" thickBot="1">
      <c r="B45" s="147"/>
      <c r="C45" s="148" t="s">
        <v>398</v>
      </c>
      <c r="D45" s="148" t="s">
        <v>398</v>
      </c>
      <c r="E45" s="149"/>
      <c r="F45" s="150"/>
      <c r="G45" s="150"/>
      <c r="H45" s="151"/>
      <c r="J45" s="96"/>
      <c r="K45" s="96"/>
    </row>
    <row r="46" spans="2:13">
      <c r="B46" s="152"/>
      <c r="C46" s="112"/>
      <c r="D46" s="112"/>
      <c r="E46" s="112"/>
      <c r="F46" s="97"/>
    </row>
    <row r="47" spans="2:13" ht="15.75" thickBot="1">
      <c r="B47" s="152"/>
      <c r="C47" s="112"/>
      <c r="D47" s="112"/>
      <c r="E47" s="112"/>
      <c r="F47" s="97"/>
    </row>
    <row r="48" spans="2:13">
      <c r="B48" s="126" t="s">
        <v>399</v>
      </c>
      <c r="C48" s="127"/>
      <c r="D48" s="127"/>
      <c r="E48" s="127"/>
      <c r="F48" s="128"/>
    </row>
    <row r="49" spans="2:6">
      <c r="B49" s="130" t="s">
        <v>387</v>
      </c>
      <c r="C49" s="131" t="s">
        <v>388</v>
      </c>
      <c r="D49" s="131" t="s">
        <v>389</v>
      </c>
      <c r="E49" s="131" t="s">
        <v>27</v>
      </c>
      <c r="F49" s="153"/>
    </row>
    <row r="50" spans="2:6">
      <c r="B50" s="154"/>
      <c r="C50" s="97"/>
      <c r="D50" s="97"/>
      <c r="E50" s="97"/>
      <c r="F50" s="136"/>
    </row>
    <row r="51" spans="2:6">
      <c r="B51" s="155" t="s">
        <v>15</v>
      </c>
      <c r="C51" s="600">
        <f>C27</f>
        <v>64740.327497774051</v>
      </c>
      <c r="D51" s="600">
        <f>+D27</f>
        <v>50017.163092335206</v>
      </c>
      <c r="E51" s="242">
        <f>SUM(C51:D51)</f>
        <v>114757.49059010926</v>
      </c>
      <c r="F51" s="136"/>
    </row>
    <row r="52" spans="2:6">
      <c r="B52" s="155" t="s">
        <v>394</v>
      </c>
      <c r="C52" s="600">
        <f>C28</f>
        <v>4063.1633009423308</v>
      </c>
      <c r="D52" s="600">
        <f>+D28</f>
        <v>4294.0040278979095</v>
      </c>
      <c r="E52" s="242">
        <f t="shared" ref="E52" si="3">SUM(C52:D52)</f>
        <v>8357.1673288402399</v>
      </c>
      <c r="F52" s="248">
        <f>SUM(C51:C52)/C64</f>
        <v>0.99557224345797546</v>
      </c>
    </row>
    <row r="53" spans="2:6">
      <c r="B53" s="155"/>
      <c r="C53" s="600"/>
      <c r="D53" s="600"/>
      <c r="E53" s="242"/>
      <c r="F53" s="248"/>
    </row>
    <row r="54" spans="2:6">
      <c r="B54" s="155" t="s">
        <v>395</v>
      </c>
      <c r="C54" s="600">
        <f>C30</f>
        <v>306</v>
      </c>
      <c r="D54" s="600">
        <f>+D30</f>
        <v>377</v>
      </c>
      <c r="E54" s="242">
        <f>SUM(C54:D54)</f>
        <v>683</v>
      </c>
      <c r="F54" s="248">
        <f>C54/C64</f>
        <v>4.4277565420245231E-3</v>
      </c>
    </row>
    <row r="55" spans="2:6">
      <c r="B55" s="155"/>
      <c r="C55" s="600"/>
      <c r="D55" s="600"/>
      <c r="E55" s="242"/>
      <c r="F55" s="248"/>
    </row>
    <row r="56" spans="2:6">
      <c r="B56" s="155" t="s">
        <v>874</v>
      </c>
      <c r="C56" s="600">
        <v>0</v>
      </c>
      <c r="D56" s="600">
        <f>+D32</f>
        <v>1469</v>
      </c>
      <c r="E56" s="242">
        <f>SUM(C56:D56)</f>
        <v>1469</v>
      </c>
      <c r="F56" s="248">
        <f>C56/C64</f>
        <v>0</v>
      </c>
    </row>
    <row r="57" spans="2:6">
      <c r="B57" s="155"/>
      <c r="C57" s="600"/>
      <c r="D57" s="600"/>
      <c r="E57" s="242"/>
      <c r="F57" s="248"/>
    </row>
    <row r="58" spans="2:6">
      <c r="B58" s="155" t="s">
        <v>18</v>
      </c>
      <c r="C58" s="600">
        <f>C34</f>
        <v>0</v>
      </c>
      <c r="D58" s="600">
        <v>0</v>
      </c>
      <c r="E58" s="242">
        <f>SUM(C58:D58)</f>
        <v>0</v>
      </c>
      <c r="F58" s="248">
        <f>C58/C64</f>
        <v>0</v>
      </c>
    </row>
    <row r="59" spans="2:6">
      <c r="B59" s="155"/>
      <c r="C59" s="600"/>
      <c r="D59" s="600"/>
      <c r="E59" s="242"/>
      <c r="F59" s="248"/>
    </row>
    <row r="60" spans="2:6">
      <c r="B60" s="155" t="s">
        <v>19</v>
      </c>
      <c r="C60" s="600">
        <f>C36</f>
        <v>0</v>
      </c>
      <c r="D60" s="600">
        <v>0</v>
      </c>
      <c r="E60" s="242">
        <f>SUM(C60:D60)</f>
        <v>0</v>
      </c>
      <c r="F60" s="248">
        <f>C60/C64</f>
        <v>0</v>
      </c>
    </row>
    <row r="61" spans="2:6">
      <c r="B61" s="155"/>
      <c r="C61" s="600"/>
      <c r="D61" s="600"/>
      <c r="E61" s="242"/>
      <c r="F61" s="141"/>
    </row>
    <row r="62" spans="2:6">
      <c r="B62" s="155" t="s">
        <v>396</v>
      </c>
      <c r="C62" s="600">
        <v>0</v>
      </c>
      <c r="D62" s="600">
        <f>+D38</f>
        <v>4100.5559543211157</v>
      </c>
      <c r="E62" s="242">
        <f>SUM(C62:D62)</f>
        <v>4100.5559543211157</v>
      </c>
      <c r="F62" s="141"/>
    </row>
    <row r="63" spans="2:6" ht="6.75" customHeight="1">
      <c r="B63" s="155"/>
      <c r="C63" s="145"/>
      <c r="D63" s="145"/>
      <c r="E63" s="145"/>
      <c r="F63" s="141"/>
    </row>
    <row r="64" spans="2:6">
      <c r="B64" s="155"/>
      <c r="C64" s="146">
        <f>SUM(C51:C63)</f>
        <v>69109.490798716375</v>
      </c>
      <c r="D64" s="146">
        <f>SUM(D51:D63)</f>
        <v>60257.723074554226</v>
      </c>
      <c r="E64" s="146">
        <f>SUM(E51:E63)</f>
        <v>129367.21387327061</v>
      </c>
      <c r="F64" s="141"/>
    </row>
    <row r="65" spans="2:11">
      <c r="B65" s="155"/>
      <c r="C65" s="246">
        <f>C64/E64</f>
        <v>0.53421178929011115</v>
      </c>
      <c r="D65" s="246">
        <f>D64/E64</f>
        <v>0.46578821070988885</v>
      </c>
      <c r="E65" s="112">
        <f>SUM(C65:D65)</f>
        <v>1</v>
      </c>
      <c r="F65" s="141"/>
    </row>
    <row r="66" spans="2:11" ht="15.75" thickBot="1">
      <c r="B66" s="147"/>
      <c r="C66" s="156" t="s">
        <v>400</v>
      </c>
      <c r="D66" s="156" t="s">
        <v>400</v>
      </c>
      <c r="E66" s="150"/>
      <c r="F66" s="151"/>
    </row>
    <row r="67" spans="2:11">
      <c r="B67" s="152"/>
      <c r="C67" s="112"/>
      <c r="D67" s="112"/>
      <c r="E67" s="112"/>
      <c r="F67" s="97"/>
    </row>
    <row r="68" spans="2:11">
      <c r="B68" s="152"/>
      <c r="C68" s="112"/>
      <c r="D68" s="112"/>
      <c r="E68" s="112"/>
      <c r="F68" s="97"/>
      <c r="G68" s="158"/>
      <c r="H68" s="158"/>
      <c r="I68" s="158"/>
      <c r="J68" s="158"/>
      <c r="K68" s="158"/>
    </row>
    <row r="69" spans="2:11">
      <c r="B69" s="185" t="s">
        <v>411</v>
      </c>
      <c r="C69" s="186"/>
      <c r="D69" s="186"/>
      <c r="E69" s="186"/>
      <c r="F69" s="125"/>
      <c r="G69" s="125"/>
    </row>
    <row r="70" spans="2:11">
      <c r="B70" s="185" t="s">
        <v>412</v>
      </c>
      <c r="C70" s="186"/>
      <c r="D70" s="186"/>
      <c r="E70" s="186"/>
      <c r="F70" s="125"/>
      <c r="G70" s="125"/>
    </row>
    <row r="71" spans="2:11" ht="15.75" thickBot="1">
      <c r="C71" s="164"/>
      <c r="D71" s="164"/>
      <c r="E71" s="164"/>
    </row>
    <row r="72" spans="2:11">
      <c r="B72" s="126" t="s">
        <v>413</v>
      </c>
      <c r="C72" s="187"/>
      <c r="D72" s="187"/>
      <c r="E72" s="188"/>
      <c r="F72" s="129"/>
      <c r="G72" s="129"/>
      <c r="H72" s="129"/>
      <c r="I72" s="129"/>
    </row>
    <row r="73" spans="2:11">
      <c r="B73" s="134" t="s">
        <v>15</v>
      </c>
      <c r="C73" s="138">
        <f>$C27</f>
        <v>64740.327497774051</v>
      </c>
      <c r="D73" s="112">
        <f>C73/$C78</f>
        <v>0.9367791131081018</v>
      </c>
      <c r="E73" s="157"/>
    </row>
    <row r="74" spans="2:11">
      <c r="B74" s="137" t="s">
        <v>414</v>
      </c>
      <c r="C74" s="139">
        <f>$C28</f>
        <v>4063.1633009423308</v>
      </c>
      <c r="D74" s="112">
        <f>C74/$C$78</f>
        <v>5.8793130349873726E-2</v>
      </c>
      <c r="E74" s="189">
        <f>D73+D74</f>
        <v>0.99557224345797557</v>
      </c>
    </row>
    <row r="75" spans="2:11">
      <c r="B75" s="137" t="s">
        <v>395</v>
      </c>
      <c r="C75" s="139">
        <f>$C30</f>
        <v>306</v>
      </c>
      <c r="D75" s="112">
        <f t="shared" ref="D75:D77" si="4">C75/$C$78</f>
        <v>4.4277565420245231E-3</v>
      </c>
      <c r="E75" s="157"/>
    </row>
    <row r="76" spans="2:11">
      <c r="B76" s="137" t="s">
        <v>18</v>
      </c>
      <c r="C76" s="139">
        <f>$C34</f>
        <v>0</v>
      </c>
      <c r="D76" s="112">
        <f t="shared" si="4"/>
        <v>0</v>
      </c>
      <c r="E76" s="157"/>
    </row>
    <row r="77" spans="2:11">
      <c r="B77" s="137" t="s">
        <v>19</v>
      </c>
      <c r="C77" s="139">
        <f>$C36</f>
        <v>0</v>
      </c>
      <c r="D77" s="112">
        <f t="shared" si="4"/>
        <v>0</v>
      </c>
      <c r="E77" s="157"/>
    </row>
    <row r="78" spans="2:11">
      <c r="B78" s="155"/>
      <c r="C78" s="146">
        <f>SUM(C73:C77)</f>
        <v>69109.490798716375</v>
      </c>
      <c r="D78" s="190">
        <f>SUM(D73:D77)</f>
        <v>1</v>
      </c>
      <c r="E78" s="157"/>
    </row>
    <row r="79" spans="2:11" ht="15.75" thickBot="1">
      <c r="B79" s="183"/>
      <c r="C79" s="184"/>
      <c r="D79" s="184"/>
      <c r="E79" s="191"/>
    </row>
    <row r="80" spans="2:11">
      <c r="C80" s="164"/>
      <c r="D80" s="164"/>
      <c r="E80" s="164"/>
    </row>
    <row r="81" spans="2:10" ht="15.75" thickBot="1">
      <c r="B81" s="123"/>
      <c r="C81" s="164"/>
      <c r="D81" s="164"/>
      <c r="E81" s="164"/>
    </row>
    <row r="82" spans="2:10">
      <c r="B82" s="126" t="s">
        <v>415</v>
      </c>
      <c r="C82" s="187"/>
      <c r="D82" s="187"/>
      <c r="E82" s="188"/>
    </row>
    <row r="83" spans="2:10">
      <c r="B83" s="169" t="s">
        <v>407</v>
      </c>
      <c r="C83" s="192">
        <f>C9+C10</f>
        <v>1564.9489250049153</v>
      </c>
      <c r="D83" s="112">
        <f>C83/C85</f>
        <v>0.8031917058304171</v>
      </c>
      <c r="E83" s="157"/>
    </row>
    <row r="84" spans="2:10">
      <c r="B84" s="172" t="s">
        <v>408</v>
      </c>
      <c r="C84" s="192">
        <f>C11</f>
        <v>383.4637810089248</v>
      </c>
      <c r="D84" s="112">
        <f>C84/C85</f>
        <v>0.19680829416958284</v>
      </c>
      <c r="E84" s="157"/>
    </row>
    <row r="85" spans="2:10">
      <c r="B85" s="175" t="s">
        <v>409</v>
      </c>
      <c r="C85" s="193">
        <f>SUM(C83:C84)</f>
        <v>1948.4127060138401</v>
      </c>
      <c r="D85" s="194">
        <f>SUM(D83:D84)</f>
        <v>1</v>
      </c>
      <c r="E85" s="157"/>
    </row>
    <row r="86" spans="2:10" ht="15.75" thickBot="1">
      <c r="B86" s="179"/>
      <c r="C86" s="195"/>
      <c r="D86" s="184"/>
      <c r="E86" s="191"/>
    </row>
    <row r="87" spans="2:10">
      <c r="C87" s="164"/>
      <c r="D87" s="164"/>
      <c r="E87" s="164"/>
    </row>
    <row r="88" spans="2:10" ht="15" customHeight="1">
      <c r="C88" s="164"/>
      <c r="D88" s="164"/>
      <c r="E88" s="164"/>
      <c r="J88" s="164"/>
    </row>
    <row r="89" spans="2:10" ht="15" customHeight="1">
      <c r="C89" s="164"/>
      <c r="D89" s="164"/>
      <c r="E89" s="164"/>
    </row>
    <row r="90" spans="2:10" ht="15" customHeight="1">
      <c r="C90" s="164"/>
      <c r="D90" s="164"/>
      <c r="E90" s="164"/>
    </row>
    <row r="91" spans="2:10" ht="15" customHeight="1">
      <c r="C91" s="164"/>
      <c r="D91" s="164"/>
      <c r="E91" s="164"/>
    </row>
    <row r="92" spans="2:10" ht="15" customHeight="1">
      <c r="C92" s="164"/>
      <c r="D92" s="164"/>
      <c r="E92" s="164"/>
    </row>
    <row r="93" spans="2:10" ht="15" customHeight="1">
      <c r="C93" s="164"/>
      <c r="D93" s="164"/>
      <c r="E93" s="164"/>
    </row>
    <row r="94" spans="2:10" ht="15" customHeight="1">
      <c r="C94" s="164"/>
      <c r="D94" s="164"/>
      <c r="E94" s="164"/>
    </row>
    <row r="95" spans="2:10" ht="15" customHeight="1">
      <c r="C95" s="164"/>
      <c r="D95" s="164"/>
      <c r="E95" s="164"/>
    </row>
    <row r="96" spans="2:10" ht="15" customHeight="1">
      <c r="C96" s="164"/>
      <c r="D96" s="164"/>
      <c r="E96" s="164"/>
    </row>
    <row r="97" spans="3:5" ht="15" customHeight="1">
      <c r="C97" s="164"/>
      <c r="D97" s="164"/>
      <c r="E97" s="164"/>
    </row>
    <row r="98" spans="3:5" ht="15" customHeight="1">
      <c r="C98" s="164"/>
      <c r="D98" s="164"/>
      <c r="E98" s="164"/>
    </row>
    <row r="99" spans="3:5" ht="15" customHeight="1">
      <c r="C99" s="164"/>
      <c r="D99" s="164"/>
      <c r="E99" s="164"/>
    </row>
    <row r="100" spans="3:5" ht="15" customHeight="1">
      <c r="C100" s="164"/>
      <c r="D100" s="164"/>
      <c r="E100" s="164"/>
    </row>
    <row r="101" spans="3:5" ht="15" customHeight="1">
      <c r="C101" s="164"/>
      <c r="D101" s="164"/>
      <c r="E101" s="164"/>
    </row>
    <row r="102" spans="3:5" ht="15" customHeight="1">
      <c r="C102" s="164"/>
      <c r="D102" s="164"/>
      <c r="E102" s="164"/>
    </row>
    <row r="103" spans="3:5" ht="15" customHeight="1">
      <c r="C103" s="164"/>
      <c r="D103" s="164"/>
      <c r="E103" s="164"/>
    </row>
    <row r="104" spans="3:5" ht="15" customHeight="1">
      <c r="C104" s="164"/>
      <c r="D104" s="164"/>
      <c r="E104" s="164"/>
    </row>
    <row r="105" spans="3:5" ht="15" customHeight="1">
      <c r="C105" s="164"/>
      <c r="D105" s="164"/>
      <c r="E105" s="164"/>
    </row>
    <row r="106" spans="3:5" ht="15" customHeight="1">
      <c r="C106" s="164"/>
      <c r="D106" s="164"/>
      <c r="E106" s="164"/>
    </row>
    <row r="107" spans="3:5" ht="15" customHeight="1">
      <c r="C107" s="164"/>
      <c r="D107" s="164"/>
      <c r="E107" s="164"/>
    </row>
    <row r="108" spans="3:5" ht="15" customHeight="1">
      <c r="C108" s="164"/>
      <c r="D108" s="164"/>
      <c r="E108" s="164"/>
    </row>
    <row r="109" spans="3:5" ht="15" customHeight="1">
      <c r="C109" s="164"/>
      <c r="D109" s="164"/>
      <c r="E109" s="164"/>
    </row>
    <row r="110" spans="3:5" ht="15" customHeight="1">
      <c r="C110" s="164"/>
      <c r="D110" s="164"/>
      <c r="E110" s="164"/>
    </row>
    <row r="111" spans="3:5" ht="15" customHeight="1">
      <c r="C111" s="164"/>
      <c r="D111" s="164"/>
      <c r="E111" s="164"/>
    </row>
    <row r="112" spans="3:5" ht="15" customHeight="1">
      <c r="C112" s="164"/>
      <c r="D112" s="164"/>
      <c r="E112" s="164"/>
    </row>
    <row r="113" spans="3:5" ht="15" customHeight="1">
      <c r="C113" s="164"/>
      <c r="D113" s="164"/>
      <c r="E113" s="164"/>
    </row>
    <row r="114" spans="3:5" ht="15" customHeight="1">
      <c r="C114" s="164"/>
      <c r="D114" s="164"/>
      <c r="E114" s="164"/>
    </row>
    <row r="115" spans="3:5" ht="15" customHeight="1">
      <c r="C115" s="164"/>
      <c r="D115" s="164"/>
      <c r="E115" s="164"/>
    </row>
    <row r="116" spans="3:5" ht="15" customHeight="1">
      <c r="C116" s="164"/>
      <c r="D116" s="164"/>
      <c r="E116" s="164"/>
    </row>
    <row r="117" spans="3:5" ht="15" customHeight="1">
      <c r="C117" s="164"/>
      <c r="D117" s="164"/>
      <c r="E117" s="164"/>
    </row>
    <row r="118" spans="3:5" ht="15" customHeight="1">
      <c r="C118" s="164"/>
      <c r="D118" s="164"/>
      <c r="E118" s="164"/>
    </row>
    <row r="119" spans="3:5" ht="15" customHeight="1">
      <c r="C119" s="164"/>
      <c r="D119" s="164"/>
      <c r="E119" s="164"/>
    </row>
    <row r="120" spans="3:5" ht="15" customHeight="1">
      <c r="C120" s="164"/>
      <c r="D120" s="164"/>
      <c r="E120" s="164"/>
    </row>
    <row r="121" spans="3:5" ht="15" customHeight="1">
      <c r="C121" s="164"/>
      <c r="D121" s="164"/>
      <c r="E121" s="164"/>
    </row>
    <row r="122" spans="3:5" ht="15" customHeight="1">
      <c r="C122" s="164"/>
      <c r="D122" s="164"/>
      <c r="E122" s="164"/>
    </row>
    <row r="123" spans="3:5" ht="15" customHeight="1">
      <c r="C123" s="164"/>
      <c r="D123" s="164"/>
      <c r="E123" s="164"/>
    </row>
    <row r="124" spans="3:5" ht="15" customHeight="1">
      <c r="C124" s="164"/>
      <c r="D124" s="164"/>
      <c r="E124" s="164"/>
    </row>
    <row r="125" spans="3:5" ht="15" customHeight="1">
      <c r="C125" s="164"/>
      <c r="D125" s="164"/>
      <c r="E125" s="164"/>
    </row>
    <row r="126" spans="3:5" ht="15" customHeight="1">
      <c r="C126" s="164"/>
      <c r="D126" s="164"/>
      <c r="E126" s="164"/>
    </row>
    <row r="127" spans="3:5" ht="15" customHeight="1">
      <c r="C127" s="164"/>
      <c r="D127" s="164"/>
      <c r="E127" s="164"/>
    </row>
    <row r="128" spans="3:5" ht="15" customHeight="1">
      <c r="C128" s="164"/>
      <c r="D128" s="164"/>
      <c r="E128" s="164"/>
    </row>
    <row r="129" spans="3:5" ht="15" customHeight="1">
      <c r="C129" s="164"/>
      <c r="D129" s="164"/>
      <c r="E129" s="164"/>
    </row>
    <row r="130" spans="3:5" ht="15" customHeight="1">
      <c r="C130" s="164"/>
      <c r="D130" s="164"/>
      <c r="E130" s="164"/>
    </row>
    <row r="131" spans="3:5" ht="15" customHeight="1">
      <c r="C131" s="164"/>
      <c r="D131" s="164"/>
      <c r="E131" s="164"/>
    </row>
    <row r="132" spans="3:5" ht="15" customHeight="1">
      <c r="C132" s="164"/>
      <c r="D132" s="164"/>
      <c r="E132" s="164"/>
    </row>
  </sheetData>
  <mergeCells count="1">
    <mergeCell ref="B6:G6"/>
  </mergeCells>
  <pageMargins left="0.7" right="0.7" top="0.75" bottom="0.75" header="0.3" footer="0.3"/>
  <pageSetup scale="68" fitToHeight="5" orientation="portrait" r:id="rId1"/>
  <headerFooter>
    <oddFooter xml:space="preserve">&amp;L&amp;F - &amp;A
&amp;RPage &amp;P of &amp;N
</oddFooter>
  </headerFooter>
  <rowBreaks count="2" manualBreakCount="2">
    <brk id="67" min="1" max="7" man="1"/>
    <brk id="86" min="1" max="7"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111"/>
  <sheetViews>
    <sheetView showGridLines="0" view="pageBreakPreview" zoomScale="85" zoomScaleNormal="90" zoomScaleSheetLayoutView="85" workbookViewId="0">
      <selection activeCell="AI26" sqref="AI26"/>
    </sheetView>
  </sheetViews>
  <sheetFormatPr defaultRowHeight="12.75"/>
  <cols>
    <col min="1" max="1" width="35.85546875" style="482" customWidth="1"/>
    <col min="2" max="2" width="21.5703125" style="482" customWidth="1"/>
    <col min="3" max="3" width="19" style="482" customWidth="1"/>
    <col min="4" max="4" width="17.5703125" style="482" customWidth="1"/>
    <col min="5" max="5" width="15.42578125" style="482" bestFit="1" customWidth="1"/>
    <col min="6" max="6" width="16.140625" style="482" bestFit="1" customWidth="1"/>
    <col min="7" max="7" width="20.28515625" style="482" customWidth="1"/>
    <col min="8" max="8" width="24.140625" style="482" customWidth="1"/>
    <col min="9" max="9" width="24.42578125" style="482" customWidth="1"/>
    <col min="10" max="10" width="4.140625" style="483" customWidth="1"/>
    <col min="11" max="11" width="12.140625" style="483" customWidth="1"/>
    <col min="12" max="12" width="9.28515625" style="482" bestFit="1" customWidth="1"/>
    <col min="13" max="13" width="25.7109375" style="485" bestFit="1" customWidth="1"/>
    <col min="14" max="14" width="16.140625" style="482" bestFit="1" customWidth="1"/>
    <col min="15" max="15" width="12.5703125" style="482" bestFit="1" customWidth="1"/>
    <col min="16" max="16" width="13.42578125" style="482" bestFit="1" customWidth="1"/>
    <col min="17" max="17" width="12.42578125" style="482" bestFit="1" customWidth="1"/>
    <col min="18" max="18" width="15.5703125" style="482" customWidth="1"/>
    <col min="19" max="19" width="12.28515625" style="482" bestFit="1" customWidth="1"/>
    <col min="20" max="20" width="16" style="482" bestFit="1" customWidth="1"/>
    <col min="21" max="21" width="10.140625" style="482" bestFit="1" customWidth="1"/>
    <col min="22" max="22" width="14.140625" style="482" customWidth="1"/>
    <col min="23" max="23" width="2.42578125" style="482" customWidth="1"/>
    <col min="24" max="24" width="16.140625" style="482" bestFit="1" customWidth="1"/>
    <col min="25" max="16384" width="9.140625" style="482"/>
  </cols>
  <sheetData>
    <row r="1" spans="1:25">
      <c r="A1" s="197" t="s">
        <v>417</v>
      </c>
      <c r="J1" s="484"/>
      <c r="L1" s="197" t="s">
        <v>417</v>
      </c>
    </row>
    <row r="2" spans="1:25">
      <c r="A2" s="486" t="s">
        <v>340</v>
      </c>
      <c r="C2" s="487"/>
      <c r="J2" s="484"/>
      <c r="L2" s="486" t="s">
        <v>340</v>
      </c>
    </row>
    <row r="3" spans="1:25">
      <c r="A3" s="199" t="s">
        <v>1242</v>
      </c>
      <c r="J3" s="484"/>
      <c r="L3" s="199" t="s">
        <v>1242</v>
      </c>
    </row>
    <row r="4" spans="1:25">
      <c r="J4" s="484"/>
    </row>
    <row r="5" spans="1:25">
      <c r="A5" s="488" t="s">
        <v>418</v>
      </c>
      <c r="B5" s="489"/>
      <c r="C5" s="489"/>
      <c r="D5" s="489"/>
      <c r="E5" s="489"/>
      <c r="F5" s="489"/>
      <c r="G5" s="489"/>
      <c r="H5" s="489"/>
      <c r="I5" s="489"/>
      <c r="J5" s="491"/>
      <c r="K5" s="490"/>
      <c r="N5" s="1394" t="s">
        <v>419</v>
      </c>
      <c r="O5" s="1394"/>
      <c r="P5" s="1394"/>
      <c r="Q5" s="1394"/>
      <c r="R5" s="1394"/>
      <c r="S5" s="1394"/>
      <c r="T5" s="1394"/>
      <c r="U5" s="1394"/>
      <c r="V5" s="1394"/>
      <c r="W5" s="1394"/>
      <c r="X5" s="1394"/>
    </row>
    <row r="6" spans="1:25">
      <c r="J6" s="484"/>
      <c r="N6" s="492" t="s">
        <v>16</v>
      </c>
      <c r="O6" s="492" t="s">
        <v>90</v>
      </c>
      <c r="P6" s="492" t="s">
        <v>117</v>
      </c>
      <c r="Q6" s="492" t="s">
        <v>108</v>
      </c>
      <c r="R6" s="492" t="s">
        <v>72</v>
      </c>
      <c r="S6" s="492" t="s">
        <v>94</v>
      </c>
      <c r="T6" s="492" t="s">
        <v>173</v>
      </c>
      <c r="U6" s="492" t="s">
        <v>142</v>
      </c>
      <c r="V6" s="492" t="s">
        <v>35</v>
      </c>
      <c r="W6" s="492"/>
    </row>
    <row r="7" spans="1:25" ht="30" customHeight="1">
      <c r="J7" s="484"/>
      <c r="N7" s="493" t="s">
        <v>420</v>
      </c>
      <c r="O7" s="493" t="s">
        <v>2117</v>
      </c>
      <c r="P7" s="493" t="s">
        <v>421</v>
      </c>
      <c r="Q7" s="493" t="s">
        <v>2119</v>
      </c>
      <c r="R7" s="493" t="s">
        <v>422</v>
      </c>
      <c r="S7" s="493" t="s">
        <v>423</v>
      </c>
      <c r="T7" s="493" t="s">
        <v>2120</v>
      </c>
      <c r="U7" s="493" t="s">
        <v>423</v>
      </c>
      <c r="V7" s="493" t="s">
        <v>424</v>
      </c>
      <c r="W7" s="493"/>
    </row>
    <row r="8" spans="1:25" ht="25.5">
      <c r="B8" s="493" t="s">
        <v>875</v>
      </c>
      <c r="C8" s="493" t="s">
        <v>425</v>
      </c>
      <c r="D8" s="494" t="s">
        <v>426</v>
      </c>
      <c r="E8" s="494" t="s">
        <v>427</v>
      </c>
      <c r="F8" s="494" t="s">
        <v>428</v>
      </c>
      <c r="H8" s="1395" t="s">
        <v>429</v>
      </c>
      <c r="I8" s="1395"/>
      <c r="J8" s="496"/>
      <c r="K8" s="495"/>
      <c r="L8" s="497"/>
      <c r="M8" s="498"/>
    </row>
    <row r="9" spans="1:25">
      <c r="A9" s="485" t="s">
        <v>15</v>
      </c>
      <c r="B9" s="499">
        <f>'Price Out'!E46</f>
        <v>11076353.310000001</v>
      </c>
      <c r="C9" s="500">
        <v>11668997.324999996</v>
      </c>
      <c r="D9" s="501">
        <f>SUM(B9:C9)</f>
        <v>22745350.634999998</v>
      </c>
      <c r="E9" s="502">
        <f>+'Vancouver Consolidated IS'!C10</f>
        <v>22758283.780000001</v>
      </c>
      <c r="F9" s="501">
        <f t="shared" ref="F9:F18" si="0">D9-E9</f>
        <v>-12933.145000003278</v>
      </c>
      <c r="G9" s="503"/>
      <c r="H9" s="1112" t="s">
        <v>430</v>
      </c>
      <c r="I9" s="1113">
        <f>+(B9+B12)/(B21-B19)*B19</f>
        <v>47229.901007839158</v>
      </c>
      <c r="J9" s="505"/>
      <c r="K9" s="506"/>
      <c r="L9" s="505">
        <v>32000</v>
      </c>
      <c r="M9" s="506" t="s">
        <v>15</v>
      </c>
      <c r="N9" s="523">
        <f>F9</f>
        <v>-12933.145000003278</v>
      </c>
      <c r="O9" s="501"/>
      <c r="X9" s="501">
        <f t="shared" ref="X9:X20" si="1">SUM(N9:W9)</f>
        <v>-12933.145000003278</v>
      </c>
    </row>
    <row r="10" spans="1:25">
      <c r="A10" s="485" t="s">
        <v>18</v>
      </c>
      <c r="B10" s="499">
        <f>+'[51]Revenue Summary'!B6</f>
        <v>0</v>
      </c>
      <c r="C10" s="500">
        <v>6498303.1150000012</v>
      </c>
      <c r="D10" s="501">
        <f t="shared" ref="D10:D18" si="2">SUM(B10:C10)</f>
        <v>6498303.1150000012</v>
      </c>
      <c r="E10" s="502">
        <f>+'Vancouver Consolidated IS'!C11</f>
        <v>7336272.4500000002</v>
      </c>
      <c r="F10" s="501">
        <f t="shared" si="0"/>
        <v>-837969.33499999903</v>
      </c>
      <c r="G10" s="503"/>
      <c r="H10" s="1112" t="s">
        <v>431</v>
      </c>
      <c r="I10" s="1113">
        <f>+(B16+B18)/(B21-B19)*B19</f>
        <v>10004.208992160839</v>
      </c>
      <c r="J10" s="505"/>
      <c r="K10" s="506"/>
      <c r="L10" s="505">
        <v>32100</v>
      </c>
      <c r="M10" s="506" t="s">
        <v>18</v>
      </c>
      <c r="N10" s="523">
        <f>F10</f>
        <v>-837969.33499999903</v>
      </c>
      <c r="X10" s="501">
        <f t="shared" si="1"/>
        <v>-837969.33499999903</v>
      </c>
    </row>
    <row r="11" spans="1:25">
      <c r="A11" s="485" t="s">
        <v>19</v>
      </c>
      <c r="B11" s="499">
        <f>+'[51]Revenue Summary'!B7</f>
        <v>0</v>
      </c>
      <c r="C11" s="500">
        <v>4535050.044999999</v>
      </c>
      <c r="D11" s="501">
        <f t="shared" si="2"/>
        <v>4535050.044999999</v>
      </c>
      <c r="E11" s="502">
        <f>+'Vancouver Consolidated IS'!C12</f>
        <v>4513573.6700000009</v>
      </c>
      <c r="F11" s="501">
        <f t="shared" si="0"/>
        <v>21476.374999998137</v>
      </c>
      <c r="G11" s="503"/>
      <c r="H11" s="1112"/>
      <c r="I11" s="1114">
        <f>+SUM(I9:I10)</f>
        <v>57234.11</v>
      </c>
      <c r="J11" s="505"/>
      <c r="K11" s="506"/>
      <c r="L11" s="505">
        <v>32110</v>
      </c>
      <c r="M11" s="506" t="s">
        <v>19</v>
      </c>
      <c r="N11" s="523">
        <f>F11</f>
        <v>21476.374999998137</v>
      </c>
      <c r="X11" s="501">
        <f t="shared" si="1"/>
        <v>21476.374999998137</v>
      </c>
    </row>
    <row r="12" spans="1:25">
      <c r="A12" s="485" t="s">
        <v>20</v>
      </c>
      <c r="B12" s="499">
        <f>'Price Out'!E153</f>
        <v>5770348.6800000016</v>
      </c>
      <c r="C12" s="500">
        <v>11217100.249999993</v>
      </c>
      <c r="D12" s="501">
        <f t="shared" si="2"/>
        <v>16987448.929999992</v>
      </c>
      <c r="E12" s="502">
        <f>+'Vancouver Consolidated IS'!C13</f>
        <v>16982268.48</v>
      </c>
      <c r="F12" s="501">
        <f t="shared" si="0"/>
        <v>5180.4499999918044</v>
      </c>
      <c r="G12" s="503"/>
      <c r="H12" s="508"/>
      <c r="J12" s="505"/>
      <c r="K12" s="506"/>
      <c r="L12" s="505">
        <v>31110</v>
      </c>
      <c r="M12" s="506" t="s">
        <v>20</v>
      </c>
      <c r="N12" s="523">
        <f>F12</f>
        <v>5180.4499999918044</v>
      </c>
      <c r="X12" s="501">
        <f t="shared" si="1"/>
        <v>5180.4499999918044</v>
      </c>
    </row>
    <row r="13" spans="1:25">
      <c r="A13" s="485" t="s">
        <v>487</v>
      </c>
      <c r="B13" s="499">
        <f>+'[51]Revenue Summary'!B9</f>
        <v>0</v>
      </c>
      <c r="C13" s="500">
        <v>0</v>
      </c>
      <c r="D13" s="501"/>
      <c r="E13" s="502"/>
      <c r="F13" s="501"/>
      <c r="G13" s="503"/>
      <c r="H13" s="508"/>
      <c r="J13" s="505"/>
      <c r="K13" s="506"/>
      <c r="L13" s="505">
        <v>31000</v>
      </c>
      <c r="M13" s="506" t="s">
        <v>21</v>
      </c>
      <c r="N13" s="523">
        <f>F16</f>
        <v>-16071.750000000931</v>
      </c>
      <c r="X13" s="501">
        <f t="shared" si="1"/>
        <v>-16071.750000000931</v>
      </c>
    </row>
    <row r="14" spans="1:25">
      <c r="A14" s="485" t="s">
        <v>874</v>
      </c>
      <c r="B14" s="499">
        <f>+'[51]Revenue Summary'!B10</f>
        <v>0</v>
      </c>
      <c r="C14" s="500">
        <v>840666.53999999992</v>
      </c>
      <c r="D14" s="501">
        <f t="shared" ref="D14" si="3">SUM(B14:C14)</f>
        <v>840666.53999999992</v>
      </c>
      <c r="E14" s="502">
        <v>0</v>
      </c>
      <c r="F14" s="501">
        <f t="shared" ref="F14" si="4">D14-E14</f>
        <v>840666.53999999992</v>
      </c>
      <c r="G14" s="503"/>
      <c r="H14" s="508"/>
      <c r="J14" s="505"/>
      <c r="K14" s="506"/>
      <c r="L14" s="505">
        <v>31009</v>
      </c>
      <c r="M14" s="506" t="s">
        <v>1247</v>
      </c>
      <c r="N14" s="523"/>
      <c r="O14" s="501"/>
      <c r="X14" s="501">
        <f t="shared" si="1"/>
        <v>0</v>
      </c>
    </row>
    <row r="15" spans="1:25">
      <c r="A15" s="485" t="s">
        <v>23</v>
      </c>
      <c r="B15" s="499">
        <f>+'[51]Revenue Summary'!B11</f>
        <v>0</v>
      </c>
      <c r="C15" s="500">
        <v>3681750.57</v>
      </c>
      <c r="D15" s="501">
        <f t="shared" si="2"/>
        <v>3681750.57</v>
      </c>
      <c r="E15" s="502">
        <f>+'Vancouver Consolidated IS'!C18</f>
        <v>3745137.65</v>
      </c>
      <c r="F15" s="501">
        <f t="shared" si="0"/>
        <v>-63387.080000000075</v>
      </c>
      <c r="G15" s="503"/>
      <c r="H15" s="508"/>
      <c r="J15" s="505"/>
      <c r="K15" s="506"/>
      <c r="L15" s="505">
        <v>31004</v>
      </c>
      <c r="M15" s="506" t="s">
        <v>876</v>
      </c>
      <c r="N15" s="523">
        <f>F17</f>
        <v>25602.660000000033</v>
      </c>
      <c r="O15" s="509"/>
      <c r="P15" s="509"/>
      <c r="Q15" s="509"/>
      <c r="R15" s="509"/>
      <c r="S15" s="509"/>
      <c r="T15" s="509"/>
      <c r="U15" s="509"/>
      <c r="V15" s="509"/>
      <c r="W15" s="509"/>
      <c r="X15" s="501">
        <f t="shared" si="1"/>
        <v>25602.660000000033</v>
      </c>
      <c r="Y15" s="509"/>
    </row>
    <row r="16" spans="1:25">
      <c r="A16" s="485" t="s">
        <v>21</v>
      </c>
      <c r="B16" s="499">
        <f>'Price Out'!E204</f>
        <v>1252644.1199999999</v>
      </c>
      <c r="C16" s="500">
        <v>2346307.3699999992</v>
      </c>
      <c r="D16" s="501">
        <f t="shared" si="2"/>
        <v>3598951.4899999993</v>
      </c>
      <c r="E16" s="502">
        <f>+'Vancouver Consolidated IS'!C14</f>
        <v>3615023.24</v>
      </c>
      <c r="F16" s="501">
        <f t="shared" si="0"/>
        <v>-16071.750000000931</v>
      </c>
      <c r="G16" s="503"/>
      <c r="H16" s="508"/>
      <c r="J16" s="505"/>
      <c r="K16" s="506"/>
      <c r="L16" s="505">
        <v>31005</v>
      </c>
      <c r="M16" s="506" t="s">
        <v>22</v>
      </c>
      <c r="N16" s="523">
        <f>F18</f>
        <v>28367.340000000782</v>
      </c>
      <c r="O16" s="197"/>
      <c r="P16" s="197"/>
      <c r="Q16" s="197"/>
      <c r="R16" s="197"/>
      <c r="S16" s="197"/>
      <c r="T16" s="197"/>
      <c r="U16" s="197"/>
      <c r="V16" s="197"/>
      <c r="W16" s="197"/>
      <c r="X16" s="501">
        <f t="shared" si="1"/>
        <v>28367.340000000782</v>
      </c>
    </row>
    <row r="17" spans="1:24">
      <c r="A17" s="485" t="s">
        <v>876</v>
      </c>
      <c r="B17" s="499">
        <f>+'[51]Revenue Summary'!B13</f>
        <v>0</v>
      </c>
      <c r="C17" s="500">
        <v>619104.19999999995</v>
      </c>
      <c r="D17" s="501">
        <f t="shared" si="2"/>
        <v>619104.19999999995</v>
      </c>
      <c r="E17" s="502">
        <f>+'Vancouver Consolidated IS'!C16</f>
        <v>593501.53999999992</v>
      </c>
      <c r="F17" s="501">
        <f t="shared" si="0"/>
        <v>25602.660000000033</v>
      </c>
      <c r="G17" s="503"/>
      <c r="H17" s="508"/>
      <c r="J17" s="505"/>
      <c r="K17" s="506"/>
      <c r="L17" s="505">
        <v>33020</v>
      </c>
      <c r="M17" s="506" t="s">
        <v>23</v>
      </c>
      <c r="N17" s="1116">
        <f>F14+F15</f>
        <v>777279.45999999985</v>
      </c>
      <c r="O17" s="509"/>
      <c r="P17" s="509"/>
      <c r="Q17" s="509"/>
      <c r="R17" s="510"/>
      <c r="S17" s="509"/>
      <c r="T17" s="509"/>
      <c r="U17" s="509"/>
      <c r="V17" s="509"/>
      <c r="W17" s="509"/>
      <c r="X17" s="501">
        <f t="shared" si="1"/>
        <v>777279.45999999985</v>
      </c>
    </row>
    <row r="18" spans="1:24">
      <c r="A18" s="485" t="s">
        <v>22</v>
      </c>
      <c r="B18" s="499">
        <f>'Price Out'!E218</f>
        <v>2315814.08</v>
      </c>
      <c r="C18" s="500">
        <v>4309710.9800000004</v>
      </c>
      <c r="D18" s="501">
        <f t="shared" si="2"/>
        <v>6625525.0600000005</v>
      </c>
      <c r="E18" s="502">
        <f>+'Vancouver Consolidated IS'!C17</f>
        <v>6597157.7199999997</v>
      </c>
      <c r="F18" s="501">
        <f t="shared" si="0"/>
        <v>28367.340000000782</v>
      </c>
      <c r="G18" s="503"/>
      <c r="J18" s="505"/>
      <c r="K18" s="506"/>
      <c r="L18" s="505">
        <v>35500</v>
      </c>
      <c r="M18" s="506" t="s">
        <v>24</v>
      </c>
      <c r="N18" s="487"/>
      <c r="X18" s="501">
        <f t="shared" si="1"/>
        <v>0</v>
      </c>
    </row>
    <row r="19" spans="1:24">
      <c r="A19" s="485" t="s">
        <v>25</v>
      </c>
      <c r="B19" s="499">
        <f>+'[51]Revenue Summary'!B15</f>
        <v>57234.11</v>
      </c>
      <c r="C19" s="500">
        <v>26215.459999999992</v>
      </c>
      <c r="D19" s="501">
        <f t="shared" ref="D19" si="5">SUM(B19:C19)</f>
        <v>83449.569999999992</v>
      </c>
      <c r="E19" s="502">
        <f>+'Vancouver Consolidated IS'!C20</f>
        <v>81551.63</v>
      </c>
      <c r="F19" s="501">
        <f t="shared" ref="F19" si="6">D19-E19</f>
        <v>1897.9399999999878</v>
      </c>
      <c r="G19" s="503"/>
      <c r="J19" s="505"/>
      <c r="K19" s="506"/>
      <c r="L19" s="505">
        <v>38000</v>
      </c>
      <c r="M19" s="506" t="s">
        <v>25</v>
      </c>
      <c r="N19" s="523">
        <f>F19</f>
        <v>1897.9399999999878</v>
      </c>
      <c r="X19" s="501">
        <f t="shared" si="1"/>
        <v>1897.9399999999878</v>
      </c>
    </row>
    <row r="20" spans="1:24" ht="11.25" customHeight="1">
      <c r="A20" s="485"/>
      <c r="B20" s="515"/>
      <c r="C20" s="515"/>
      <c r="D20" s="513"/>
      <c r="E20" s="516"/>
      <c r="F20" s="513"/>
      <c r="G20" s="503"/>
      <c r="J20" s="505"/>
      <c r="K20" s="506"/>
      <c r="L20" s="505">
        <v>38001</v>
      </c>
      <c r="M20" s="506" t="s">
        <v>26</v>
      </c>
      <c r="N20" s="541">
        <f>F23</f>
        <v>-68520.759999999995</v>
      </c>
      <c r="O20" s="512"/>
      <c r="P20" s="512"/>
      <c r="Q20" s="512"/>
      <c r="R20" s="512"/>
      <c r="S20" s="512"/>
      <c r="T20" s="512"/>
      <c r="U20" s="512"/>
      <c r="V20" s="512"/>
      <c r="W20" s="512"/>
      <c r="X20" s="513">
        <f t="shared" si="1"/>
        <v>-68520.759999999995</v>
      </c>
    </row>
    <row r="21" spans="1:24">
      <c r="B21" s="517">
        <f>SUM(B9:B20)</f>
        <v>20472394.300000004</v>
      </c>
      <c r="C21" s="511">
        <f>SUM(C9:C20)</f>
        <v>45743205.854999982</v>
      </c>
      <c r="D21" s="511">
        <f>SUM(D9:D20)</f>
        <v>66215600.155000001</v>
      </c>
      <c r="E21" s="511">
        <f>SUM(E9:E20)</f>
        <v>66222770.159999996</v>
      </c>
      <c r="F21" s="511">
        <f>SUM(F9:F20)</f>
        <v>-7170.0050000126503</v>
      </c>
      <c r="G21" s="503">
        <f>F21/E21</f>
        <v>-1.0827099172519199E-4</v>
      </c>
      <c r="J21" s="505"/>
      <c r="K21" s="518"/>
      <c r="N21" s="511">
        <f>SUM(N9:N20)</f>
        <v>-75690.765000012645</v>
      </c>
      <c r="O21" s="511">
        <f t="shared" ref="O21:X21" si="7">SUM(O9:O20)</f>
        <v>0</v>
      </c>
      <c r="P21" s="511">
        <f t="shared" si="7"/>
        <v>0</v>
      </c>
      <c r="Q21" s="511">
        <f t="shared" si="7"/>
        <v>0</v>
      </c>
      <c r="R21" s="511">
        <f t="shared" si="7"/>
        <v>0</v>
      </c>
      <c r="S21" s="511">
        <f t="shared" si="7"/>
        <v>0</v>
      </c>
      <c r="T21" s="511">
        <f t="shared" si="7"/>
        <v>0</v>
      </c>
      <c r="U21" s="511">
        <f t="shared" si="7"/>
        <v>0</v>
      </c>
      <c r="V21" s="511">
        <f t="shared" si="7"/>
        <v>0</v>
      </c>
      <c r="W21" s="511">
        <f t="shared" si="7"/>
        <v>0</v>
      </c>
      <c r="X21" s="511">
        <f t="shared" si="7"/>
        <v>-75690.765000012645</v>
      </c>
    </row>
    <row r="22" spans="1:24">
      <c r="B22" s="511"/>
      <c r="C22" s="511"/>
      <c r="D22" s="511"/>
      <c r="E22" s="511"/>
      <c r="G22" s="503"/>
      <c r="J22" s="505"/>
      <c r="K22" s="506"/>
    </row>
    <row r="23" spans="1:24">
      <c r="A23" s="485" t="s">
        <v>26</v>
      </c>
      <c r="B23" s="511"/>
      <c r="C23" s="511"/>
      <c r="D23" s="511"/>
      <c r="E23" s="511">
        <f>+'Vancouver Consolidated IS'!C21</f>
        <v>68520.759999999995</v>
      </c>
      <c r="F23" s="514">
        <f>-E23</f>
        <v>-68520.759999999995</v>
      </c>
      <c r="G23" s="519" t="s">
        <v>432</v>
      </c>
      <c r="J23" s="505"/>
      <c r="K23" s="506"/>
    </row>
    <row r="24" spans="1:24">
      <c r="F24" s="501">
        <f>F21+F23</f>
        <v>-75690.765000012645</v>
      </c>
      <c r="G24" s="545" t="s">
        <v>16</v>
      </c>
      <c r="J24" s="505"/>
      <c r="K24" s="506"/>
      <c r="U24" s="487"/>
      <c r="V24" s="487"/>
    </row>
    <row r="25" spans="1:24">
      <c r="F25" s="522">
        <f>+F24/D21</f>
        <v>-1.1430956575615538E-3</v>
      </c>
      <c r="J25" s="518"/>
      <c r="K25" s="518"/>
      <c r="U25" s="487"/>
      <c r="V25" s="487"/>
    </row>
    <row r="26" spans="1:24">
      <c r="A26" s="488" t="s">
        <v>1403</v>
      </c>
      <c r="B26" s="489"/>
      <c r="C26" s="489"/>
      <c r="D26" s="489"/>
      <c r="E26" s="489"/>
      <c r="F26" s="489"/>
      <c r="G26" s="489"/>
      <c r="H26" s="489"/>
      <c r="I26" s="489"/>
      <c r="J26" s="518"/>
      <c r="K26" s="524"/>
      <c r="L26" s="497">
        <v>41200</v>
      </c>
      <c r="M26" s="507" t="s">
        <v>433</v>
      </c>
      <c r="U26" s="487"/>
      <c r="V26" s="520"/>
      <c r="X26" s="511">
        <f t="shared" ref="X26:X57" si="8">SUM(N26:W26)</f>
        <v>0</v>
      </c>
    </row>
    <row r="27" spans="1:24">
      <c r="J27" s="518"/>
      <c r="K27" s="525"/>
      <c r="L27" s="497">
        <v>41310</v>
      </c>
      <c r="M27" s="507" t="s">
        <v>434</v>
      </c>
      <c r="N27" s="521"/>
      <c r="O27" s="537">
        <f>D41</f>
        <v>-25153.542696354958</v>
      </c>
      <c r="R27" s="501"/>
      <c r="U27" s="487"/>
      <c r="V27" s="523"/>
      <c r="X27" s="511">
        <f t="shared" si="8"/>
        <v>-25153.542696354958</v>
      </c>
    </row>
    <row r="28" spans="1:24">
      <c r="J28" s="518"/>
      <c r="K28" s="525"/>
      <c r="L28" s="497">
        <v>41311</v>
      </c>
      <c r="M28" s="507" t="s">
        <v>435</v>
      </c>
      <c r="N28" s="521"/>
      <c r="O28" s="537">
        <f>D46</f>
        <v>-31901.356429361836</v>
      </c>
      <c r="U28" s="487"/>
      <c r="V28" s="523"/>
      <c r="X28" s="511">
        <f t="shared" si="8"/>
        <v>-31901.356429361836</v>
      </c>
    </row>
    <row r="29" spans="1:24">
      <c r="A29" s="713" t="s">
        <v>1404</v>
      </c>
      <c r="B29" s="714" t="s">
        <v>1409</v>
      </c>
      <c r="C29" s="715" t="s">
        <v>1410</v>
      </c>
      <c r="E29" s="1396"/>
      <c r="F29" s="1396"/>
      <c r="J29" s="518"/>
      <c r="K29" s="525"/>
      <c r="L29" s="497">
        <v>41320</v>
      </c>
      <c r="M29" s="507" t="s">
        <v>47</v>
      </c>
      <c r="N29" s="523">
        <f>F24</f>
        <v>-75690.765000012645</v>
      </c>
      <c r="U29" s="487"/>
      <c r="V29" s="487"/>
      <c r="X29" s="511">
        <f t="shared" si="8"/>
        <v>-75690.765000012645</v>
      </c>
    </row>
    <row r="30" spans="1:24">
      <c r="A30" s="482" t="s">
        <v>1405</v>
      </c>
      <c r="B30" s="538">
        <f>'Payroll Summary'!D26</f>
        <v>1710720.1956495733</v>
      </c>
      <c r="C30" s="538">
        <f>'Payroll Summary'!E26</f>
        <v>37129.31349541105</v>
      </c>
      <c r="E30" s="711"/>
      <c r="F30" s="710"/>
      <c r="J30" s="506"/>
      <c r="K30" s="518"/>
      <c r="L30" s="497">
        <v>41330</v>
      </c>
      <c r="M30" s="507" t="s">
        <v>51</v>
      </c>
      <c r="U30" s="487"/>
      <c r="V30" s="487"/>
      <c r="X30" s="511">
        <f t="shared" si="8"/>
        <v>0</v>
      </c>
    </row>
    <row r="31" spans="1:24">
      <c r="A31" s="482" t="s">
        <v>1406</v>
      </c>
      <c r="B31" s="538">
        <f>'Payroll Summary'!D36</f>
        <v>212225.28131006952</v>
      </c>
      <c r="C31" s="538">
        <f>'Payroll Summary'!E36</f>
        <v>1848.4204594829371</v>
      </c>
      <c r="E31" s="710"/>
      <c r="F31" s="712"/>
      <c r="J31" s="506"/>
      <c r="K31" s="524"/>
      <c r="L31" s="497">
        <v>41340</v>
      </c>
      <c r="M31" s="507" t="s">
        <v>52</v>
      </c>
      <c r="U31" s="487"/>
      <c r="V31" s="487"/>
      <c r="X31" s="511">
        <f t="shared" si="8"/>
        <v>0</v>
      </c>
    </row>
    <row r="32" spans="1:24">
      <c r="A32" s="482" t="s">
        <v>1407</v>
      </c>
      <c r="B32" s="538">
        <f>'Payroll Summary'!D30</f>
        <v>446104.48645655578</v>
      </c>
      <c r="C32" s="538">
        <f>'Payroll Summary'!E30</f>
        <v>9320.465129694514</v>
      </c>
      <c r="E32" s="710"/>
      <c r="F32" s="712"/>
      <c r="J32" s="506"/>
      <c r="K32" s="506"/>
      <c r="L32" s="497">
        <v>41600</v>
      </c>
      <c r="M32" s="507" t="s">
        <v>54</v>
      </c>
      <c r="U32" s="487"/>
      <c r="V32" s="487"/>
      <c r="X32" s="511">
        <f t="shared" si="8"/>
        <v>0</v>
      </c>
    </row>
    <row r="33" spans="1:24">
      <c r="A33" s="482" t="s">
        <v>1408</v>
      </c>
      <c r="B33" s="538">
        <f>'Payroll Summary'!D27</f>
        <v>852360.350779086</v>
      </c>
      <c r="C33" s="538">
        <f>'Payroll Summary'!E27</f>
        <v>8416.5965067031375</v>
      </c>
      <c r="J33" s="506"/>
      <c r="K33" s="518"/>
      <c r="L33" s="497">
        <v>41800</v>
      </c>
      <c r="M33" s="507" t="s">
        <v>55</v>
      </c>
      <c r="U33" s="487"/>
      <c r="V33" s="487"/>
      <c r="X33" s="511">
        <f t="shared" si="8"/>
        <v>0</v>
      </c>
    </row>
    <row r="34" spans="1:24">
      <c r="A34" s="482" t="s">
        <v>1498</v>
      </c>
      <c r="B34" s="538">
        <f>'Payroll Summary'!D33</f>
        <v>238533.17072798376</v>
      </c>
      <c r="C34" s="538">
        <f>'Payroll Summary'!E33</f>
        <v>2356.7146470831881</v>
      </c>
      <c r="J34" s="518"/>
      <c r="K34" s="518"/>
      <c r="L34" s="497">
        <v>42100</v>
      </c>
      <c r="M34" s="507" t="s">
        <v>70</v>
      </c>
      <c r="O34" s="537">
        <f>D50</f>
        <v>6034.6869772977116</v>
      </c>
      <c r="R34" s="501"/>
      <c r="U34" s="487"/>
      <c r="V34" s="487"/>
      <c r="X34" s="511">
        <f t="shared" si="8"/>
        <v>6034.6869772977116</v>
      </c>
    </row>
    <row r="35" spans="1:24">
      <c r="A35" s="482" t="s">
        <v>1499</v>
      </c>
      <c r="B35" s="538">
        <f>'Payroll Summary'!D38</f>
        <v>30043.827877185657</v>
      </c>
      <c r="C35" s="538">
        <f>'Payroll Summary'!E38</f>
        <v>154.59482613277137</v>
      </c>
      <c r="J35" s="518"/>
      <c r="K35" s="529"/>
      <c r="L35" s="497">
        <v>42300</v>
      </c>
      <c r="M35" s="507" t="s">
        <v>75</v>
      </c>
      <c r="O35" s="537">
        <f>D36</f>
        <v>59226.105064507596</v>
      </c>
      <c r="R35" s="501"/>
      <c r="U35" s="487"/>
      <c r="V35" s="487"/>
      <c r="X35" s="511">
        <f t="shared" si="8"/>
        <v>59226.105064507596</v>
      </c>
    </row>
    <row r="36" spans="1:24">
      <c r="D36" s="517">
        <f>SUM(C30:C35)</f>
        <v>59226.105064507596</v>
      </c>
      <c r="E36" s="482" t="s">
        <v>2996</v>
      </c>
      <c r="J36" s="518"/>
      <c r="K36" s="529"/>
      <c r="L36" s="497">
        <v>42315</v>
      </c>
      <c r="M36" s="507" t="s">
        <v>56</v>
      </c>
      <c r="R36" s="501"/>
      <c r="U36" s="487"/>
      <c r="V36" s="487"/>
      <c r="X36" s="511">
        <f t="shared" si="8"/>
        <v>0</v>
      </c>
    </row>
    <row r="37" spans="1:24">
      <c r="D37" s="197"/>
      <c r="J37" s="506"/>
      <c r="K37" s="506"/>
      <c r="L37" s="497">
        <v>42400</v>
      </c>
      <c r="M37" s="507" t="s">
        <v>80</v>
      </c>
      <c r="U37" s="487"/>
      <c r="V37" s="487"/>
      <c r="X37" s="511">
        <f t="shared" si="8"/>
        <v>0</v>
      </c>
    </row>
    <row r="38" spans="1:24">
      <c r="A38" s="526" t="s">
        <v>1411</v>
      </c>
      <c r="C38" s="530"/>
      <c r="D38" s="197"/>
      <c r="J38" s="506"/>
      <c r="K38" s="506"/>
      <c r="L38" s="497">
        <v>42800</v>
      </c>
      <c r="M38" s="507" t="s">
        <v>81</v>
      </c>
      <c r="U38" s="487"/>
      <c r="V38" s="487"/>
      <c r="X38" s="511">
        <f t="shared" si="8"/>
        <v>0</v>
      </c>
    </row>
    <row r="39" spans="1:24">
      <c r="A39" s="482" t="s">
        <v>1415</v>
      </c>
      <c r="B39" s="535">
        <f>-'Shop Exp'!C26</f>
        <v>-48406.75</v>
      </c>
      <c r="D39" s="197"/>
      <c r="J39" s="506"/>
      <c r="K39" s="506"/>
      <c r="L39" s="505">
        <v>40101</v>
      </c>
      <c r="M39" s="507" t="s">
        <v>89</v>
      </c>
      <c r="O39" s="523"/>
      <c r="U39" s="487"/>
      <c r="V39" s="487"/>
      <c r="X39" s="511">
        <f t="shared" si="8"/>
        <v>0</v>
      </c>
    </row>
    <row r="40" spans="1:24">
      <c r="A40" s="482" t="s">
        <v>2994</v>
      </c>
      <c r="B40" s="535">
        <f>-'Payroll Detail'!R236</f>
        <v>-90115.089699999997</v>
      </c>
      <c r="J40" s="506"/>
      <c r="K40" s="506"/>
      <c r="L40" s="505"/>
      <c r="M40" s="507" t="s">
        <v>436</v>
      </c>
      <c r="U40" s="487"/>
      <c r="V40" s="487"/>
      <c r="X40" s="511">
        <f t="shared" si="8"/>
        <v>0</v>
      </c>
    </row>
    <row r="41" spans="1:24">
      <c r="A41" s="482" t="s">
        <v>1496</v>
      </c>
      <c r="C41" s="538">
        <f>'Payroll Summary'!E44</f>
        <v>23253.207303645042</v>
      </c>
      <c r="D41" s="517">
        <f>B39+C41</f>
        <v>-25153.542696354958</v>
      </c>
      <c r="E41" s="482" t="s">
        <v>2996</v>
      </c>
      <c r="J41" s="506"/>
      <c r="K41" s="506"/>
      <c r="L41" s="505">
        <v>40121</v>
      </c>
      <c r="M41" s="507" t="s">
        <v>437</v>
      </c>
      <c r="U41" s="487"/>
      <c r="V41" s="487"/>
      <c r="X41" s="511">
        <f t="shared" si="8"/>
        <v>0</v>
      </c>
    </row>
    <row r="42" spans="1:24">
      <c r="D42" s="197"/>
      <c r="J42" s="506"/>
      <c r="K42" s="506"/>
      <c r="L42" s="505">
        <v>40131</v>
      </c>
      <c r="M42" s="507" t="s">
        <v>438</v>
      </c>
      <c r="U42" s="487"/>
      <c r="V42" s="487"/>
      <c r="X42" s="511">
        <f t="shared" si="8"/>
        <v>0</v>
      </c>
    </row>
    <row r="43" spans="1:24">
      <c r="D43" s="197"/>
      <c r="J43" s="506"/>
      <c r="K43" s="506"/>
      <c r="L43" s="497">
        <v>43600</v>
      </c>
      <c r="M43" s="507" t="s">
        <v>88</v>
      </c>
      <c r="U43" s="487"/>
      <c r="V43" s="487"/>
      <c r="X43" s="511">
        <f t="shared" si="8"/>
        <v>0</v>
      </c>
    </row>
    <row r="44" spans="1:24">
      <c r="A44" s="526" t="s">
        <v>1412</v>
      </c>
      <c r="D44" s="197"/>
      <c r="J44" s="506"/>
      <c r="K44" s="518"/>
      <c r="L44" s="497">
        <v>43800</v>
      </c>
      <c r="M44" s="507" t="s">
        <v>439</v>
      </c>
      <c r="U44" s="487"/>
      <c r="V44" s="487"/>
      <c r="X44" s="511">
        <f t="shared" si="8"/>
        <v>0</v>
      </c>
    </row>
    <row r="45" spans="1:24">
      <c r="A45" s="482" t="s">
        <v>1415</v>
      </c>
      <c r="B45" s="535">
        <f>-'Shop Exp'!B26</f>
        <v>-38851.75</v>
      </c>
      <c r="D45" s="197"/>
      <c r="J45" s="518"/>
      <c r="K45" s="518"/>
      <c r="L45" s="497">
        <v>44000</v>
      </c>
      <c r="M45" s="507" t="s">
        <v>91</v>
      </c>
      <c r="U45" s="487"/>
      <c r="V45" s="487"/>
      <c r="X45" s="511">
        <f t="shared" si="8"/>
        <v>0</v>
      </c>
    </row>
    <row r="46" spans="1:24">
      <c r="A46" s="482" t="s">
        <v>1496</v>
      </c>
      <c r="C46" s="538">
        <f>'Payroll Summary'!E48</f>
        <v>6950.3935706381626</v>
      </c>
      <c r="D46" s="517">
        <f>B45+C46</f>
        <v>-31901.356429361836</v>
      </c>
      <c r="E46" s="482" t="s">
        <v>2996</v>
      </c>
      <c r="J46" s="518"/>
      <c r="K46" s="529"/>
      <c r="L46" s="497">
        <v>44300</v>
      </c>
      <c r="M46" s="507" t="s">
        <v>92</v>
      </c>
      <c r="Q46" s="537">
        <f>B81</f>
        <v>-11656.700869999971</v>
      </c>
      <c r="S46" s="1120"/>
      <c r="U46" s="487"/>
      <c r="V46" s="487"/>
      <c r="X46" s="511">
        <f t="shared" si="8"/>
        <v>-11656.700869999971</v>
      </c>
    </row>
    <row r="47" spans="1:24">
      <c r="J47" s="518"/>
      <c r="K47" s="506"/>
      <c r="L47" s="497">
        <v>44500</v>
      </c>
      <c r="M47" s="507" t="s">
        <v>96</v>
      </c>
      <c r="Q47" s="487"/>
      <c r="T47" s="1122">
        <f>-'70225'!D97</f>
        <v>-888.93000000000006</v>
      </c>
      <c r="U47" s="487"/>
      <c r="V47" s="487"/>
      <c r="X47" s="511">
        <f t="shared" si="8"/>
        <v>-888.93000000000006</v>
      </c>
    </row>
    <row r="48" spans="1:24">
      <c r="A48" s="526" t="s">
        <v>1413</v>
      </c>
      <c r="J48" s="506"/>
      <c r="K48" s="506"/>
      <c r="L48" s="505">
        <v>45300</v>
      </c>
      <c r="M48" s="507" t="s">
        <v>101</v>
      </c>
      <c r="Q48" s="520"/>
      <c r="U48" s="487"/>
      <c r="V48" s="487"/>
      <c r="X48" s="511">
        <f t="shared" si="8"/>
        <v>0</v>
      </c>
    </row>
    <row r="49" spans="1:24">
      <c r="A49" s="482" t="s">
        <v>2995</v>
      </c>
      <c r="B49" s="535">
        <f>-'Payroll Detail'!R348</f>
        <v>-95420.75069999999</v>
      </c>
      <c r="J49" s="518"/>
      <c r="K49" s="518"/>
      <c r="L49" s="497">
        <v>45400</v>
      </c>
      <c r="M49" s="507" t="s">
        <v>105</v>
      </c>
      <c r="P49" s="487"/>
      <c r="Q49" s="487"/>
      <c r="T49" s="1123">
        <f>'Vancouver Consolidated IS'!D174</f>
        <v>35994.160000000003</v>
      </c>
      <c r="U49" s="487"/>
      <c r="V49" s="487"/>
      <c r="X49" s="511">
        <f t="shared" si="8"/>
        <v>35994.160000000003</v>
      </c>
    </row>
    <row r="50" spans="1:24">
      <c r="A50" s="482" t="s">
        <v>1496</v>
      </c>
      <c r="C50" s="538">
        <f>'Payroll Summary'!E47</f>
        <v>6034.6869772977116</v>
      </c>
      <c r="D50" s="517">
        <f>C50</f>
        <v>6034.6869772977116</v>
      </c>
      <c r="E50" s="482" t="s">
        <v>2996</v>
      </c>
      <c r="J50" s="518"/>
      <c r="K50" s="518"/>
      <c r="L50" s="497">
        <v>46100</v>
      </c>
      <c r="M50" s="507" t="s">
        <v>115</v>
      </c>
      <c r="P50" s="520">
        <f>B66</f>
        <v>374110.74186185235</v>
      </c>
      <c r="Q50" s="487"/>
      <c r="U50" s="487"/>
      <c r="V50" s="487"/>
      <c r="X50" s="511">
        <f t="shared" si="8"/>
        <v>374110.74186185235</v>
      </c>
    </row>
    <row r="51" spans="1:24">
      <c r="J51" s="518"/>
      <c r="K51" s="529"/>
      <c r="L51" s="497">
        <v>46130</v>
      </c>
      <c r="M51" s="507" t="s">
        <v>114</v>
      </c>
      <c r="N51" s="533"/>
      <c r="O51" s="1117">
        <f>D55-'DivCon-DVP Alloc Out'!C25</f>
        <v>-182182.25463133078</v>
      </c>
      <c r="P51" s="1118"/>
      <c r="Q51" s="1118"/>
      <c r="R51" s="534"/>
      <c r="S51" s="533"/>
      <c r="T51" s="533"/>
      <c r="U51" s="1118"/>
      <c r="V51" s="1127"/>
      <c r="W51" s="533"/>
      <c r="X51" s="511">
        <f t="shared" si="8"/>
        <v>-182182.25463133078</v>
      </c>
    </row>
    <row r="52" spans="1:24">
      <c r="A52" s="197" t="s">
        <v>1414</v>
      </c>
      <c r="C52" s="538"/>
      <c r="D52" s="197"/>
      <c r="J52" s="506"/>
      <c r="K52" s="506"/>
      <c r="L52" s="497">
        <v>46200</v>
      </c>
      <c r="M52" s="507" t="s">
        <v>131</v>
      </c>
      <c r="P52" s="487"/>
      <c r="Q52" s="487"/>
      <c r="T52" s="1123">
        <f>'Vancouver Consolidated IS'!D202</f>
        <v>-5631.88</v>
      </c>
      <c r="U52" s="487"/>
      <c r="V52" s="487"/>
      <c r="X52" s="511">
        <f t="shared" si="8"/>
        <v>-5631.88</v>
      </c>
    </row>
    <row r="53" spans="1:24">
      <c r="A53" s="482" t="s">
        <v>2991</v>
      </c>
      <c r="B53" s="499">
        <f>-'Payroll Summary'!B46</f>
        <v>-262923.91019999998</v>
      </c>
      <c r="D53" s="197"/>
      <c r="J53" s="506"/>
      <c r="K53" s="506"/>
      <c r="L53" s="497">
        <v>46300</v>
      </c>
      <c r="M53" s="507" t="s">
        <v>132</v>
      </c>
      <c r="P53" s="487"/>
      <c r="Q53" s="487"/>
      <c r="U53" s="487"/>
      <c r="V53" s="487"/>
      <c r="X53" s="511">
        <f t="shared" si="8"/>
        <v>0</v>
      </c>
    </row>
    <row r="54" spans="1:24">
      <c r="A54" s="482" t="s">
        <v>2989</v>
      </c>
      <c r="B54" s="535">
        <f>-SUM('Payroll Detail'!R277:R278)</f>
        <v>-331156.95979999995</v>
      </c>
      <c r="J54" s="506"/>
      <c r="K54" s="506"/>
      <c r="L54" s="497">
        <v>46400</v>
      </c>
      <c r="M54" s="507" t="s">
        <v>135</v>
      </c>
      <c r="P54" s="487"/>
      <c r="Q54" s="487"/>
      <c r="U54" s="487"/>
      <c r="V54" s="487"/>
      <c r="X54" s="511">
        <f t="shared" si="8"/>
        <v>0</v>
      </c>
    </row>
    <row r="55" spans="1:24">
      <c r="A55" s="482" t="s">
        <v>1496</v>
      </c>
      <c r="C55" s="538">
        <f>'Payroll Summary'!E45</f>
        <v>27387.15044634353</v>
      </c>
      <c r="D55" s="517">
        <f>C55</f>
        <v>27387.15044634353</v>
      </c>
      <c r="E55" s="482" t="s">
        <v>2996</v>
      </c>
      <c r="J55" s="506"/>
      <c r="K55" s="506"/>
      <c r="L55" s="497">
        <v>46410</v>
      </c>
      <c r="M55" s="507" t="s">
        <v>136</v>
      </c>
      <c r="P55" s="487"/>
      <c r="Q55" s="487"/>
      <c r="U55" s="487"/>
      <c r="V55" s="487"/>
      <c r="X55" s="511">
        <f t="shared" si="8"/>
        <v>0</v>
      </c>
    </row>
    <row r="56" spans="1:24">
      <c r="J56" s="506"/>
      <c r="K56" s="506"/>
      <c r="L56" s="497">
        <v>46500</v>
      </c>
      <c r="M56" s="507" t="s">
        <v>137</v>
      </c>
      <c r="P56" s="487"/>
      <c r="Q56" s="487"/>
      <c r="U56" s="487"/>
      <c r="V56" s="487"/>
      <c r="X56" s="511">
        <f t="shared" si="8"/>
        <v>0</v>
      </c>
    </row>
    <row r="57" spans="1:24">
      <c r="A57" s="488" t="s">
        <v>1418</v>
      </c>
      <c r="B57" s="489"/>
      <c r="C57" s="489"/>
      <c r="D57" s="489"/>
      <c r="E57" s="489"/>
      <c r="F57" s="489"/>
      <c r="G57" s="489"/>
      <c r="H57" s="489"/>
      <c r="I57" s="489"/>
      <c r="J57" s="506"/>
      <c r="K57" s="518"/>
      <c r="L57" s="497">
        <v>46510</v>
      </c>
      <c r="M57" s="507" t="s">
        <v>139</v>
      </c>
      <c r="P57" s="487"/>
      <c r="Q57" s="487"/>
      <c r="U57" s="487"/>
      <c r="V57" s="487"/>
      <c r="X57" s="511">
        <f t="shared" si="8"/>
        <v>0</v>
      </c>
    </row>
    <row r="58" spans="1:24">
      <c r="J58" s="506"/>
      <c r="K58" s="518"/>
      <c r="L58" s="497">
        <v>46700</v>
      </c>
      <c r="M58" s="507" t="s">
        <v>140</v>
      </c>
      <c r="P58" s="487"/>
      <c r="Q58" s="487"/>
      <c r="S58" s="1121">
        <f>B111</f>
        <v>4849.7200000003941</v>
      </c>
      <c r="T58" s="487"/>
      <c r="U58" s="1121"/>
      <c r="V58" s="487"/>
      <c r="X58" s="511">
        <f t="shared" ref="X58:X76" si="9">SUM(N58:W58)</f>
        <v>4849.7200000003941</v>
      </c>
    </row>
    <row r="59" spans="1:24">
      <c r="A59" s="532" t="s">
        <v>440</v>
      </c>
      <c r="J59" s="506"/>
      <c r="K59" s="529"/>
      <c r="L59" s="497">
        <v>46900</v>
      </c>
      <c r="M59" s="507" t="s">
        <v>144</v>
      </c>
      <c r="P59" s="520">
        <f>B72</f>
        <v>-19016.866829234525</v>
      </c>
      <c r="Q59" s="1119"/>
      <c r="S59" s="520"/>
      <c r="T59" s="1123">
        <f>'Vancouver Consolidated IS'!D259+'Vancouver Consolidated IS'!D260+'Vancouver Consolidated IS'!D272-'70195'!D140+'Vancouver Consolidated IS'!D203+'Vancouver Consolidated IS'!D162</f>
        <v>-221396.87899999999</v>
      </c>
      <c r="U59" s="487"/>
      <c r="V59" s="487"/>
      <c r="X59" s="511">
        <f t="shared" si="9"/>
        <v>-240413.74582923451</v>
      </c>
    </row>
    <row r="60" spans="1:24">
      <c r="J60" s="506"/>
      <c r="K60" s="506"/>
      <c r="L60" s="497">
        <v>51260</v>
      </c>
      <c r="M60" s="507" t="s">
        <v>172</v>
      </c>
      <c r="Q60" s="487"/>
      <c r="R60" s="537">
        <f t="shared" ref="R60:R65" si="10">E86</f>
        <v>-147440.24834920606</v>
      </c>
      <c r="S60" s="487"/>
      <c r="T60" s="523"/>
      <c r="U60" s="487"/>
      <c r="V60" s="487"/>
      <c r="X60" s="511">
        <f t="shared" si="9"/>
        <v>-147440.24834920606</v>
      </c>
    </row>
    <row r="61" spans="1:24">
      <c r="A61" s="485" t="s">
        <v>95</v>
      </c>
      <c r="B61" s="535">
        <f>+'Vancouver Consolidated IS'!E22</f>
        <v>67532426.064999998</v>
      </c>
      <c r="J61" s="506"/>
      <c r="K61" s="506"/>
      <c r="L61" s="497">
        <v>54260</v>
      </c>
      <c r="M61" s="507" t="s">
        <v>175</v>
      </c>
      <c r="R61" s="537">
        <f t="shared" si="10"/>
        <v>23065.076301587513</v>
      </c>
      <c r="S61" s="487"/>
      <c r="T61" s="523"/>
      <c r="U61" s="487"/>
      <c r="V61" s="487"/>
      <c r="X61" s="511">
        <f t="shared" si="9"/>
        <v>23065.076301587513</v>
      </c>
    </row>
    <row r="62" spans="1:24">
      <c r="A62" s="485" t="s">
        <v>441</v>
      </c>
      <c r="B62" s="536">
        <f>+'Corp OH'!E88</f>
        <v>2.2690543804645299E-2</v>
      </c>
      <c r="J62" s="518"/>
      <c r="L62" s="497"/>
      <c r="M62" s="507" t="s">
        <v>176</v>
      </c>
      <c r="R62" s="537">
        <f t="shared" si="10"/>
        <v>45503.047226190472</v>
      </c>
      <c r="S62" s="487"/>
      <c r="T62" s="523"/>
      <c r="U62" s="487"/>
      <c r="V62" s="487"/>
      <c r="X62" s="511">
        <f t="shared" si="9"/>
        <v>45503.047226190472</v>
      </c>
    </row>
    <row r="63" spans="1:24">
      <c r="A63" s="485"/>
      <c r="B63" s="537">
        <f>B61*B62</f>
        <v>1532347.4718618523</v>
      </c>
      <c r="J63" s="506"/>
      <c r="L63" s="497">
        <v>57260</v>
      </c>
      <c r="M63" s="507" t="s">
        <v>177</v>
      </c>
      <c r="R63" s="537">
        <f t="shared" si="10"/>
        <v>-93626.336147619048</v>
      </c>
      <c r="S63" s="487"/>
      <c r="T63" s="523"/>
      <c r="U63" s="487"/>
      <c r="V63" s="487"/>
      <c r="X63" s="511">
        <f t="shared" si="9"/>
        <v>-93626.336147619048</v>
      </c>
    </row>
    <row r="64" spans="1:24">
      <c r="J64" s="506"/>
      <c r="L64" s="497">
        <v>70260</v>
      </c>
      <c r="M64" s="507" t="s">
        <v>178</v>
      </c>
      <c r="R64" s="537">
        <f t="shared" si="10"/>
        <v>-36431.433460317574</v>
      </c>
      <c r="S64" s="487"/>
      <c r="T64" s="523"/>
      <c r="U64" s="487"/>
      <c r="V64" s="487"/>
      <c r="X64" s="511">
        <f t="shared" si="9"/>
        <v>-36431.433460317574</v>
      </c>
    </row>
    <row r="65" spans="1:24">
      <c r="A65" s="485" t="s">
        <v>427</v>
      </c>
      <c r="B65" s="538">
        <f>+'Vancouver Consolidated IS'!C191</f>
        <v>1158236.73</v>
      </c>
      <c r="C65" s="487"/>
      <c r="J65" s="506"/>
      <c r="L65" s="497"/>
      <c r="M65" s="485" t="s">
        <v>179</v>
      </c>
      <c r="R65" s="537">
        <f t="shared" si="10"/>
        <v>153151.8592998058</v>
      </c>
      <c r="S65" s="487"/>
      <c r="T65" s="523"/>
      <c r="U65" s="487"/>
      <c r="V65" s="487"/>
      <c r="X65" s="511">
        <f t="shared" si="9"/>
        <v>153151.8592998058</v>
      </c>
    </row>
    <row r="66" spans="1:24">
      <c r="A66" s="539" t="s">
        <v>428</v>
      </c>
      <c r="B66" s="517">
        <f>B63-B65</f>
        <v>374110.74186185235</v>
      </c>
      <c r="C66" s="545" t="s">
        <v>117</v>
      </c>
      <c r="J66" s="506"/>
      <c r="L66" s="497">
        <v>70264</v>
      </c>
      <c r="M66" s="485" t="s">
        <v>180</v>
      </c>
      <c r="S66" s="487"/>
      <c r="T66" s="523"/>
      <c r="U66" s="487"/>
      <c r="V66" s="487"/>
      <c r="X66" s="511">
        <f t="shared" si="9"/>
        <v>0</v>
      </c>
    </row>
    <row r="67" spans="1:24">
      <c r="C67" s="487"/>
      <c r="J67" s="506"/>
      <c r="L67" s="497">
        <v>91010</v>
      </c>
      <c r="M67" s="507" t="s">
        <v>445</v>
      </c>
      <c r="U67" s="487"/>
      <c r="V67" s="487"/>
      <c r="X67" s="511">
        <f t="shared" si="9"/>
        <v>0</v>
      </c>
    </row>
    <row r="68" spans="1:24">
      <c r="A68" s="540" t="s">
        <v>442</v>
      </c>
      <c r="C68" s="487"/>
      <c r="J68" s="506"/>
      <c r="L68" s="497">
        <v>52000</v>
      </c>
      <c r="M68" s="507" t="s">
        <v>181</v>
      </c>
      <c r="U68" s="487"/>
      <c r="V68" s="487"/>
      <c r="X68" s="511">
        <f t="shared" si="9"/>
        <v>0</v>
      </c>
    </row>
    <row r="69" spans="1:24">
      <c r="C69" s="487"/>
      <c r="J69" s="506"/>
      <c r="L69" s="497">
        <v>52030</v>
      </c>
      <c r="M69" s="507" t="s">
        <v>185</v>
      </c>
      <c r="T69" s="1123">
        <f>-'43001'!D112</f>
        <v>-10843.54</v>
      </c>
      <c r="U69" s="487"/>
      <c r="V69" s="487"/>
      <c r="X69" s="511">
        <f t="shared" si="9"/>
        <v>-10843.54</v>
      </c>
    </row>
    <row r="70" spans="1:24">
      <c r="A70" s="482" t="s">
        <v>427</v>
      </c>
      <c r="B70" s="502">
        <f>'Vancouver Consolidated IS'!C261</f>
        <v>240029.95999999996</v>
      </c>
      <c r="C70" s="487"/>
      <c r="J70" s="506"/>
      <c r="L70" s="497">
        <v>52200</v>
      </c>
      <c r="M70" s="507" t="s">
        <v>187</v>
      </c>
      <c r="U70" s="487"/>
      <c r="V70" s="487"/>
      <c r="X70" s="511">
        <f t="shared" si="9"/>
        <v>0</v>
      </c>
    </row>
    <row r="71" spans="1:24">
      <c r="A71" s="482" t="s">
        <v>443</v>
      </c>
      <c r="B71" s="541">
        <f>+'Region OH Calc'!AL49</f>
        <v>221013.09317076544</v>
      </c>
      <c r="C71" s="487"/>
      <c r="J71" s="518"/>
      <c r="L71" s="497">
        <v>52300</v>
      </c>
      <c r="M71" s="507" t="s">
        <v>309</v>
      </c>
      <c r="U71" s="487"/>
      <c r="V71" s="487"/>
      <c r="X71" s="511">
        <f t="shared" si="9"/>
        <v>0</v>
      </c>
    </row>
    <row r="72" spans="1:24">
      <c r="A72" s="539" t="s">
        <v>444</v>
      </c>
      <c r="B72" s="531">
        <f>B71-B70</f>
        <v>-19016.866829234525</v>
      </c>
      <c r="C72" s="545" t="s">
        <v>117</v>
      </c>
      <c r="J72" s="518"/>
      <c r="L72" s="497">
        <v>52400</v>
      </c>
      <c r="M72" s="507" t="s">
        <v>190</v>
      </c>
      <c r="R72" s="501"/>
      <c r="U72" s="487"/>
      <c r="V72" s="523"/>
      <c r="X72" s="511">
        <f t="shared" si="9"/>
        <v>0</v>
      </c>
    </row>
    <row r="73" spans="1:24">
      <c r="J73" s="518"/>
      <c r="L73" s="505">
        <v>52700</v>
      </c>
      <c r="M73" s="507" t="s">
        <v>446</v>
      </c>
      <c r="U73" s="487"/>
      <c r="V73" s="487"/>
      <c r="X73" s="511">
        <f t="shared" si="9"/>
        <v>0</v>
      </c>
    </row>
    <row r="74" spans="1:24">
      <c r="A74" s="488" t="s">
        <v>1425</v>
      </c>
      <c r="B74" s="489"/>
      <c r="C74" s="489"/>
      <c r="D74" s="489"/>
      <c r="E74" s="489"/>
      <c r="F74" s="489"/>
      <c r="G74" s="489"/>
      <c r="H74" s="489"/>
      <c r="I74" s="489"/>
      <c r="J74" s="506"/>
      <c r="L74" s="497">
        <v>53200</v>
      </c>
      <c r="M74" s="507" t="s">
        <v>191</v>
      </c>
      <c r="U74" s="487"/>
      <c r="V74" s="487"/>
      <c r="X74" s="511">
        <f t="shared" si="9"/>
        <v>0</v>
      </c>
    </row>
    <row r="75" spans="1:24">
      <c r="J75" s="506"/>
      <c r="L75" s="497">
        <v>70269</v>
      </c>
      <c r="M75" s="507" t="s">
        <v>180</v>
      </c>
      <c r="N75" s="512"/>
      <c r="O75" s="512"/>
      <c r="P75" s="512"/>
      <c r="Q75" s="512"/>
      <c r="R75" s="512"/>
      <c r="S75" s="512"/>
      <c r="T75" s="512"/>
      <c r="U75" s="515"/>
      <c r="V75" s="515"/>
      <c r="W75" s="512"/>
      <c r="X75" s="511">
        <f t="shared" si="9"/>
        <v>0</v>
      </c>
    </row>
    <row r="76" spans="1:24">
      <c r="A76" s="485" t="s">
        <v>448</v>
      </c>
      <c r="B76" s="535">
        <f>+'Vancouver Consolidated IS'!J22</f>
        <v>20787376.300000004</v>
      </c>
      <c r="N76" s="528">
        <f>SUM(N21:N75)</f>
        <v>-151381.53000002529</v>
      </c>
      <c r="O76" s="528">
        <f t="shared" ref="O76:V76" si="11">SUM(O21:O75)</f>
        <v>-173976.36171524227</v>
      </c>
      <c r="P76" s="528">
        <f t="shared" si="11"/>
        <v>355093.87503261783</v>
      </c>
      <c r="Q76" s="528">
        <f t="shared" si="11"/>
        <v>-11656.700869999971</v>
      </c>
      <c r="R76" s="528">
        <f t="shared" si="11"/>
        <v>-55778.035129558877</v>
      </c>
      <c r="S76" s="528">
        <f t="shared" si="11"/>
        <v>4849.7200000003941</v>
      </c>
      <c r="T76" s="528">
        <f t="shared" si="11"/>
        <v>-202767.06899999999</v>
      </c>
      <c r="U76" s="528">
        <f t="shared" si="11"/>
        <v>0</v>
      </c>
      <c r="V76" s="528">
        <f t="shared" si="11"/>
        <v>0</v>
      </c>
      <c r="W76" s="502">
        <f>SUM(W17:W75)</f>
        <v>0</v>
      </c>
      <c r="X76" s="511">
        <f t="shared" si="9"/>
        <v>-235616.10168220819</v>
      </c>
    </row>
    <row r="77" spans="1:24">
      <c r="A77" s="485" t="s">
        <v>93</v>
      </c>
      <c r="B77" s="546">
        <v>5.1000000000000004E-3</v>
      </c>
      <c r="X77" s="501">
        <f>X76-'Vancouver Consolidated IS'!D324-'Vancouver Consolidated IS'!D22</f>
        <v>-7170.005000012723</v>
      </c>
    </row>
    <row r="78" spans="1:24">
      <c r="A78" s="485" t="s">
        <v>449</v>
      </c>
      <c r="B78" s="535">
        <f>B76*B77</f>
        <v>106015.61913000004</v>
      </c>
    </row>
    <row r="80" spans="1:24">
      <c r="A80" s="485" t="s">
        <v>450</v>
      </c>
      <c r="B80" s="543">
        <f>+'Vancouver Consolidated IS'!C158</f>
        <v>117672.32000000001</v>
      </c>
    </row>
    <row r="81" spans="1:9">
      <c r="A81" s="539" t="s">
        <v>451</v>
      </c>
      <c r="B81" s="517">
        <f>B78-B80</f>
        <v>-11656.700869999971</v>
      </c>
      <c r="C81" s="545" t="s">
        <v>108</v>
      </c>
    </row>
    <row r="82" spans="1:9">
      <c r="C82" s="547"/>
    </row>
    <row r="83" spans="1:9">
      <c r="A83" s="488" t="s">
        <v>1426</v>
      </c>
      <c r="B83" s="489"/>
      <c r="C83" s="489"/>
      <c r="D83" s="489"/>
      <c r="E83" s="489"/>
      <c r="F83" s="489"/>
      <c r="G83" s="489"/>
      <c r="H83" s="489"/>
      <c r="I83" s="489"/>
    </row>
    <row r="85" spans="1:9">
      <c r="C85" s="548" t="s">
        <v>427</v>
      </c>
      <c r="D85" s="548" t="s">
        <v>452</v>
      </c>
      <c r="E85" s="548" t="s">
        <v>451</v>
      </c>
    </row>
    <row r="86" spans="1:9">
      <c r="A86" s="485">
        <v>51260</v>
      </c>
      <c r="B86" s="485" t="s">
        <v>172</v>
      </c>
      <c r="C86" s="535">
        <f>+'Vancouver Consolidated IS'!C279</f>
        <v>2596064.5399999996</v>
      </c>
      <c r="D86" s="499">
        <f>+'Total Depreciation Summary'!K25</f>
        <v>2448624.2916507935</v>
      </c>
      <c r="E86" s="537">
        <f>D86-C86</f>
        <v>-147440.24834920606</v>
      </c>
    </row>
    <row r="87" spans="1:9">
      <c r="A87" s="485">
        <v>54260</v>
      </c>
      <c r="B87" s="485" t="s">
        <v>175</v>
      </c>
      <c r="C87" s="535">
        <f>+'Vancouver Consolidated IS'!C280</f>
        <v>832825.24999999988</v>
      </c>
      <c r="D87" s="499">
        <f>+'Total Depreciation Summary'!K42</f>
        <v>855890.3263015874</v>
      </c>
      <c r="E87" s="537">
        <f t="shared" ref="E87:E93" si="12">D87-C87</f>
        <v>23065.076301587513</v>
      </c>
    </row>
    <row r="88" spans="1:9">
      <c r="A88" s="485"/>
      <c r="B88" s="485" t="s">
        <v>176</v>
      </c>
      <c r="C88" s="535">
        <f>+'Vancouver Consolidated IS'!C281</f>
        <v>0</v>
      </c>
      <c r="D88" s="499">
        <f>+'Total Depreciation Summary'!K44+'Total Depreciation Summary'!K46+'Total Depreciation Summary'!K50</f>
        <v>45503.047226190472</v>
      </c>
      <c r="E88" s="537">
        <f t="shared" si="12"/>
        <v>45503.047226190472</v>
      </c>
    </row>
    <row r="89" spans="1:9">
      <c r="A89" s="485">
        <v>57260</v>
      </c>
      <c r="B89" s="485" t="s">
        <v>177</v>
      </c>
      <c r="C89" s="535">
        <f>+'Vancouver Consolidated IS'!C282</f>
        <v>116389.31</v>
      </c>
      <c r="D89" s="499">
        <f>+'Total Depreciation Summary'!K48</f>
        <v>22762.97385238095</v>
      </c>
      <c r="E89" s="537">
        <f t="shared" si="12"/>
        <v>-93626.336147619048</v>
      </c>
    </row>
    <row r="90" spans="1:9">
      <c r="A90" s="485">
        <v>70260</v>
      </c>
      <c r="B90" s="485" t="s">
        <v>178</v>
      </c>
      <c r="C90" s="535">
        <f>+'Vancouver Consolidated IS'!C283</f>
        <v>74920.34</v>
      </c>
      <c r="D90" s="499">
        <f>+'Total Depreciation Summary'!K52</f>
        <v>38488.906539682423</v>
      </c>
      <c r="E90" s="537">
        <f t="shared" si="12"/>
        <v>-36431.433460317574</v>
      </c>
    </row>
    <row r="91" spans="1:9">
      <c r="A91" s="485"/>
      <c r="B91" s="485" t="s">
        <v>179</v>
      </c>
      <c r="C91" s="535">
        <f>+'Vancouver Consolidated IS'!C284</f>
        <v>0</v>
      </c>
      <c r="D91" s="722">
        <f>+'Total Depreciation Summary'!K54+'Total Depreciation Summary'!K56</f>
        <v>153151.8592998058</v>
      </c>
      <c r="E91" s="723">
        <f t="shared" si="12"/>
        <v>153151.8592998058</v>
      </c>
      <c r="F91" s="522"/>
    </row>
    <row r="92" spans="1:9">
      <c r="A92" s="542"/>
      <c r="B92" s="542"/>
      <c r="C92" s="543"/>
      <c r="D92" s="724"/>
      <c r="E92" s="725"/>
      <c r="F92" s="522"/>
    </row>
    <row r="93" spans="1:9">
      <c r="A93" s="542"/>
      <c r="B93" s="542"/>
      <c r="C93" s="535">
        <f>SUM(C86:C92)</f>
        <v>3620199.4399999995</v>
      </c>
      <c r="D93" s="535">
        <f>SUM(D86:D92)</f>
        <v>3564421.4048704407</v>
      </c>
      <c r="E93" s="537">
        <f t="shared" si="12"/>
        <v>-55778.035129558761</v>
      </c>
      <c r="F93" s="545" t="s">
        <v>72</v>
      </c>
    </row>
    <row r="94" spans="1:9">
      <c r="A94" s="542"/>
      <c r="B94" s="542"/>
      <c r="C94" s="542"/>
      <c r="D94" s="537">
        <f>D93-'Total Depreciation Summary'!K60</f>
        <v>0</v>
      </c>
    </row>
    <row r="95" spans="1:9">
      <c r="A95" s="488" t="s">
        <v>1746</v>
      </c>
      <c r="B95" s="489"/>
      <c r="C95" s="489"/>
      <c r="D95" s="489"/>
      <c r="E95" s="489"/>
      <c r="F95" s="489"/>
      <c r="G95" s="489"/>
      <c r="H95" s="489"/>
      <c r="I95" s="489"/>
    </row>
    <row r="96" spans="1:9">
      <c r="A96" s="542"/>
      <c r="B96" s="542"/>
      <c r="C96" s="542"/>
    </row>
    <row r="97" spans="1:5">
      <c r="A97" s="549" t="s">
        <v>453</v>
      </c>
      <c r="B97" s="550"/>
      <c r="C97" s="551"/>
    </row>
    <row r="98" spans="1:5">
      <c r="A98" s="552" t="s">
        <v>454</v>
      </c>
      <c r="B98" s="550"/>
      <c r="C98" s="551"/>
      <c r="D98" s="539"/>
      <c r="E98" s="553"/>
    </row>
    <row r="99" spans="1:5">
      <c r="A99" s="554" t="s">
        <v>455</v>
      </c>
      <c r="B99" s="555">
        <f>'9.30.16 BS'!J37</f>
        <v>4806864.92</v>
      </c>
      <c r="C99" s="556"/>
    </row>
    <row r="100" spans="1:5">
      <c r="A100" s="557" t="s">
        <v>456</v>
      </c>
      <c r="B100" s="558">
        <f>'9.30.17 BS'!J35</f>
        <v>5023237.24</v>
      </c>
      <c r="C100" s="559"/>
    </row>
    <row r="101" spans="1:5">
      <c r="A101" s="549"/>
      <c r="B101" s="560">
        <f>B100-B99</f>
        <v>216372.3200000003</v>
      </c>
      <c r="C101" s="559"/>
    </row>
    <row r="102" spans="1:5">
      <c r="A102" s="549" t="s">
        <v>457</v>
      </c>
      <c r="B102" s="561"/>
      <c r="C102" s="559"/>
    </row>
    <row r="103" spans="1:5">
      <c r="A103" s="554" t="s">
        <v>455</v>
      </c>
      <c r="B103" s="562">
        <f>-'9.30.16 BS'!J38</f>
        <v>1779444.77</v>
      </c>
      <c r="C103" s="559"/>
    </row>
    <row r="104" spans="1:5">
      <c r="A104" s="557" t="s">
        <v>456</v>
      </c>
      <c r="B104" s="563">
        <f>-'9.30.17 BS'!J36</f>
        <v>1905829.67</v>
      </c>
      <c r="C104" s="559"/>
    </row>
    <row r="105" spans="1:5">
      <c r="A105" s="557"/>
      <c r="B105" s="564">
        <f>B104-B103</f>
        <v>126384.89999999991</v>
      </c>
      <c r="C105" s="559"/>
    </row>
    <row r="106" spans="1:5">
      <c r="A106" s="557"/>
      <c r="B106" s="561"/>
      <c r="C106" s="559"/>
    </row>
    <row r="107" spans="1:5">
      <c r="A107" s="549" t="s">
        <v>458</v>
      </c>
      <c r="B107" s="560">
        <f>B101-B105</f>
        <v>89987.420000000391</v>
      </c>
      <c r="C107" s="559"/>
    </row>
    <row r="108" spans="1:5">
      <c r="A108" s="557"/>
      <c r="B108" s="561"/>
      <c r="C108" s="559"/>
    </row>
    <row r="109" spans="1:5">
      <c r="A109" s="557" t="s">
        <v>459</v>
      </c>
      <c r="B109" s="561">
        <f>'Vancouver Consolidated IS'!C251</f>
        <v>85137.7</v>
      </c>
      <c r="C109" s="565"/>
    </row>
    <row r="110" spans="1:5">
      <c r="A110" s="557"/>
      <c r="B110" s="561"/>
      <c r="C110" s="559"/>
    </row>
    <row r="111" spans="1:5">
      <c r="A111" s="566" t="s">
        <v>451</v>
      </c>
      <c r="B111" s="564">
        <f>B107-B109</f>
        <v>4849.7200000003941</v>
      </c>
      <c r="C111" s="545" t="s">
        <v>94</v>
      </c>
    </row>
  </sheetData>
  <mergeCells count="3">
    <mergeCell ref="N5:X5"/>
    <mergeCell ref="H8:I8"/>
    <mergeCell ref="E29:F29"/>
  </mergeCells>
  <pageMargins left="0.7" right="0.7" top="0.75" bottom="0.75" header="0.3" footer="0.3"/>
  <pageSetup scale="46" orientation="portrait" r:id="rId1"/>
  <headerFooter>
    <oddFooter xml:space="preserve">&amp;L&amp;F - &amp;A
&amp;RPage &amp;P of &amp;N
</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7"/>
  <sheetViews>
    <sheetView showGridLines="0" view="pageBreakPreview" zoomScale="85" zoomScaleNormal="100" zoomScaleSheetLayoutView="85" workbookViewId="0">
      <selection activeCell="AI26" sqref="AI26"/>
    </sheetView>
  </sheetViews>
  <sheetFormatPr defaultRowHeight="12"/>
  <cols>
    <col min="1" max="1" width="25.28515625" style="198" customWidth="1"/>
    <col min="2" max="2" width="13" style="198" customWidth="1"/>
    <col min="3" max="3" width="14.7109375" style="198" customWidth="1"/>
    <col min="4" max="4" width="11.7109375" style="198" customWidth="1"/>
    <col min="5" max="5" width="7.42578125" style="198" customWidth="1"/>
    <col min="6" max="6" width="16.140625" style="198" customWidth="1"/>
    <col min="7" max="256" width="9.140625" style="198"/>
    <col min="257" max="257" width="19.140625" style="198" customWidth="1"/>
    <col min="258" max="258" width="13" style="198" customWidth="1"/>
    <col min="259" max="259" width="9.140625" style="198"/>
    <col min="260" max="260" width="11.7109375" style="198" customWidth="1"/>
    <col min="261" max="512" width="9.140625" style="198"/>
    <col min="513" max="513" width="19.140625" style="198" customWidth="1"/>
    <col min="514" max="514" width="13" style="198" customWidth="1"/>
    <col min="515" max="515" width="9.140625" style="198"/>
    <col min="516" max="516" width="11.7109375" style="198" customWidth="1"/>
    <col min="517" max="768" width="9.140625" style="198"/>
    <col min="769" max="769" width="19.140625" style="198" customWidth="1"/>
    <col min="770" max="770" width="13" style="198" customWidth="1"/>
    <col min="771" max="771" width="9.140625" style="198"/>
    <col min="772" max="772" width="11.7109375" style="198" customWidth="1"/>
    <col min="773" max="1024" width="9.140625" style="198"/>
    <col min="1025" max="1025" width="19.140625" style="198" customWidth="1"/>
    <col min="1026" max="1026" width="13" style="198" customWidth="1"/>
    <col min="1027" max="1027" width="9.140625" style="198"/>
    <col min="1028" max="1028" width="11.7109375" style="198" customWidth="1"/>
    <col min="1029" max="1280" width="9.140625" style="198"/>
    <col min="1281" max="1281" width="19.140625" style="198" customWidth="1"/>
    <col min="1282" max="1282" width="13" style="198" customWidth="1"/>
    <col min="1283" max="1283" width="9.140625" style="198"/>
    <col min="1284" max="1284" width="11.7109375" style="198" customWidth="1"/>
    <col min="1285" max="1536" width="9.140625" style="198"/>
    <col min="1537" max="1537" width="19.140625" style="198" customWidth="1"/>
    <col min="1538" max="1538" width="13" style="198" customWidth="1"/>
    <col min="1539" max="1539" width="9.140625" style="198"/>
    <col min="1540" max="1540" width="11.7109375" style="198" customWidth="1"/>
    <col min="1541" max="1792" width="9.140625" style="198"/>
    <col min="1793" max="1793" width="19.140625" style="198" customWidth="1"/>
    <col min="1794" max="1794" width="13" style="198" customWidth="1"/>
    <col min="1795" max="1795" width="9.140625" style="198"/>
    <col min="1796" max="1796" width="11.7109375" style="198" customWidth="1"/>
    <col min="1797" max="2048" width="9.140625" style="198"/>
    <col min="2049" max="2049" width="19.140625" style="198" customWidth="1"/>
    <col min="2050" max="2050" width="13" style="198" customWidth="1"/>
    <col min="2051" max="2051" width="9.140625" style="198"/>
    <col min="2052" max="2052" width="11.7109375" style="198" customWidth="1"/>
    <col min="2053" max="2304" width="9.140625" style="198"/>
    <col min="2305" max="2305" width="19.140625" style="198" customWidth="1"/>
    <col min="2306" max="2306" width="13" style="198" customWidth="1"/>
    <col min="2307" max="2307" width="9.140625" style="198"/>
    <col min="2308" max="2308" width="11.7109375" style="198" customWidth="1"/>
    <col min="2309" max="2560" width="9.140625" style="198"/>
    <col min="2561" max="2561" width="19.140625" style="198" customWidth="1"/>
    <col min="2562" max="2562" width="13" style="198" customWidth="1"/>
    <col min="2563" max="2563" width="9.140625" style="198"/>
    <col min="2564" max="2564" width="11.7109375" style="198" customWidth="1"/>
    <col min="2565" max="2816" width="9.140625" style="198"/>
    <col min="2817" max="2817" width="19.140625" style="198" customWidth="1"/>
    <col min="2818" max="2818" width="13" style="198" customWidth="1"/>
    <col min="2819" max="2819" width="9.140625" style="198"/>
    <col min="2820" max="2820" width="11.7109375" style="198" customWidth="1"/>
    <col min="2821" max="3072" width="9.140625" style="198"/>
    <col min="3073" max="3073" width="19.140625" style="198" customWidth="1"/>
    <col min="3074" max="3074" width="13" style="198" customWidth="1"/>
    <col min="3075" max="3075" width="9.140625" style="198"/>
    <col min="3076" max="3076" width="11.7109375" style="198" customWidth="1"/>
    <col min="3077" max="3328" width="9.140625" style="198"/>
    <col min="3329" max="3329" width="19.140625" style="198" customWidth="1"/>
    <col min="3330" max="3330" width="13" style="198" customWidth="1"/>
    <col min="3331" max="3331" width="9.140625" style="198"/>
    <col min="3332" max="3332" width="11.7109375" style="198" customWidth="1"/>
    <col min="3333" max="3584" width="9.140625" style="198"/>
    <col min="3585" max="3585" width="19.140625" style="198" customWidth="1"/>
    <col min="3586" max="3586" width="13" style="198" customWidth="1"/>
    <col min="3587" max="3587" width="9.140625" style="198"/>
    <col min="3588" max="3588" width="11.7109375" style="198" customWidth="1"/>
    <col min="3589" max="3840" width="9.140625" style="198"/>
    <col min="3841" max="3841" width="19.140625" style="198" customWidth="1"/>
    <col min="3842" max="3842" width="13" style="198" customWidth="1"/>
    <col min="3843" max="3843" width="9.140625" style="198"/>
    <col min="3844" max="3844" width="11.7109375" style="198" customWidth="1"/>
    <col min="3845" max="4096" width="9.140625" style="198"/>
    <col min="4097" max="4097" width="19.140625" style="198" customWidth="1"/>
    <col min="4098" max="4098" width="13" style="198" customWidth="1"/>
    <col min="4099" max="4099" width="9.140625" style="198"/>
    <col min="4100" max="4100" width="11.7109375" style="198" customWidth="1"/>
    <col min="4101" max="4352" width="9.140625" style="198"/>
    <col min="4353" max="4353" width="19.140625" style="198" customWidth="1"/>
    <col min="4354" max="4354" width="13" style="198" customWidth="1"/>
    <col min="4355" max="4355" width="9.140625" style="198"/>
    <col min="4356" max="4356" width="11.7109375" style="198" customWidth="1"/>
    <col min="4357" max="4608" width="9.140625" style="198"/>
    <col min="4609" max="4609" width="19.140625" style="198" customWidth="1"/>
    <col min="4610" max="4610" width="13" style="198" customWidth="1"/>
    <col min="4611" max="4611" width="9.140625" style="198"/>
    <col min="4612" max="4612" width="11.7109375" style="198" customWidth="1"/>
    <col min="4613" max="4864" width="9.140625" style="198"/>
    <col min="4865" max="4865" width="19.140625" style="198" customWidth="1"/>
    <col min="4866" max="4866" width="13" style="198" customWidth="1"/>
    <col min="4867" max="4867" width="9.140625" style="198"/>
    <col min="4868" max="4868" width="11.7109375" style="198" customWidth="1"/>
    <col min="4869" max="5120" width="9.140625" style="198"/>
    <col min="5121" max="5121" width="19.140625" style="198" customWidth="1"/>
    <col min="5122" max="5122" width="13" style="198" customWidth="1"/>
    <col min="5123" max="5123" width="9.140625" style="198"/>
    <col min="5124" max="5124" width="11.7109375" style="198" customWidth="1"/>
    <col min="5125" max="5376" width="9.140625" style="198"/>
    <col min="5377" max="5377" width="19.140625" style="198" customWidth="1"/>
    <col min="5378" max="5378" width="13" style="198" customWidth="1"/>
    <col min="5379" max="5379" width="9.140625" style="198"/>
    <col min="5380" max="5380" width="11.7109375" style="198" customWidth="1"/>
    <col min="5381" max="5632" width="9.140625" style="198"/>
    <col min="5633" max="5633" width="19.140625" style="198" customWidth="1"/>
    <col min="5634" max="5634" width="13" style="198" customWidth="1"/>
    <col min="5635" max="5635" width="9.140625" style="198"/>
    <col min="5636" max="5636" width="11.7109375" style="198" customWidth="1"/>
    <col min="5637" max="5888" width="9.140625" style="198"/>
    <col min="5889" max="5889" width="19.140625" style="198" customWidth="1"/>
    <col min="5890" max="5890" width="13" style="198" customWidth="1"/>
    <col min="5891" max="5891" width="9.140625" style="198"/>
    <col min="5892" max="5892" width="11.7109375" style="198" customWidth="1"/>
    <col min="5893" max="6144" width="9.140625" style="198"/>
    <col min="6145" max="6145" width="19.140625" style="198" customWidth="1"/>
    <col min="6146" max="6146" width="13" style="198" customWidth="1"/>
    <col min="6147" max="6147" width="9.140625" style="198"/>
    <col min="6148" max="6148" width="11.7109375" style="198" customWidth="1"/>
    <col min="6149" max="6400" width="9.140625" style="198"/>
    <col min="6401" max="6401" width="19.140625" style="198" customWidth="1"/>
    <col min="6402" max="6402" width="13" style="198" customWidth="1"/>
    <col min="6403" max="6403" width="9.140625" style="198"/>
    <col min="6404" max="6404" width="11.7109375" style="198" customWidth="1"/>
    <col min="6405" max="6656" width="9.140625" style="198"/>
    <col min="6657" max="6657" width="19.140625" style="198" customWidth="1"/>
    <col min="6658" max="6658" width="13" style="198" customWidth="1"/>
    <col min="6659" max="6659" width="9.140625" style="198"/>
    <col min="6660" max="6660" width="11.7109375" style="198" customWidth="1"/>
    <col min="6661" max="6912" width="9.140625" style="198"/>
    <col min="6913" max="6913" width="19.140625" style="198" customWidth="1"/>
    <col min="6914" max="6914" width="13" style="198" customWidth="1"/>
    <col min="6915" max="6915" width="9.140625" style="198"/>
    <col min="6916" max="6916" width="11.7109375" style="198" customWidth="1"/>
    <col min="6917" max="7168" width="9.140625" style="198"/>
    <col min="7169" max="7169" width="19.140625" style="198" customWidth="1"/>
    <col min="7170" max="7170" width="13" style="198" customWidth="1"/>
    <col min="7171" max="7171" width="9.140625" style="198"/>
    <col min="7172" max="7172" width="11.7109375" style="198" customWidth="1"/>
    <col min="7173" max="7424" width="9.140625" style="198"/>
    <col min="7425" max="7425" width="19.140625" style="198" customWidth="1"/>
    <col min="7426" max="7426" width="13" style="198" customWidth="1"/>
    <col min="7427" max="7427" width="9.140625" style="198"/>
    <col min="7428" max="7428" width="11.7109375" style="198" customWidth="1"/>
    <col min="7429" max="7680" width="9.140625" style="198"/>
    <col min="7681" max="7681" width="19.140625" style="198" customWidth="1"/>
    <col min="7682" max="7682" width="13" style="198" customWidth="1"/>
    <col min="7683" max="7683" width="9.140625" style="198"/>
    <col min="7684" max="7684" width="11.7109375" style="198" customWidth="1"/>
    <col min="7685" max="7936" width="9.140625" style="198"/>
    <col min="7937" max="7937" width="19.140625" style="198" customWidth="1"/>
    <col min="7938" max="7938" width="13" style="198" customWidth="1"/>
    <col min="7939" max="7939" width="9.140625" style="198"/>
    <col min="7940" max="7940" width="11.7109375" style="198" customWidth="1"/>
    <col min="7941" max="8192" width="9.140625" style="198"/>
    <col min="8193" max="8193" width="19.140625" style="198" customWidth="1"/>
    <col min="8194" max="8194" width="13" style="198" customWidth="1"/>
    <col min="8195" max="8195" width="9.140625" style="198"/>
    <col min="8196" max="8196" width="11.7109375" style="198" customWidth="1"/>
    <col min="8197" max="8448" width="9.140625" style="198"/>
    <col min="8449" max="8449" width="19.140625" style="198" customWidth="1"/>
    <col min="8450" max="8450" width="13" style="198" customWidth="1"/>
    <col min="8451" max="8451" width="9.140625" style="198"/>
    <col min="8452" max="8452" width="11.7109375" style="198" customWidth="1"/>
    <col min="8453" max="8704" width="9.140625" style="198"/>
    <col min="8705" max="8705" width="19.140625" style="198" customWidth="1"/>
    <col min="8706" max="8706" width="13" style="198" customWidth="1"/>
    <col min="8707" max="8707" width="9.140625" style="198"/>
    <col min="8708" max="8708" width="11.7109375" style="198" customWidth="1"/>
    <col min="8709" max="8960" width="9.140625" style="198"/>
    <col min="8961" max="8961" width="19.140625" style="198" customWidth="1"/>
    <col min="8962" max="8962" width="13" style="198" customWidth="1"/>
    <col min="8963" max="8963" width="9.140625" style="198"/>
    <col min="8964" max="8964" width="11.7109375" style="198" customWidth="1"/>
    <col min="8965" max="9216" width="9.140625" style="198"/>
    <col min="9217" max="9217" width="19.140625" style="198" customWidth="1"/>
    <col min="9218" max="9218" width="13" style="198" customWidth="1"/>
    <col min="9219" max="9219" width="9.140625" style="198"/>
    <col min="9220" max="9220" width="11.7109375" style="198" customWidth="1"/>
    <col min="9221" max="9472" width="9.140625" style="198"/>
    <col min="9473" max="9473" width="19.140625" style="198" customWidth="1"/>
    <col min="9474" max="9474" width="13" style="198" customWidth="1"/>
    <col min="9475" max="9475" width="9.140625" style="198"/>
    <col min="9476" max="9476" width="11.7109375" style="198" customWidth="1"/>
    <col min="9477" max="9728" width="9.140625" style="198"/>
    <col min="9729" max="9729" width="19.140625" style="198" customWidth="1"/>
    <col min="9730" max="9730" width="13" style="198" customWidth="1"/>
    <col min="9731" max="9731" width="9.140625" style="198"/>
    <col min="9732" max="9732" width="11.7109375" style="198" customWidth="1"/>
    <col min="9733" max="9984" width="9.140625" style="198"/>
    <col min="9985" max="9985" width="19.140625" style="198" customWidth="1"/>
    <col min="9986" max="9986" width="13" style="198" customWidth="1"/>
    <col min="9987" max="9987" width="9.140625" style="198"/>
    <col min="9988" max="9988" width="11.7109375" style="198" customWidth="1"/>
    <col min="9989" max="10240" width="9.140625" style="198"/>
    <col min="10241" max="10241" width="19.140625" style="198" customWidth="1"/>
    <col min="10242" max="10242" width="13" style="198" customWidth="1"/>
    <col min="10243" max="10243" width="9.140625" style="198"/>
    <col min="10244" max="10244" width="11.7109375" style="198" customWidth="1"/>
    <col min="10245" max="10496" width="9.140625" style="198"/>
    <col min="10497" max="10497" width="19.140625" style="198" customWidth="1"/>
    <col min="10498" max="10498" width="13" style="198" customWidth="1"/>
    <col min="10499" max="10499" width="9.140625" style="198"/>
    <col min="10500" max="10500" width="11.7109375" style="198" customWidth="1"/>
    <col min="10501" max="10752" width="9.140625" style="198"/>
    <col min="10753" max="10753" width="19.140625" style="198" customWidth="1"/>
    <col min="10754" max="10754" width="13" style="198" customWidth="1"/>
    <col min="10755" max="10755" width="9.140625" style="198"/>
    <col min="10756" max="10756" width="11.7109375" style="198" customWidth="1"/>
    <col min="10757" max="11008" width="9.140625" style="198"/>
    <col min="11009" max="11009" width="19.140625" style="198" customWidth="1"/>
    <col min="11010" max="11010" width="13" style="198" customWidth="1"/>
    <col min="11011" max="11011" width="9.140625" style="198"/>
    <col min="11012" max="11012" width="11.7109375" style="198" customWidth="1"/>
    <col min="11013" max="11264" width="9.140625" style="198"/>
    <col min="11265" max="11265" width="19.140625" style="198" customWidth="1"/>
    <col min="11266" max="11266" width="13" style="198" customWidth="1"/>
    <col min="11267" max="11267" width="9.140625" style="198"/>
    <col min="11268" max="11268" width="11.7109375" style="198" customWidth="1"/>
    <col min="11269" max="11520" width="9.140625" style="198"/>
    <col min="11521" max="11521" width="19.140625" style="198" customWidth="1"/>
    <col min="11522" max="11522" width="13" style="198" customWidth="1"/>
    <col min="11523" max="11523" width="9.140625" style="198"/>
    <col min="11524" max="11524" width="11.7109375" style="198" customWidth="1"/>
    <col min="11525" max="11776" width="9.140625" style="198"/>
    <col min="11777" max="11777" width="19.140625" style="198" customWidth="1"/>
    <col min="11778" max="11778" width="13" style="198" customWidth="1"/>
    <col min="11779" max="11779" width="9.140625" style="198"/>
    <col min="11780" max="11780" width="11.7109375" style="198" customWidth="1"/>
    <col min="11781" max="12032" width="9.140625" style="198"/>
    <col min="12033" max="12033" width="19.140625" style="198" customWidth="1"/>
    <col min="12034" max="12034" width="13" style="198" customWidth="1"/>
    <col min="12035" max="12035" width="9.140625" style="198"/>
    <col min="12036" max="12036" width="11.7109375" style="198" customWidth="1"/>
    <col min="12037" max="12288" width="9.140625" style="198"/>
    <col min="12289" max="12289" width="19.140625" style="198" customWidth="1"/>
    <col min="12290" max="12290" width="13" style="198" customWidth="1"/>
    <col min="12291" max="12291" width="9.140625" style="198"/>
    <col min="12292" max="12292" width="11.7109375" style="198" customWidth="1"/>
    <col min="12293" max="12544" width="9.140625" style="198"/>
    <col min="12545" max="12545" width="19.140625" style="198" customWidth="1"/>
    <col min="12546" max="12546" width="13" style="198" customWidth="1"/>
    <col min="12547" max="12547" width="9.140625" style="198"/>
    <col min="12548" max="12548" width="11.7109375" style="198" customWidth="1"/>
    <col min="12549" max="12800" width="9.140625" style="198"/>
    <col min="12801" max="12801" width="19.140625" style="198" customWidth="1"/>
    <col min="12802" max="12802" width="13" style="198" customWidth="1"/>
    <col min="12803" max="12803" width="9.140625" style="198"/>
    <col min="12804" max="12804" width="11.7109375" style="198" customWidth="1"/>
    <col min="12805" max="13056" width="9.140625" style="198"/>
    <col min="13057" max="13057" width="19.140625" style="198" customWidth="1"/>
    <col min="13058" max="13058" width="13" style="198" customWidth="1"/>
    <col min="13059" max="13059" width="9.140625" style="198"/>
    <col min="13060" max="13060" width="11.7109375" style="198" customWidth="1"/>
    <col min="13061" max="13312" width="9.140625" style="198"/>
    <col min="13313" max="13313" width="19.140625" style="198" customWidth="1"/>
    <col min="13314" max="13314" width="13" style="198" customWidth="1"/>
    <col min="13315" max="13315" width="9.140625" style="198"/>
    <col min="13316" max="13316" width="11.7109375" style="198" customWidth="1"/>
    <col min="13317" max="13568" width="9.140625" style="198"/>
    <col min="13569" max="13569" width="19.140625" style="198" customWidth="1"/>
    <col min="13570" max="13570" width="13" style="198" customWidth="1"/>
    <col min="13571" max="13571" width="9.140625" style="198"/>
    <col min="13572" max="13572" width="11.7109375" style="198" customWidth="1"/>
    <col min="13573" max="13824" width="9.140625" style="198"/>
    <col min="13825" max="13825" width="19.140625" style="198" customWidth="1"/>
    <col min="13826" max="13826" width="13" style="198" customWidth="1"/>
    <col min="13827" max="13827" width="9.140625" style="198"/>
    <col min="13828" max="13828" width="11.7109375" style="198" customWidth="1"/>
    <col min="13829" max="14080" width="9.140625" style="198"/>
    <col min="14081" max="14081" width="19.140625" style="198" customWidth="1"/>
    <col min="14082" max="14082" width="13" style="198" customWidth="1"/>
    <col min="14083" max="14083" width="9.140625" style="198"/>
    <col min="14084" max="14084" width="11.7109375" style="198" customWidth="1"/>
    <col min="14085" max="14336" width="9.140625" style="198"/>
    <col min="14337" max="14337" width="19.140625" style="198" customWidth="1"/>
    <col min="14338" max="14338" width="13" style="198" customWidth="1"/>
    <col min="14339" max="14339" width="9.140625" style="198"/>
    <col min="14340" max="14340" width="11.7109375" style="198" customWidth="1"/>
    <col min="14341" max="14592" width="9.140625" style="198"/>
    <col min="14593" max="14593" width="19.140625" style="198" customWidth="1"/>
    <col min="14594" max="14594" width="13" style="198" customWidth="1"/>
    <col min="14595" max="14595" width="9.140625" style="198"/>
    <col min="14596" max="14596" width="11.7109375" style="198" customWidth="1"/>
    <col min="14597" max="14848" width="9.140625" style="198"/>
    <col min="14849" max="14849" width="19.140625" style="198" customWidth="1"/>
    <col min="14850" max="14850" width="13" style="198" customWidth="1"/>
    <col min="14851" max="14851" width="9.140625" style="198"/>
    <col min="14852" max="14852" width="11.7109375" style="198" customWidth="1"/>
    <col min="14853" max="15104" width="9.140625" style="198"/>
    <col min="15105" max="15105" width="19.140625" style="198" customWidth="1"/>
    <col min="15106" max="15106" width="13" style="198" customWidth="1"/>
    <col min="15107" max="15107" width="9.140625" style="198"/>
    <col min="15108" max="15108" width="11.7109375" style="198" customWidth="1"/>
    <col min="15109" max="15360" width="9.140625" style="198"/>
    <col min="15361" max="15361" width="19.140625" style="198" customWidth="1"/>
    <col min="15362" max="15362" width="13" style="198" customWidth="1"/>
    <col min="15363" max="15363" width="9.140625" style="198"/>
    <col min="15364" max="15364" width="11.7109375" style="198" customWidth="1"/>
    <col min="15365" max="15616" width="9.140625" style="198"/>
    <col min="15617" max="15617" width="19.140625" style="198" customWidth="1"/>
    <col min="15618" max="15618" width="13" style="198" customWidth="1"/>
    <col min="15619" max="15619" width="9.140625" style="198"/>
    <col min="15620" max="15620" width="11.7109375" style="198" customWidth="1"/>
    <col min="15621" max="15872" width="9.140625" style="198"/>
    <col min="15873" max="15873" width="19.140625" style="198" customWidth="1"/>
    <col min="15874" max="15874" width="13" style="198" customWidth="1"/>
    <col min="15875" max="15875" width="9.140625" style="198"/>
    <col min="15876" max="15876" width="11.7109375" style="198" customWidth="1"/>
    <col min="15877" max="16128" width="9.140625" style="198"/>
    <col min="16129" max="16129" width="19.140625" style="198" customWidth="1"/>
    <col min="16130" max="16130" width="13" style="198" customWidth="1"/>
    <col min="16131" max="16131" width="9.140625" style="198"/>
    <col min="16132" max="16132" width="11.7109375" style="198" customWidth="1"/>
    <col min="16133" max="16384" width="9.140625" style="198"/>
  </cols>
  <sheetData>
    <row r="1" spans="1:7">
      <c r="A1" s="1035" t="s">
        <v>417</v>
      </c>
    </row>
    <row r="2" spans="1:7">
      <c r="A2" s="1036" t="str">
        <f>'Restating Adj''s'!A2</f>
        <v>Waste Connections of Washington, G-253</v>
      </c>
    </row>
    <row r="3" spans="1:7">
      <c r="A3" s="1036" t="str">
        <f>'Restating Adj''s'!A3</f>
        <v>Test Period Ending September 30, 2017</v>
      </c>
    </row>
    <row r="5" spans="1:7">
      <c r="A5" s="200" t="s">
        <v>460</v>
      </c>
      <c r="B5" s="201"/>
      <c r="C5" s="201"/>
      <c r="D5" s="201"/>
      <c r="E5" s="201"/>
      <c r="F5" s="201"/>
      <c r="G5" s="201"/>
    </row>
    <row r="6" spans="1:7">
      <c r="A6" s="202" t="s">
        <v>461</v>
      </c>
      <c r="B6" s="203"/>
      <c r="C6" s="203"/>
      <c r="D6" s="203"/>
      <c r="E6" s="203"/>
      <c r="F6" s="203"/>
      <c r="G6" s="203"/>
    </row>
    <row r="7" spans="1:7">
      <c r="A7" s="204" t="s">
        <v>462</v>
      </c>
      <c r="B7" s="205"/>
      <c r="C7" s="205"/>
      <c r="D7" s="206"/>
      <c r="E7" s="206"/>
      <c r="F7" s="206"/>
      <c r="G7" s="206"/>
    </row>
    <row r="8" spans="1:7">
      <c r="A8" s="232" t="s">
        <v>1405</v>
      </c>
      <c r="B8" s="208">
        <f>'Payroll Summary'!F26</f>
        <v>37519.344236862344</v>
      </c>
      <c r="C8" s="209"/>
    </row>
    <row r="9" spans="1:7">
      <c r="A9" s="232" t="s">
        <v>1406</v>
      </c>
      <c r="B9" s="208">
        <f>'Payroll Summary'!F36</f>
        <v>8091.1166232570204</v>
      </c>
    </row>
    <row r="10" spans="1:7">
      <c r="A10" s="232" t="s">
        <v>1407</v>
      </c>
      <c r="B10" s="208">
        <f>'Payroll Summary'!F30</f>
        <v>10308.460050890835</v>
      </c>
    </row>
    <row r="11" spans="1:7">
      <c r="A11" s="232" t="s">
        <v>1408</v>
      </c>
      <c r="B11" s="208">
        <f>'Payroll Summary'!F27</f>
        <v>18134.359056201101</v>
      </c>
    </row>
    <row r="12" spans="1:7">
      <c r="A12" s="232" t="s">
        <v>1498</v>
      </c>
      <c r="B12" s="208">
        <f>'Payroll Summary'!F33</f>
        <v>5137.9312424124964</v>
      </c>
    </row>
    <row r="13" spans="1:7">
      <c r="A13" s="232" t="s">
        <v>1499</v>
      </c>
      <c r="B13" s="208">
        <f>'Payroll Summary'!F38</f>
        <v>66.614750000000001</v>
      </c>
      <c r="C13" s="209"/>
    </row>
    <row r="14" spans="1:7">
      <c r="A14" s="207" t="s">
        <v>447</v>
      </c>
      <c r="B14" s="208">
        <f>'Payroll Summary'!F44</f>
        <v>34879.785158897939</v>
      </c>
      <c r="C14" s="209"/>
    </row>
    <row r="15" spans="1:7">
      <c r="A15" s="198" t="s">
        <v>930</v>
      </c>
      <c r="B15" s="208">
        <f>'Payroll Summary'!F48</f>
        <v>6127.3596570658565</v>
      </c>
    </row>
    <row r="16" spans="1:7">
      <c r="A16" s="207" t="s">
        <v>463</v>
      </c>
      <c r="B16" s="208">
        <f>'Payroll Summary'!F47</f>
        <v>16257.677194397373</v>
      </c>
      <c r="C16" s="209"/>
    </row>
    <row r="17" spans="1:7">
      <c r="A17" s="207" t="s">
        <v>1503</v>
      </c>
      <c r="B17" s="208">
        <f>'Payroll Summary'!F45</f>
        <v>41561.586019877257</v>
      </c>
      <c r="C17" s="209"/>
    </row>
    <row r="18" spans="1:7">
      <c r="A18" s="207"/>
      <c r="B18" s="210"/>
      <c r="C18" s="209"/>
    </row>
    <row r="19" spans="1:7">
      <c r="A19" s="207" t="s">
        <v>27</v>
      </c>
      <c r="B19" s="211">
        <f>SUM(B8:B17)</f>
        <v>178084.23398986223</v>
      </c>
      <c r="C19" s="718" t="s">
        <v>461</v>
      </c>
    </row>
    <row r="21" spans="1:7">
      <c r="A21" s="207"/>
      <c r="B21" s="210"/>
      <c r="C21" s="210"/>
    </row>
    <row r="22" spans="1:7">
      <c r="A22" s="204" t="s">
        <v>464</v>
      </c>
      <c r="B22" s="205"/>
      <c r="C22" s="205"/>
      <c r="D22" s="212"/>
      <c r="E22" s="212"/>
      <c r="F22" s="212"/>
      <c r="G22" s="212"/>
    </row>
    <row r="23" spans="1:7">
      <c r="A23" s="207" t="s">
        <v>2360</v>
      </c>
      <c r="B23" s="210">
        <f>'Payroll Summary'!F40*0.075</f>
        <v>11356.904787439022</v>
      </c>
      <c r="C23" s="210"/>
    </row>
    <row r="24" spans="1:7" ht="13.5" customHeight="1">
      <c r="A24" s="207" t="s">
        <v>447</v>
      </c>
      <c r="B24" s="210">
        <f>B14*0.0765</f>
        <v>2668.3035646556923</v>
      </c>
      <c r="C24" s="210"/>
    </row>
    <row r="25" spans="1:7">
      <c r="A25" s="198" t="s">
        <v>930</v>
      </c>
      <c r="B25" s="210">
        <f>B15*0.0765</f>
        <v>468.74301376553802</v>
      </c>
      <c r="C25" s="210"/>
    </row>
    <row r="26" spans="1:7">
      <c r="A26" s="207" t="s">
        <v>463</v>
      </c>
      <c r="B26" s="210">
        <f t="shared" ref="B26:B27" si="0">B16*0.0765</f>
        <v>1243.712305371399</v>
      </c>
      <c r="C26" s="210"/>
    </row>
    <row r="27" spans="1:7">
      <c r="A27" s="207" t="s">
        <v>1503</v>
      </c>
      <c r="B27" s="210">
        <f t="shared" si="0"/>
        <v>3179.4613305206103</v>
      </c>
      <c r="C27" s="210"/>
    </row>
    <row r="28" spans="1:7">
      <c r="A28" s="207"/>
      <c r="B28" s="210"/>
      <c r="C28" s="210"/>
    </row>
    <row r="29" spans="1:7">
      <c r="A29" s="207" t="s">
        <v>27</v>
      </c>
      <c r="B29" s="211">
        <f>SUM(B23:B27)</f>
        <v>18917.125001752262</v>
      </c>
      <c r="C29" s="718" t="s">
        <v>461</v>
      </c>
    </row>
    <row r="30" spans="1:7">
      <c r="A30" s="207"/>
      <c r="B30" s="213"/>
      <c r="C30" s="209"/>
    </row>
    <row r="31" spans="1:7">
      <c r="A31" s="207"/>
      <c r="B31" s="213"/>
      <c r="C31" s="209"/>
    </row>
    <row r="32" spans="1:7" ht="12.75" thickBot="1">
      <c r="A32" s="214" t="s">
        <v>465</v>
      </c>
      <c r="B32" s="215">
        <f>B19+B29</f>
        <v>197001.35899161448</v>
      </c>
      <c r="C32" s="718" t="s">
        <v>461</v>
      </c>
    </row>
    <row r="33" spans="1:7" ht="12.75" thickTop="1">
      <c r="A33" s="216"/>
    </row>
    <row r="34" spans="1:7">
      <c r="A34" s="217" t="s">
        <v>466</v>
      </c>
      <c r="B34" s="201"/>
      <c r="C34" s="201"/>
      <c r="D34" s="201"/>
      <c r="E34" s="201"/>
      <c r="F34" s="201"/>
      <c r="G34" s="201"/>
    </row>
    <row r="35" spans="1:7">
      <c r="A35" s="218" t="s">
        <v>467</v>
      </c>
      <c r="B35" s="203"/>
      <c r="C35" s="203"/>
      <c r="D35" s="203"/>
      <c r="E35" s="203"/>
      <c r="F35" s="203"/>
      <c r="G35" s="203"/>
    </row>
    <row r="36" spans="1:7">
      <c r="A36" s="219"/>
      <c r="B36" s="220" t="s">
        <v>468</v>
      </c>
      <c r="C36" s="220" t="s">
        <v>469</v>
      </c>
      <c r="D36" s="220" t="s">
        <v>470</v>
      </c>
      <c r="E36" s="219"/>
      <c r="F36" s="219"/>
      <c r="G36" s="219"/>
    </row>
    <row r="37" spans="1:7">
      <c r="A37" s="198" t="s">
        <v>471</v>
      </c>
      <c r="B37" s="221">
        <f>Ratios!C27</f>
        <v>64740.327497774051</v>
      </c>
    </row>
    <row r="38" spans="1:7">
      <c r="A38" s="198" t="s">
        <v>472</v>
      </c>
      <c r="B38" s="221">
        <f>Ratios!C28</f>
        <v>4063.1633009423308</v>
      </c>
      <c r="D38" s="221"/>
    </row>
    <row r="39" spans="1:7">
      <c r="A39" s="198" t="s">
        <v>395</v>
      </c>
      <c r="B39" s="221">
        <f>Ratios!C30</f>
        <v>306</v>
      </c>
      <c r="C39" s="222">
        <v>0.6</v>
      </c>
      <c r="D39" s="223">
        <f>SUM(B37:B39)*C39</f>
        <v>41465.694479229824</v>
      </c>
    </row>
    <row r="40" spans="1:7" ht="12" customHeight="1">
      <c r="B40" s="221"/>
      <c r="D40" s="221"/>
    </row>
    <row r="41" spans="1:7" ht="12.75" thickBot="1">
      <c r="C41" s="224" t="s">
        <v>473</v>
      </c>
      <c r="D41" s="225">
        <f>D39/2</f>
        <v>20732.847239614912</v>
      </c>
      <c r="E41" s="718" t="s">
        <v>467</v>
      </c>
      <c r="F41" s="718"/>
    </row>
    <row r="42" spans="1:7" ht="12.75" thickTop="1">
      <c r="D42" s="226"/>
      <c r="E42" s="227"/>
    </row>
    <row r="43" spans="1:7">
      <c r="A43" s="228"/>
      <c r="B43" s="207"/>
      <c r="C43" s="207"/>
      <c r="D43" s="207"/>
      <c r="E43" s="229">
        <f>SUM(B37:B38)/SUM(B37:B39)</f>
        <v>0.99557224345797546</v>
      </c>
      <c r="F43" s="198" t="s">
        <v>474</v>
      </c>
    </row>
    <row r="44" spans="1:7">
      <c r="A44" s="230" t="s">
        <v>1970</v>
      </c>
      <c r="B44" s="230"/>
      <c r="C44" s="230"/>
      <c r="D44" s="230"/>
      <c r="E44" s="230"/>
      <c r="F44" s="231"/>
      <c r="G44" s="231"/>
    </row>
    <row r="45" spans="1:7">
      <c r="A45" s="218" t="s">
        <v>475</v>
      </c>
      <c r="B45" s="203"/>
      <c r="C45" s="203"/>
      <c r="D45" s="203"/>
      <c r="E45" s="203"/>
      <c r="F45" s="203"/>
      <c r="G45" s="203"/>
    </row>
    <row r="46" spans="1:7" ht="27.75" customHeight="1">
      <c r="A46" s="1398" t="s">
        <v>1962</v>
      </c>
      <c r="B46" s="1398"/>
      <c r="C46" s="1398"/>
      <c r="D46" s="719"/>
      <c r="E46" s="719"/>
      <c r="F46" s="719"/>
      <c r="G46" s="719"/>
    </row>
    <row r="47" spans="1:7">
      <c r="A47" s="216"/>
    </row>
    <row r="48" spans="1:7" ht="12.75" thickBot="1">
      <c r="A48" s="216" t="s">
        <v>476</v>
      </c>
      <c r="B48" s="1053">
        <f>Fuel!B34</f>
        <v>15109.166074012464</v>
      </c>
      <c r="C48" s="718" t="s">
        <v>475</v>
      </c>
    </row>
    <row r="49" spans="1:7" ht="12.75" thickTop="1">
      <c r="B49" s="221"/>
    </row>
    <row r="51" spans="1:7">
      <c r="A51" s="230" t="s">
        <v>1402</v>
      </c>
      <c r="B51" s="230"/>
      <c r="C51" s="230"/>
      <c r="D51" s="230"/>
      <c r="E51" s="230"/>
      <c r="F51" s="231"/>
      <c r="G51" s="231"/>
    </row>
    <row r="52" spans="1:7">
      <c r="A52" s="218" t="s">
        <v>477</v>
      </c>
      <c r="B52" s="203"/>
      <c r="C52" s="203"/>
      <c r="D52" s="203"/>
      <c r="E52" s="203"/>
      <c r="F52" s="203"/>
      <c r="G52" s="203"/>
    </row>
    <row r="53" spans="1:7">
      <c r="A53" s="232"/>
      <c r="B53" s="232"/>
      <c r="C53" s="232"/>
      <c r="D53" s="232"/>
    </row>
    <row r="54" spans="1:7" ht="31.5" customHeight="1">
      <c r="A54" s="1037" t="s">
        <v>1401</v>
      </c>
      <c r="B54" s="1038">
        <v>314982</v>
      </c>
      <c r="C54" s="1039" t="s">
        <v>1421</v>
      </c>
      <c r="D54" s="232"/>
    </row>
    <row r="55" spans="1:7">
      <c r="A55" s="221"/>
      <c r="B55" s="233"/>
      <c r="C55" s="221"/>
      <c r="E55" s="221"/>
    </row>
    <row r="56" spans="1:7" ht="72">
      <c r="A56" s="720" t="s">
        <v>1422</v>
      </c>
      <c r="B56" s="720"/>
      <c r="C56" s="720"/>
      <c r="D56" s="720"/>
      <c r="E56" s="720"/>
      <c r="F56" s="720"/>
      <c r="G56" s="720"/>
    </row>
    <row r="57" spans="1:7">
      <c r="A57" s="221"/>
      <c r="B57" s="233"/>
      <c r="C57" s="234"/>
      <c r="E57" s="221"/>
    </row>
    <row r="58" spans="1:7">
      <c r="A58" s="221"/>
      <c r="B58" s="233"/>
      <c r="C58" s="234"/>
      <c r="E58" s="221"/>
    </row>
    <row r="59" spans="1:7">
      <c r="A59" s="230" t="s">
        <v>1955</v>
      </c>
      <c r="B59" s="230"/>
      <c r="C59" s="230"/>
      <c r="D59" s="230"/>
      <c r="E59" s="230"/>
      <c r="F59" s="231"/>
      <c r="G59" s="231"/>
    </row>
    <row r="60" spans="1:7">
      <c r="A60" s="218" t="s">
        <v>1956</v>
      </c>
      <c r="B60" s="203"/>
      <c r="C60" s="203"/>
      <c r="D60" s="203"/>
      <c r="E60" s="203"/>
      <c r="F60" s="203"/>
      <c r="G60" s="203"/>
    </row>
    <row r="61" spans="1:7">
      <c r="A61" s="1040"/>
      <c r="B61" s="1040"/>
      <c r="C61" s="1040"/>
      <c r="D61" s="1041"/>
    </row>
    <row r="62" spans="1:7">
      <c r="A62" s="1042" t="s">
        <v>1933</v>
      </c>
      <c r="B62" s="232" t="s">
        <v>1934</v>
      </c>
      <c r="C62" s="1040"/>
      <c r="D62" s="1041"/>
    </row>
    <row r="63" spans="1:7">
      <c r="A63" s="1042" t="s">
        <v>1935</v>
      </c>
      <c r="B63" s="232" t="s">
        <v>1936</v>
      </c>
      <c r="C63" s="1040"/>
      <c r="D63" s="1041"/>
    </row>
    <row r="64" spans="1:7">
      <c r="A64" s="1042" t="s">
        <v>1937</v>
      </c>
      <c r="B64" s="232" t="s">
        <v>1936</v>
      </c>
      <c r="C64" s="1040"/>
      <c r="D64" s="1041"/>
      <c r="E64" s="235"/>
    </row>
    <row r="65" spans="1:5">
      <c r="A65" s="1042" t="s">
        <v>1938</v>
      </c>
      <c r="B65" s="232" t="s">
        <v>1939</v>
      </c>
      <c r="C65" s="1040"/>
      <c r="D65" s="1041"/>
      <c r="E65" s="235"/>
    </row>
    <row r="66" spans="1:5">
      <c r="A66" s="232"/>
      <c r="B66" s="232"/>
      <c r="C66" s="232"/>
      <c r="D66" s="232"/>
      <c r="E66" s="235"/>
    </row>
    <row r="67" spans="1:5" ht="24">
      <c r="A67" s="1042" t="s">
        <v>1434</v>
      </c>
      <c r="B67" s="1043" t="s">
        <v>1953</v>
      </c>
      <c r="C67" s="1044" t="s">
        <v>1940</v>
      </c>
      <c r="D67" s="1044" t="s">
        <v>1941</v>
      </c>
      <c r="E67" s="1034"/>
    </row>
    <row r="68" spans="1:5">
      <c r="A68" s="1045" t="s">
        <v>1942</v>
      </c>
      <c r="B68" s="232">
        <v>520</v>
      </c>
      <c r="C68" s="1046">
        <v>10250.000000000004</v>
      </c>
      <c r="D68" s="232">
        <v>71</v>
      </c>
      <c r="E68" s="235"/>
    </row>
    <row r="69" spans="1:5">
      <c r="A69" s="1045" t="s">
        <v>1943</v>
      </c>
      <c r="B69" s="232">
        <v>344</v>
      </c>
      <c r="C69" s="1046">
        <v>6724.6399999999976</v>
      </c>
      <c r="D69" s="232">
        <v>45</v>
      </c>
    </row>
    <row r="70" spans="1:5">
      <c r="A70" s="1045" t="s">
        <v>1944</v>
      </c>
      <c r="B70" s="232">
        <v>480</v>
      </c>
      <c r="C70" s="1046">
        <v>9168</v>
      </c>
      <c r="D70" s="232">
        <v>65</v>
      </c>
      <c r="E70" s="207"/>
    </row>
    <row r="71" spans="1:5">
      <c r="A71" s="1045" t="s">
        <v>1945</v>
      </c>
      <c r="B71" s="232">
        <v>240</v>
      </c>
      <c r="C71" s="1046">
        <v>4561.5999999999995</v>
      </c>
      <c r="D71" s="232">
        <v>38</v>
      </c>
    </row>
    <row r="72" spans="1:5">
      <c r="A72" s="1045" t="s">
        <v>1946</v>
      </c>
      <c r="B72" s="232">
        <v>256</v>
      </c>
      <c r="C72" s="1046">
        <v>5035.7599999999993</v>
      </c>
      <c r="D72" s="232">
        <v>34</v>
      </c>
    </row>
    <row r="73" spans="1:5">
      <c r="A73" s="1045" t="s">
        <v>1947</v>
      </c>
      <c r="B73" s="232">
        <v>296</v>
      </c>
      <c r="C73" s="1046">
        <v>6062.9599999999991</v>
      </c>
      <c r="D73" s="232">
        <v>47</v>
      </c>
    </row>
    <row r="74" spans="1:5">
      <c r="A74" s="1045" t="s">
        <v>1948</v>
      </c>
      <c r="B74" s="232">
        <v>312</v>
      </c>
      <c r="C74" s="1046">
        <v>6037.1199999999981</v>
      </c>
      <c r="D74" s="232">
        <v>41</v>
      </c>
    </row>
    <row r="75" spans="1:5">
      <c r="A75" s="1045" t="s">
        <v>1949</v>
      </c>
      <c r="B75" s="232">
        <v>368</v>
      </c>
      <c r="C75" s="1046">
        <v>7527.6799999999967</v>
      </c>
      <c r="D75" s="232">
        <v>58</v>
      </c>
    </row>
    <row r="76" spans="1:5">
      <c r="A76" s="1045" t="s">
        <v>1950</v>
      </c>
      <c r="B76" s="232">
        <v>184</v>
      </c>
      <c r="C76" s="1046">
        <v>3583.0400000000018</v>
      </c>
      <c r="D76" s="232">
        <v>31</v>
      </c>
    </row>
    <row r="77" spans="1:5">
      <c r="A77" s="1045" t="s">
        <v>1951</v>
      </c>
      <c r="B77" s="232">
        <v>310</v>
      </c>
      <c r="C77" s="1046">
        <v>6205.6199999999972</v>
      </c>
      <c r="D77" s="232">
        <v>41</v>
      </c>
    </row>
    <row r="78" spans="1:5">
      <c r="A78" s="1045" t="s">
        <v>1952</v>
      </c>
      <c r="B78" s="1048">
        <v>64</v>
      </c>
      <c r="C78" s="1049">
        <v>1325.36</v>
      </c>
      <c r="D78" s="1048">
        <v>10</v>
      </c>
    </row>
    <row r="79" spans="1:5">
      <c r="A79" s="1045" t="s">
        <v>343</v>
      </c>
      <c r="B79" s="1035">
        <v>3374</v>
      </c>
      <c r="C79" s="1047">
        <v>66481.780000000028</v>
      </c>
      <c r="D79" s="1035">
        <v>481</v>
      </c>
    </row>
    <row r="80" spans="1:5">
      <c r="A80" s="232"/>
      <c r="B80" s="1128" t="s">
        <v>2361</v>
      </c>
      <c r="C80" s="1047">
        <f>C79*SUM('Vancouver Consolidated IS'!E99:E104)/'Vancouver Consolidated IS'!E106</f>
        <v>33218.363990486403</v>
      </c>
      <c r="D80" s="232"/>
    </row>
    <row r="81" spans="1:7">
      <c r="C81" s="1365"/>
    </row>
    <row r="82" spans="1:7" ht="111.75" customHeight="1">
      <c r="A82" s="1397" t="s">
        <v>1954</v>
      </c>
      <c r="B82" s="1397"/>
      <c r="C82" s="1397"/>
      <c r="D82" s="1397"/>
      <c r="E82" s="1397"/>
      <c r="F82" s="1397"/>
      <c r="G82" s="1397"/>
    </row>
    <row r="86" spans="1:7">
      <c r="A86" s="214" t="s">
        <v>2359</v>
      </c>
      <c r="B86" s="1131">
        <f>SUM(B32,D41,B48,B54,C80)</f>
        <v>581043.73629572825</v>
      </c>
      <c r="C86" s="216"/>
    </row>
    <row r="87" spans="1:7">
      <c r="A87" s="216"/>
      <c r="B87" s="1131">
        <f>B86-'Vancouver Consolidated IS'!G324</f>
        <v>0</v>
      </c>
      <c r="C87" s="216"/>
    </row>
  </sheetData>
  <mergeCells count="2">
    <mergeCell ref="A82:G82"/>
    <mergeCell ref="A46:C46"/>
  </mergeCells>
  <pageMargins left="0.75" right="0.75" top="1" bottom="1" header="0.5" footer="0.5"/>
  <pageSetup scale="91" fitToHeight="2" orientation="portrait" r:id="rId1"/>
  <headerFooter alignWithMargins="0">
    <oddFooter xml:space="preserve">&amp;L&amp;F - &amp;A
&amp;RPage &amp;P of &amp;N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2:AR91"/>
  <sheetViews>
    <sheetView showGridLines="0" view="pageBreakPreview" zoomScaleNormal="100" zoomScaleSheetLayoutView="100" workbookViewId="0">
      <selection activeCell="AI26" sqref="AI26"/>
    </sheetView>
  </sheetViews>
  <sheetFormatPr defaultColWidth="12.5703125" defaultRowHeight="12.75"/>
  <cols>
    <col min="1" max="1" width="2.28515625" style="381" customWidth="1"/>
    <col min="2" max="2" width="4.85546875" style="381" customWidth="1"/>
    <col min="3" max="3" width="15.42578125" style="381" customWidth="1"/>
    <col min="4" max="4" width="12.7109375" style="381" bestFit="1" customWidth="1"/>
    <col min="5" max="5" width="11.5703125" style="381" customWidth="1"/>
    <col min="6" max="6" width="13.85546875" style="381" customWidth="1"/>
    <col min="7" max="7" width="5.42578125" style="381" customWidth="1"/>
    <col min="8" max="20" width="12.5703125" style="381"/>
    <col min="21" max="22" width="17.7109375" style="381" customWidth="1"/>
    <col min="23" max="23" width="12.5703125" style="381" customWidth="1"/>
    <col min="24" max="27" width="12.5703125" style="381"/>
    <col min="28" max="28" width="15.140625" style="381" customWidth="1"/>
    <col min="29" max="29" width="12.5703125" style="381"/>
    <col min="30" max="30" width="17.7109375" style="381" customWidth="1"/>
    <col min="31" max="31" width="12.5703125" style="381" customWidth="1"/>
    <col min="32" max="32" width="16.42578125" style="381" customWidth="1"/>
    <col min="33" max="35" width="12.5703125" style="381"/>
    <col min="36" max="47" width="15.140625" style="381" customWidth="1"/>
    <col min="48" max="16384" width="12.5703125" style="381"/>
  </cols>
  <sheetData>
    <row r="2" spans="2:44">
      <c r="B2" s="382" t="s">
        <v>1025</v>
      </c>
      <c r="AE2" s="383" t="s">
        <v>1026</v>
      </c>
      <c r="AF2" s="383" t="s">
        <v>1027</v>
      </c>
      <c r="AI2" s="382" t="s">
        <v>1028</v>
      </c>
    </row>
    <row r="3" spans="2:44">
      <c r="E3" s="384"/>
      <c r="N3" s="382" t="s">
        <v>1029</v>
      </c>
      <c r="U3" s="383" t="s">
        <v>1030</v>
      </c>
      <c r="V3" s="383" t="s">
        <v>1031</v>
      </c>
      <c r="W3" s="383" t="s">
        <v>1032</v>
      </c>
      <c r="X3" s="383" t="s">
        <v>1033</v>
      </c>
      <c r="Y3" s="383" t="s">
        <v>1034</v>
      </c>
      <c r="AA3" s="383" t="s">
        <v>1035</v>
      </c>
      <c r="AB3" s="382" t="s">
        <v>1036</v>
      </c>
      <c r="AC3" s="383" t="s">
        <v>1037</v>
      </c>
      <c r="AD3" s="383" t="s">
        <v>1038</v>
      </c>
      <c r="AE3" s="383" t="s">
        <v>1039</v>
      </c>
      <c r="AI3" s="382" t="s">
        <v>1040</v>
      </c>
    </row>
    <row r="4" spans="2:44">
      <c r="B4" s="382" t="s">
        <v>1041</v>
      </c>
      <c r="C4" s="382" t="s">
        <v>1042</v>
      </c>
      <c r="E4" s="384">
        <f>E6+E5</f>
        <v>21443783.940102156</v>
      </c>
      <c r="F4" s="382" t="s">
        <v>1043</v>
      </c>
      <c r="L4" s="385"/>
      <c r="N4" s="382" t="s">
        <v>1044</v>
      </c>
      <c r="Q4" s="382" t="s">
        <v>1045</v>
      </c>
      <c r="U4" s="386">
        <f>$E$7*1.25</f>
        <v>24775925.125499047</v>
      </c>
      <c r="V4" s="387">
        <f>100*(+U4/$E$8)</f>
        <v>407.08989542451707</v>
      </c>
      <c r="W4" s="388">
        <f>EXP(5.7226-(0.68367*LN(+V4)))</f>
        <v>5.0248906963973425</v>
      </c>
      <c r="X4" s="388">
        <f>(+W4*V4)/100</f>
        <v>20.455822281160227</v>
      </c>
      <c r="Y4" s="387">
        <f>100*((((X4/100)-((X4/100)-0.03574)*$E$20)-0.03574-0.00619)/0.344)</f>
        <v>30.590124144086488</v>
      </c>
      <c r="Z4" s="389">
        <f>+$E$19</f>
        <v>0.25</v>
      </c>
      <c r="AA4" s="387">
        <f>Y4+Z4</f>
        <v>30.840124144086488</v>
      </c>
      <c r="AB4" s="387">
        <f>100*($E$16*$E$18+($E$17*(AA4/100))/(1-$E$20))</f>
        <v>29.054674365180489</v>
      </c>
      <c r="AC4" s="388">
        <f>AB4/V4</f>
        <v>7.1371642214017636E-2</v>
      </c>
      <c r="AD4" s="386">
        <f>$E$7/(1-AC4)</f>
        <v>21344103.843280707</v>
      </c>
      <c r="AE4" s="389" t="str">
        <f>IF(AD4=$U$4,"yes","not yet")</f>
        <v>not yet</v>
      </c>
      <c r="AF4" s="387">
        <f>100*(1-AC4)</f>
        <v>92.862835778598239</v>
      </c>
      <c r="AI4" s="389">
        <v>0</v>
      </c>
      <c r="AJ4" s="389">
        <v>1</v>
      </c>
    </row>
    <row r="5" spans="2:44">
      <c r="B5" s="382" t="s">
        <v>1041</v>
      </c>
      <c r="C5" s="382" t="s">
        <v>1046</v>
      </c>
      <c r="E5" s="384">
        <f>(+E7-((H14/100)*E6))/H24</f>
        <v>656407.64010215004</v>
      </c>
      <c r="F5" s="390" t="s">
        <v>1043</v>
      </c>
      <c r="J5" s="398">
        <f>+E5/E6</f>
        <v>3.1577224110872999E-2</v>
      </c>
      <c r="K5" s="381" t="s">
        <v>884</v>
      </c>
      <c r="L5" s="385"/>
      <c r="N5" s="382" t="s">
        <v>1047</v>
      </c>
      <c r="Q5" s="382" t="s">
        <v>1048</v>
      </c>
      <c r="U5" s="386">
        <f>$E$7*1.25</f>
        <v>24775925.125499047</v>
      </c>
      <c r="V5" s="387">
        <f>100*(+U5/$E$8)</f>
        <v>407.08989542451707</v>
      </c>
      <c r="W5" s="388">
        <f>EXP(5.70827-(0.68367*LN(+V5)))</f>
        <v>4.9533974849945084</v>
      </c>
      <c r="X5" s="388">
        <f>(+W5*V5)/100</f>
        <v>20.164780641624802</v>
      </c>
      <c r="Y5" s="387">
        <f>100*((((X5/100)-((X5/100)-0.03574)*$E$20)-0.03574-0.00619)/0.344)</f>
        <v>30.031730300791775</v>
      </c>
      <c r="Z5" s="389">
        <f>+$E$19</f>
        <v>0.25</v>
      </c>
      <c r="AA5" s="387">
        <f>Y5+Z5</f>
        <v>30.281730300791775</v>
      </c>
      <c r="AB5" s="387">
        <f>100*($E$16*$E$18+($E$17*(AA5/100))/(1-$E$20))</f>
        <v>28.547043598548928</v>
      </c>
      <c r="AC5" s="388">
        <f>AB5/V5</f>
        <v>7.0124667596526344E-2</v>
      </c>
      <c r="AD5" s="386">
        <f>$E$7/(1-AC5)</f>
        <v>21315481.129247766</v>
      </c>
      <c r="AE5" s="389" t="str">
        <f>IF(AD5=$U$5,"yes","not yet")</f>
        <v>not yet</v>
      </c>
      <c r="AF5" s="387">
        <f>100*(1-AC5)</f>
        <v>92.987533240347361</v>
      </c>
      <c r="AI5" s="389">
        <v>50</v>
      </c>
      <c r="AJ5" s="389">
        <v>2</v>
      </c>
    </row>
    <row r="6" spans="2:44">
      <c r="B6" s="391" t="s">
        <v>383</v>
      </c>
      <c r="C6" s="382" t="s">
        <v>95</v>
      </c>
      <c r="D6" s="391"/>
      <c r="E6" s="392">
        <f>+'Vancouver Consolidated IS'!J22</f>
        <v>20787376.300000004</v>
      </c>
      <c r="F6" s="382" t="s">
        <v>1049</v>
      </c>
      <c r="J6" s="382"/>
      <c r="L6" s="385"/>
      <c r="N6" s="382" t="s">
        <v>1050</v>
      </c>
      <c r="Q6" s="382" t="s">
        <v>1051</v>
      </c>
      <c r="U6" s="386">
        <f>$E$7*1.25</f>
        <v>24775925.125499047</v>
      </c>
      <c r="V6" s="387">
        <f>100*(+U6/$E$8)</f>
        <v>407.08989542451707</v>
      </c>
      <c r="W6" s="388">
        <f>EXP(5.6985-(0.68367*LN(V6)))</f>
        <v>4.9052384316180246</v>
      </c>
      <c r="X6" s="388">
        <f>(+W6*V6)/100</f>
        <v>19.968730001597038</v>
      </c>
      <c r="Y6" s="387">
        <f>100*((((X6/100)-((X6/100)-0.03574)*$E$20)-0.03574-0.00619)/0.344)</f>
        <v>29.655586630971065</v>
      </c>
      <c r="Z6" s="389">
        <f>+$E$19</f>
        <v>0.25</v>
      </c>
      <c r="AA6" s="387">
        <f>Y6+Z6</f>
        <v>29.905586630971065</v>
      </c>
      <c r="AB6" s="387">
        <f>100*($E$16*$E$18+($E$17*(AA6/100))/(1-$E$20))</f>
        <v>28.205094807802826</v>
      </c>
      <c r="AC6" s="388">
        <f>AB6/V6</f>
        <v>6.9284684107401628E-2</v>
      </c>
      <c r="AD6" s="386">
        <f>$E$7/(1-AC6)</f>
        <v>21296243.611710895</v>
      </c>
      <c r="AE6" s="389" t="str">
        <f>IF(AD6=$U$6,"yes","not yet")</f>
        <v>not yet</v>
      </c>
      <c r="AF6" s="387">
        <f>100*(1-AC6)</f>
        <v>93.071531589259834</v>
      </c>
      <c r="AI6" s="389">
        <v>125</v>
      </c>
      <c r="AJ6" s="389">
        <v>3</v>
      </c>
    </row>
    <row r="7" spans="2:44">
      <c r="B7" s="391" t="s">
        <v>383</v>
      </c>
      <c r="C7" s="382" t="s">
        <v>1052</v>
      </c>
      <c r="D7" s="391"/>
      <c r="E7" s="392">
        <f>+'Vancouver Consolidated IS'!J324</f>
        <v>19820740.100399237</v>
      </c>
      <c r="F7" s="382" t="s">
        <v>1049</v>
      </c>
      <c r="J7" s="382"/>
      <c r="L7" s="385"/>
      <c r="N7" s="382" t="s">
        <v>1053</v>
      </c>
      <c r="Q7" s="382" t="s">
        <v>1054</v>
      </c>
      <c r="U7" s="386">
        <f>$E$7*1.25</f>
        <v>24775925.125499047</v>
      </c>
      <c r="V7" s="387">
        <f>100*(+U7/$E$8)</f>
        <v>407.08989542451707</v>
      </c>
      <c r="W7" s="388">
        <f>EXP(5.6922-(0.68367*LN(V7)))</f>
        <v>4.874432569853707</v>
      </c>
      <c r="X7" s="388">
        <f>(+W7*V7)/100</f>
        <v>19.843322451156055</v>
      </c>
      <c r="Y7" s="387">
        <f>100*((((X7/100)-((X7/100)-0.03574)*$E$20)-0.03574-0.00619)/0.344)</f>
        <v>29.414979121404063</v>
      </c>
      <c r="Z7" s="389">
        <f>+$E$19</f>
        <v>0.25</v>
      </c>
      <c r="AA7" s="387">
        <f>Y7+Z7</f>
        <v>29.664979121404063</v>
      </c>
      <c r="AB7" s="387">
        <f>100*($E$16*$E$18+($E$17*(AA7/100))/(1-$E$20))</f>
        <v>27.986360708196461</v>
      </c>
      <c r="AC7" s="388">
        <f>AB7/V7</f>
        <v>6.8747372565000728E-2</v>
      </c>
      <c r="AD7" s="386">
        <f>$E$7/(1-AC7)</f>
        <v>21283956.164497063</v>
      </c>
      <c r="AE7" s="389" t="str">
        <f>IF(AD7=$U$7,"yes","not yet")</f>
        <v>not yet</v>
      </c>
      <c r="AF7" s="387">
        <f>100*(1-AC7)</f>
        <v>93.125262743499931</v>
      </c>
      <c r="AI7" s="389">
        <v>401</v>
      </c>
      <c r="AJ7" s="389">
        <v>4</v>
      </c>
    </row>
    <row r="8" spans="2:44">
      <c r="B8" s="391" t="s">
        <v>383</v>
      </c>
      <c r="C8" s="382" t="s">
        <v>1055</v>
      </c>
      <c r="D8" s="391"/>
      <c r="E8" s="392">
        <f>+'Vancouver Consolidated IS'!J330</f>
        <v>6086106.6324582901</v>
      </c>
      <c r="F8" s="382" t="s">
        <v>1049</v>
      </c>
      <c r="J8" s="382"/>
      <c r="L8" s="385"/>
      <c r="AA8" s="387"/>
    </row>
    <row r="9" spans="2:44">
      <c r="C9" s="382" t="s">
        <v>1056</v>
      </c>
      <c r="E9" s="387">
        <f>V4</f>
        <v>407.08989542451707</v>
      </c>
      <c r="F9" s="382" t="s">
        <v>1057</v>
      </c>
      <c r="H9" s="387"/>
      <c r="V9" s="383" t="s">
        <v>1058</v>
      </c>
      <c r="W9" s="383" t="s">
        <v>1032</v>
      </c>
      <c r="X9" s="383" t="s">
        <v>1033</v>
      </c>
      <c r="Y9" s="383" t="s">
        <v>1034</v>
      </c>
      <c r="AA9" s="387"/>
      <c r="AI9" s="382" t="s">
        <v>1059</v>
      </c>
    </row>
    <row r="10" spans="2:44">
      <c r="C10" s="382" t="s">
        <v>1060</v>
      </c>
      <c r="E10" s="387">
        <f>HLOOKUP($AJ$33,$AJ$27:$AR$31,$E$11+1)</f>
        <v>352.1055461912639</v>
      </c>
      <c r="F10" s="382" t="s">
        <v>1057</v>
      </c>
      <c r="V10" s="387">
        <f>100*(+AD4/$E$8)</f>
        <v>350.70210123248256</v>
      </c>
      <c r="W10" s="393">
        <f>EXP(5.7226-(0.68367*LN(+V10)))</f>
        <v>5.5641084740749447</v>
      </c>
      <c r="X10" s="388">
        <f>(+W10*V10)/100</f>
        <v>19.513445333435456</v>
      </c>
      <c r="Y10" s="387">
        <f>100*((((X10/100)-((X10/100)-0.03574)*$E$20)-0.03574-0.00619)/0.344)</f>
        <v>28.782075349033143</v>
      </c>
      <c r="Z10" s="389">
        <f>+$E$19</f>
        <v>0.25</v>
      </c>
      <c r="AA10" s="387">
        <f>Y10+Z10</f>
        <v>29.032075349033143</v>
      </c>
      <c r="AB10" s="387">
        <f>100*($E$16*$E$18+($E$17*(AA10/100))/(1-$E$20))</f>
        <v>27.410993642404712</v>
      </c>
      <c r="AC10" s="388">
        <f>AB10/V10</f>
        <v>7.8160334785772487E-2</v>
      </c>
      <c r="AD10" s="386">
        <f>$E$7/(1-AC10)</f>
        <v>21501287.966159571</v>
      </c>
      <c r="AE10" s="389" t="str">
        <f>IF(OR(OR(AD10=AD4,AD10=(AD4+1)),AD10=(AD8188-1)),"yes","not yet")</f>
        <v>not yet</v>
      </c>
      <c r="AF10" s="387">
        <f>100*(1-AC10)</f>
        <v>92.183966521422761</v>
      </c>
    </row>
    <row r="11" spans="2:44">
      <c r="C11" s="382" t="s">
        <v>1061</v>
      </c>
      <c r="E11" s="389">
        <f>VLOOKUP(E9,AI4:AJ7,2)</f>
        <v>4</v>
      </c>
      <c r="F11" s="382" t="s">
        <v>1057</v>
      </c>
      <c r="V11" s="387">
        <f>100*(+AD5/$E$8)</f>
        <v>350.2318052655948</v>
      </c>
      <c r="W11" s="393">
        <f>EXP(5.70827-(0.68367*LN(+V11)))</f>
        <v>5.4899777077365055</v>
      </c>
      <c r="X11" s="388">
        <f>(+W11*V11)/100</f>
        <v>19.227648034484282</v>
      </c>
      <c r="Y11" s="387">
        <f>100*((((X11/100)-((X11/100)-0.03574)*$E$20)-0.03574-0.00619)/0.344)</f>
        <v>28.233743321975659</v>
      </c>
      <c r="Z11" s="389">
        <f>+$E$19</f>
        <v>0.25</v>
      </c>
      <c r="AA11" s="387">
        <f>Y11+Z11</f>
        <v>28.483743321975659</v>
      </c>
      <c r="AB11" s="387">
        <f>100*($E$16*$E$18+($E$17*(AA11/100))/(1-$E$20))</f>
        <v>26.912509981443367</v>
      </c>
      <c r="AC11" s="388">
        <f>AB11/V11</f>
        <v>7.6841993150891977E-2</v>
      </c>
      <c r="AD11" s="386">
        <f>$E$7/(1-AC11)</f>
        <v>21470582.449965119</v>
      </c>
      <c r="AE11" s="389" t="str">
        <f>IF(OR(OR(AD11=AD5,AD11=(AD5+1)),AD11=(AD5-1)),"yes","not yet")</f>
        <v>not yet</v>
      </c>
      <c r="AF11" s="387">
        <f>100*(1-AC11)</f>
        <v>92.315800684910798</v>
      </c>
    </row>
    <row r="12" spans="2:44">
      <c r="V12" s="387">
        <f>100*(+AD6/$E$8)</f>
        <v>349.91571620080128</v>
      </c>
      <c r="W12" s="393">
        <f>EXP(5.6985-(0.68367*LN(V12)))</f>
        <v>5.4399588432358161</v>
      </c>
      <c r="X12" s="388">
        <f>(+W12*V12)/100</f>
        <v>19.03527094733743</v>
      </c>
      <c r="Y12" s="387">
        <f>100*((((X12/100)-((X12/100)-0.03574)*$E$20)-0.03574-0.00619)/0.344)</f>
        <v>27.864647747798561</v>
      </c>
      <c r="Z12" s="389">
        <f>+$E$19</f>
        <v>0.25</v>
      </c>
      <c r="AA12" s="387">
        <f>Y12+Z12</f>
        <v>28.114647747798561</v>
      </c>
      <c r="AB12" s="387">
        <f>100*($E$16*$E$18+($E$17*(AA12/100))/(1-$E$20))</f>
        <v>26.57696855037328</v>
      </c>
      <c r="AC12" s="388">
        <f>AB12/V12</f>
        <v>7.5952486041301226E-2</v>
      </c>
      <c r="AD12" s="386">
        <f>$E$7/(1-AC12)</f>
        <v>21449914.426462214</v>
      </c>
      <c r="AE12" s="389" t="str">
        <f>IF(OR(OR(AD12=AD6,AD12=(AD6+1)),AD12=(AD6-1)),"yes","not yet")</f>
        <v>not yet</v>
      </c>
      <c r="AF12" s="387">
        <f>100*(1-AC12)</f>
        <v>92.40475139586988</v>
      </c>
      <c r="AJ12" s="389">
        <v>1</v>
      </c>
      <c r="AK12" s="389">
        <v>2</v>
      </c>
      <c r="AL12" s="389">
        <v>3</v>
      </c>
      <c r="AM12" s="389">
        <v>4</v>
      </c>
      <c r="AN12" s="389">
        <v>5</v>
      </c>
      <c r="AO12" s="389">
        <v>6</v>
      </c>
      <c r="AP12" s="389">
        <v>7</v>
      </c>
      <c r="AQ12" s="389">
        <v>8</v>
      </c>
      <c r="AR12" s="389">
        <v>9</v>
      </c>
    </row>
    <row r="13" spans="2:44">
      <c r="C13" s="382" t="s">
        <v>1062</v>
      </c>
      <c r="V13" s="387">
        <f>100*(+AD7/$E$8)</f>
        <v>349.71382280727607</v>
      </c>
      <c r="W13" s="393">
        <f>EXP(5.6922-(0.68367*LN(V13)))</f>
        <v>5.4079282491187914</v>
      </c>
      <c r="X13" s="388">
        <f>(+W13*V13)/100</f>
        <v>18.912272614667916</v>
      </c>
      <c r="Y13" s="387">
        <f>100*((((X13/100)-((X13/100)-0.03574)*$E$20)-0.03574-0.00619)/0.344)</f>
        <v>27.628662574653561</v>
      </c>
      <c r="Z13" s="389">
        <f>+$E$19</f>
        <v>0.25</v>
      </c>
      <c r="AA13" s="387">
        <f>Y13+Z13</f>
        <v>27.878662574653561</v>
      </c>
      <c r="AB13" s="387">
        <f>100*($E$16*$E$18+($E$17*(AA13/100))/(1-$E$20))</f>
        <v>26.362436574786912</v>
      </c>
      <c r="AC13" s="388">
        <f>AB13/V13</f>
        <v>7.5382884105541906E-2</v>
      </c>
      <c r="AD13" s="386">
        <f>$E$7/(1-AC13)</f>
        <v>21436700.402441725</v>
      </c>
      <c r="AE13" s="389" t="str">
        <f>IF(OR(OR(AD13=AD7,AD13=(AD7+1)),AD13=(AD7-1)),"yes","not yet")</f>
        <v>not yet</v>
      </c>
      <c r="AF13" s="387">
        <f>100*(1-AC13)</f>
        <v>92.461711589445798</v>
      </c>
      <c r="AJ13" s="389" t="str">
        <f>AE4</f>
        <v>not yet</v>
      </c>
      <c r="AK13" s="389" t="str">
        <f>AE10</f>
        <v>not yet</v>
      </c>
      <c r="AL13" s="389" t="str">
        <f>AE16</f>
        <v>not yet</v>
      </c>
      <c r="AM13" s="389" t="str">
        <f>AE22</f>
        <v>not yet</v>
      </c>
      <c r="AN13" s="389" t="str">
        <f>AE28</f>
        <v>not yet</v>
      </c>
      <c r="AO13" s="389" t="str">
        <f>AE34</f>
        <v>not yet</v>
      </c>
      <c r="AP13" s="389" t="str">
        <f>AE40</f>
        <v>yes</v>
      </c>
      <c r="AQ13" s="389" t="str">
        <f>AE46</f>
        <v>yes</v>
      </c>
      <c r="AR13" s="389" t="str">
        <f>AE52</f>
        <v>yes</v>
      </c>
    </row>
    <row r="14" spans="2:44">
      <c r="C14" s="382" t="s">
        <v>1063</v>
      </c>
      <c r="E14" s="391" t="s">
        <v>1041</v>
      </c>
      <c r="F14" s="382" t="s">
        <v>1064</v>
      </c>
      <c r="H14" s="387">
        <f>HLOOKUP($AJ$24,$AJ$18:$AR$22,$E$11+1)</f>
        <v>92.492696015621235</v>
      </c>
      <c r="I14" s="382" t="s">
        <v>1043</v>
      </c>
      <c r="K14" s="394"/>
      <c r="AA14" s="387"/>
      <c r="AJ14" s="389" t="str">
        <f>AE5</f>
        <v>not yet</v>
      </c>
      <c r="AK14" s="389" t="str">
        <f>AE11</f>
        <v>not yet</v>
      </c>
      <c r="AL14" s="389" t="str">
        <f>AE17</f>
        <v>not yet</v>
      </c>
      <c r="AM14" s="389" t="str">
        <f>AE23</f>
        <v>not yet</v>
      </c>
      <c r="AN14" s="389" t="str">
        <f>AE29</f>
        <v>not yet</v>
      </c>
      <c r="AO14" s="389" t="str">
        <f>AE35</f>
        <v>not yet</v>
      </c>
      <c r="AP14" s="389" t="str">
        <f>AE41</f>
        <v>yes</v>
      </c>
      <c r="AQ14" s="389" t="str">
        <f>AE47</f>
        <v>yes</v>
      </c>
      <c r="AR14" s="389" t="str">
        <f>AE53</f>
        <v>yes</v>
      </c>
    </row>
    <row r="15" spans="2:44">
      <c r="C15" s="399" t="s">
        <v>1065</v>
      </c>
      <c r="D15" s="399" t="s">
        <v>1065</v>
      </c>
      <c r="E15" s="400"/>
      <c r="F15" s="401"/>
      <c r="G15" s="401"/>
      <c r="H15" s="405" t="s">
        <v>1066</v>
      </c>
      <c r="V15" s="382" t="s">
        <v>1067</v>
      </c>
      <c r="W15" s="383" t="s">
        <v>1032</v>
      </c>
      <c r="X15" s="383" t="s">
        <v>1033</v>
      </c>
      <c r="Y15" s="383" t="s">
        <v>1034</v>
      </c>
      <c r="AA15" s="387"/>
      <c r="AJ15" s="389" t="str">
        <f>AE6</f>
        <v>not yet</v>
      </c>
      <c r="AK15" s="389" t="str">
        <f>AE12</f>
        <v>not yet</v>
      </c>
      <c r="AL15" s="389" t="str">
        <f>AE18</f>
        <v>not yet</v>
      </c>
      <c r="AM15" s="389" t="str">
        <f>AE24</f>
        <v>not yet</v>
      </c>
      <c r="AN15" s="389" t="str">
        <f>AE30</f>
        <v>not yet</v>
      </c>
      <c r="AO15" s="389" t="str">
        <f>AE36</f>
        <v>not yet</v>
      </c>
      <c r="AP15" s="389" t="str">
        <f>AE42</f>
        <v>yes</v>
      </c>
      <c r="AQ15" s="389" t="str">
        <f>AE48</f>
        <v>yes</v>
      </c>
      <c r="AR15" s="389" t="str">
        <f>AE54</f>
        <v>yes</v>
      </c>
    </row>
    <row r="16" spans="2:44">
      <c r="B16" s="391" t="s">
        <v>383</v>
      </c>
      <c r="C16" s="382" t="s">
        <v>1068</v>
      </c>
      <c r="D16" s="391"/>
      <c r="E16" s="403">
        <f>'WCI BS'!E67</f>
        <v>0.4</v>
      </c>
      <c r="F16" s="402" t="s">
        <v>1069</v>
      </c>
      <c r="V16" s="387">
        <f>100*(+AD10/$E$8)</f>
        <v>353.28477242724233</v>
      </c>
      <c r="W16" s="393">
        <f>EXP(5.7226-(0.68367*LN(+V16)))</f>
        <v>5.5362671559089671</v>
      </c>
      <c r="X16" s="388">
        <f>(+W16*V16)/100</f>
        <v>19.558788822717155</v>
      </c>
      <c r="Y16" s="387">
        <f>100*((((X16/100)-((X16/100)-0.03574)*$E$20)-0.03574-0.00619)/0.344)</f>
        <v>28.869071578468958</v>
      </c>
      <c r="Z16" s="389">
        <f>+$E$19</f>
        <v>0.25</v>
      </c>
      <c r="AA16" s="387">
        <f>Y16+Z16</f>
        <v>29.119071578468958</v>
      </c>
      <c r="AB16" s="387">
        <f>100*($E$16*$E$18+($E$17*(AA16/100))/(1-$E$20))</f>
        <v>27.490081123710002</v>
      </c>
      <c r="AC16" s="388">
        <f>AB16/V16</f>
        <v>7.7812810710293154E-2</v>
      </c>
      <c r="AD16" s="386">
        <f>$E$7/(1-AC16)</f>
        <v>21493185.256309729</v>
      </c>
      <c r="AE16" s="389" t="str">
        <f>IF(OR(OR(AD16=AD10,AD16=(AD10+1)),AD16=(AD2-1)),"yes","not yet")</f>
        <v>not yet</v>
      </c>
      <c r="AF16" s="387">
        <f>100*(1-AC16)</f>
        <v>92.218718928970688</v>
      </c>
      <c r="AJ16" s="389" t="str">
        <f>AE7</f>
        <v>not yet</v>
      </c>
      <c r="AK16" s="389" t="str">
        <f>AE13</f>
        <v>not yet</v>
      </c>
      <c r="AL16" s="389" t="str">
        <f>AE19</f>
        <v>not yet</v>
      </c>
      <c r="AM16" s="389" t="str">
        <f>AE25</f>
        <v>not yet</v>
      </c>
      <c r="AN16" s="389" t="str">
        <f>AE31</f>
        <v>not yet</v>
      </c>
      <c r="AO16" s="389" t="str">
        <f>AE37</f>
        <v>not yet</v>
      </c>
      <c r="AP16" s="389" t="str">
        <f>AE43</f>
        <v>yes</v>
      </c>
      <c r="AQ16" s="389" t="str">
        <f>AE49</f>
        <v>yes</v>
      </c>
      <c r="AR16" s="389" t="str">
        <f>AE55</f>
        <v>yes</v>
      </c>
    </row>
    <row r="17" spans="2:44">
      <c r="B17" s="391" t="s">
        <v>383</v>
      </c>
      <c r="C17" s="382" t="s">
        <v>1070</v>
      </c>
      <c r="D17" s="391"/>
      <c r="E17" s="403">
        <f>'WCI BS'!E68</f>
        <v>0.6</v>
      </c>
      <c r="F17" s="402" t="s">
        <v>1071</v>
      </c>
      <c r="H17" s="396">
        <v>1.4999999999999999E-2</v>
      </c>
      <c r="I17" s="382" t="s">
        <v>383</v>
      </c>
      <c r="V17" s="387">
        <f>100*(+AD11/$E$8)</f>
        <v>352.78025421800339</v>
      </c>
      <c r="W17" s="393">
        <f>EXP(5.70827-(0.68367*LN(+V17)))</f>
        <v>5.4628329306651571</v>
      </c>
      <c r="X17" s="388">
        <f>(+W17*V17)/100</f>
        <v>19.271795900305346</v>
      </c>
      <c r="Y17" s="387">
        <f>100*((((X17/100)-((X17/100)-0.03574)*$E$20)-0.03574-0.00619)/0.344)</f>
        <v>28.318445622678862</v>
      </c>
      <c r="Z17" s="389">
        <f>+$E$19</f>
        <v>0.25</v>
      </c>
      <c r="AA17" s="387">
        <f>Y17+Z17</f>
        <v>28.568445622678862</v>
      </c>
      <c r="AB17" s="387">
        <f>100*($E$16*$E$18+($E$17*(AA17/100))/(1-$E$20))</f>
        <v>26.989512072991733</v>
      </c>
      <c r="AC17" s="388">
        <f>AB17/V17</f>
        <v>7.6505166460686738E-2</v>
      </c>
      <c r="AD17" s="386">
        <f>$E$7/(1-AC17)</f>
        <v>21462751.47467348</v>
      </c>
      <c r="AE17" s="389" t="str">
        <f>IF(OR(OR(AD17=AD11,AD17=(AD11+1)),AD17=(AD11-1)),"yes","not yet")</f>
        <v>not yet</v>
      </c>
      <c r="AF17" s="387">
        <f>100*(1-AC17)</f>
        <v>92.349483353931333</v>
      </c>
    </row>
    <row r="18" spans="2:44">
      <c r="B18" s="391" t="s">
        <v>383</v>
      </c>
      <c r="C18" s="382" t="s">
        <v>1072</v>
      </c>
      <c r="D18" s="391"/>
      <c r="E18" s="403">
        <f>+'WCI BS'!C76</f>
        <v>2.5454946763910118E-2</v>
      </c>
      <c r="F18" s="402" t="s">
        <v>1073</v>
      </c>
      <c r="H18" s="396">
        <v>5.1000000000000004E-3</v>
      </c>
      <c r="I18" s="382" t="s">
        <v>383</v>
      </c>
      <c r="V18" s="387">
        <f>100*(+AD12/$E$8)</f>
        <v>352.44066070196669</v>
      </c>
      <c r="W18" s="393">
        <f>EXP(5.6985-(0.68367*LN(V18)))</f>
        <v>5.4132840324069837</v>
      </c>
      <c r="X18" s="388">
        <f>(+W18*V18)/100</f>
        <v>19.07861400948924</v>
      </c>
      <c r="Y18" s="387">
        <f>100*((((X18/100)-((X18/100)-0.03574)*$E$20)-0.03574-0.00619)/0.344)</f>
        <v>27.94780594843866</v>
      </c>
      <c r="Z18" s="389">
        <f>+$E$19</f>
        <v>0.25</v>
      </c>
      <c r="AA18" s="387">
        <f>Y18+Z18</f>
        <v>28.19780594843866</v>
      </c>
      <c r="AB18" s="387">
        <f>100*($E$16*$E$18+($E$17*(AA18/100))/(1-$E$20))</f>
        <v>26.652566914591553</v>
      </c>
      <c r="AC18" s="388">
        <f>AB18/V18</f>
        <v>7.5622849138651679E-2</v>
      </c>
      <c r="AD18" s="386">
        <f>$E$7/(1-AC18)</f>
        <v>21442265.293911666</v>
      </c>
      <c r="AE18" s="389" t="str">
        <f>IF(OR(OR(AD18=AD12,AD18=(AD12+1)),AD18=(AD12-1)),"yes","not yet")</f>
        <v>not yet</v>
      </c>
      <c r="AF18" s="387">
        <f>100*(1-AC18)</f>
        <v>92.43771508613483</v>
      </c>
      <c r="AJ18" s="389" t="str">
        <f>HLOOKUP(1,$AJ$12:$AR$16,$E$11+1)</f>
        <v>not yet</v>
      </c>
      <c r="AK18" s="389" t="str">
        <f>HLOOKUP(2,$AJ$12:$AR$16,$E$11+1)</f>
        <v>not yet</v>
      </c>
      <c r="AL18" s="389" t="str">
        <f>HLOOKUP(3,$AJ$12:$AR$16,$E$11+1)</f>
        <v>not yet</v>
      </c>
      <c r="AM18" s="389" t="str">
        <f>HLOOKUP(4,$AJ$12:$AR$16,$E$11+1)</f>
        <v>not yet</v>
      </c>
      <c r="AN18" s="389" t="str">
        <f>HLOOKUP(5,$AJ$12:$AR$16,$E$11+1)</f>
        <v>not yet</v>
      </c>
      <c r="AO18" s="389" t="str">
        <f>HLOOKUP(6,$AJ$12:$AR$16,$E$11+1)</f>
        <v>not yet</v>
      </c>
      <c r="AP18" s="389" t="str">
        <f>HLOOKUP(7,$AJ$12:$AR$16,$E$11+1)</f>
        <v>yes</v>
      </c>
      <c r="AQ18" s="389" t="str">
        <f>HLOOKUP(8,$AJ$12:$AR$16,$E$11+1)</f>
        <v>yes</v>
      </c>
      <c r="AR18" s="389" t="str">
        <f>HLOOKUP(9,$AJ$12:$AR$16,$E$11+1)</f>
        <v>yes</v>
      </c>
    </row>
    <row r="19" spans="2:44">
      <c r="B19" s="381" t="s">
        <v>383</v>
      </c>
      <c r="C19" s="381" t="s">
        <v>1074</v>
      </c>
      <c r="D19" s="391"/>
      <c r="E19" s="404">
        <v>0.25</v>
      </c>
      <c r="F19" s="402" t="s">
        <v>1075</v>
      </c>
      <c r="H19" s="397">
        <v>0</v>
      </c>
      <c r="I19" s="382" t="s">
        <v>383</v>
      </c>
      <c r="V19" s="387">
        <f>100*(+AD13/$E$8)</f>
        <v>352.22354284947926</v>
      </c>
      <c r="W19" s="393">
        <f>EXP(5.6922-(0.68367*LN(V19)))</f>
        <v>5.3815543073240484</v>
      </c>
      <c r="X19" s="388">
        <f>(+W19*V19)/100</f>
        <v>18.955101241625517</v>
      </c>
      <c r="Y19" s="387">
        <f>100*((((X19/100)-((X19/100)-0.03574)*$E$20)-0.03574-0.00619)/0.344)</f>
        <v>27.710833777537324</v>
      </c>
      <c r="Z19" s="389">
        <f>+$E$19</f>
        <v>0.25</v>
      </c>
      <c r="AA19" s="387">
        <f>Y19+Z19</f>
        <v>27.960833777537324</v>
      </c>
      <c r="AB19" s="387">
        <f>100*($E$16*$E$18+($E$17*(AA19/100))/(1-$E$20))</f>
        <v>26.437137668317611</v>
      </c>
      <c r="AC19" s="388">
        <f>AB19/V19</f>
        <v>7.5057838140068264E-2</v>
      </c>
      <c r="AD19" s="386">
        <f>$E$7/(1-AC19)</f>
        <v>21429167.05250245</v>
      </c>
      <c r="AE19" s="389" t="str">
        <f>IF(OR(OR(AD19=AD13,AD19=(AD13+1)),AD19=(AD13-1)),"yes","not yet")</f>
        <v>not yet</v>
      </c>
      <c r="AF19" s="387">
        <f>100*(1-AC19)</f>
        <v>92.494216185993167</v>
      </c>
      <c r="AI19" s="389">
        <v>1</v>
      </c>
      <c r="AJ19" s="387">
        <f>AF4</f>
        <v>92.862835778598239</v>
      </c>
      <c r="AK19" s="387">
        <f>AF10</f>
        <v>92.183966521422761</v>
      </c>
      <c r="AL19" s="387">
        <f>AF16</f>
        <v>92.218718928970688</v>
      </c>
      <c r="AM19" s="387">
        <f>AF22</f>
        <v>92.216937156256947</v>
      </c>
      <c r="AN19" s="387">
        <f>AF28</f>
        <v>92.217028501388256</v>
      </c>
      <c r="AO19" s="387">
        <f>AF34</f>
        <v>92.217023818430249</v>
      </c>
      <c r="AP19" s="387">
        <f>AF40</f>
        <v>92.217023984004001</v>
      </c>
      <c r="AQ19" s="387">
        <f>AF46</f>
        <v>92.217023984004001</v>
      </c>
      <c r="AR19" s="387">
        <f>AF52</f>
        <v>92.217023984004001</v>
      </c>
    </row>
    <row r="20" spans="2:44">
      <c r="B20" s="391" t="s">
        <v>383</v>
      </c>
      <c r="C20" s="382" t="s">
        <v>1076</v>
      </c>
      <c r="D20" s="391"/>
      <c r="E20" s="970">
        <v>0.34</v>
      </c>
      <c r="F20" s="402" t="s">
        <v>1077</v>
      </c>
      <c r="H20" s="396">
        <f>+'Restating Adj''s'!E98</f>
        <v>0</v>
      </c>
      <c r="I20" s="382" t="s">
        <v>383</v>
      </c>
      <c r="AA20" s="387"/>
      <c r="AI20" s="389">
        <v>2</v>
      </c>
      <c r="AJ20" s="387">
        <f>AF5</f>
        <v>92.987533240347361</v>
      </c>
      <c r="AK20" s="387">
        <f>AF11</f>
        <v>92.315800684910798</v>
      </c>
      <c r="AL20" s="387">
        <f>AF17</f>
        <v>92.349483353931333</v>
      </c>
      <c r="AM20" s="387">
        <f>AF23</f>
        <v>92.347791815136546</v>
      </c>
      <c r="AN20" s="387">
        <f>AF29</f>
        <v>92.347876757431379</v>
      </c>
      <c r="AO20" s="387">
        <f>AF35</f>
        <v>92.347872491953481</v>
      </c>
      <c r="AP20" s="387">
        <f>AF41</f>
        <v>92.347872736767982</v>
      </c>
      <c r="AQ20" s="387">
        <f>AF47</f>
        <v>92.347872736767982</v>
      </c>
      <c r="AR20" s="387">
        <f>AF53</f>
        <v>92.347872736767982</v>
      </c>
    </row>
    <row r="21" spans="2:44">
      <c r="H21" s="395" t="s">
        <v>1065</v>
      </c>
      <c r="V21" s="382" t="s">
        <v>1078</v>
      </c>
      <c r="W21" s="383" t="s">
        <v>1032</v>
      </c>
      <c r="X21" s="383" t="s">
        <v>1033</v>
      </c>
      <c r="Y21" s="383" t="s">
        <v>1034</v>
      </c>
      <c r="AA21" s="387"/>
      <c r="AI21" s="389">
        <v>3</v>
      </c>
      <c r="AJ21" s="387">
        <f>AF6</f>
        <v>93.071531589259834</v>
      </c>
      <c r="AK21" s="387">
        <f>AF12</f>
        <v>92.40475139586988</v>
      </c>
      <c r="AL21" s="387">
        <f>AF18</f>
        <v>92.43771508613483</v>
      </c>
      <c r="AM21" s="387">
        <f>AF24</f>
        <v>92.436082966430817</v>
      </c>
      <c r="AN21" s="387">
        <f>AF30</f>
        <v>92.436163770892136</v>
      </c>
      <c r="AO21" s="387">
        <f>AF36</f>
        <v>92.436159770336658</v>
      </c>
      <c r="AP21" s="387">
        <f>AF42</f>
        <v>92.436159951757062</v>
      </c>
      <c r="AQ21" s="387">
        <f>AF48</f>
        <v>92.436159951757062</v>
      </c>
      <c r="AR21" s="387">
        <f>AF54</f>
        <v>92.436159951757062</v>
      </c>
    </row>
    <row r="22" spans="2:44">
      <c r="F22" s="382" t="s">
        <v>1079</v>
      </c>
      <c r="H22" s="385">
        <f>SUM(H17:H20)</f>
        <v>2.01E-2</v>
      </c>
      <c r="V22" s="387">
        <f>100*(+AD16/$E$8)</f>
        <v>353.1516378908438</v>
      </c>
      <c r="W22" s="393">
        <f>EXP(5.7226-(0.68367*LN(+V22)))</f>
        <v>5.5376939692969636</v>
      </c>
      <c r="X22" s="388">
        <f>(+W22*V22)/100</f>
        <v>19.556456953954708</v>
      </c>
      <c r="Y22" s="387">
        <f>100*((((X22/100)-((X22/100)-0.03574)*$E$20)-0.03574-0.00619)/0.344)</f>
        <v>28.864597644215429</v>
      </c>
      <c r="Z22" s="389">
        <f>+$E$19</f>
        <v>0.25</v>
      </c>
      <c r="AA22" s="387">
        <f>Y22+Z22</f>
        <v>29.114597644215429</v>
      </c>
      <c r="AB22" s="387">
        <f>100*($E$16*$E$18+($E$17*(AA22/100))/(1-$E$20))</f>
        <v>27.486013910752249</v>
      </c>
      <c r="AC22" s="388">
        <f>AB22/V22</f>
        <v>7.7830628437430452E-2</v>
      </c>
      <c r="AD22" s="386">
        <f>$E$7/(1-AC22)</f>
        <v>21493600.537625741</v>
      </c>
      <c r="AE22" s="389" t="str">
        <f>IF(OR(OR(AD22=AD16,AD22=(AD16+1)),AD22=(AD8-1)),"yes","not yet")</f>
        <v>not yet</v>
      </c>
      <c r="AF22" s="387">
        <f>100*(1-AC22)</f>
        <v>92.216937156256947</v>
      </c>
      <c r="AI22" s="389">
        <v>4</v>
      </c>
      <c r="AJ22" s="387">
        <f>AF7</f>
        <v>93.125262743499931</v>
      </c>
      <c r="AK22" s="387">
        <f>AF13</f>
        <v>92.461711589445798</v>
      </c>
      <c r="AL22" s="387">
        <f>AF19</f>
        <v>92.494216185993167</v>
      </c>
      <c r="AM22" s="387">
        <f>AF25</f>
        <v>92.49262149450071</v>
      </c>
      <c r="AN22" s="387">
        <f>AF31</f>
        <v>92.492699724999312</v>
      </c>
      <c r="AO22" s="387">
        <f>AF37</f>
        <v>92.492695887245503</v>
      </c>
      <c r="AP22" s="387">
        <f>AF43</f>
        <v>92.492696015621235</v>
      </c>
      <c r="AQ22" s="387">
        <f>AF49</f>
        <v>92.492696015621235</v>
      </c>
      <c r="AR22" s="387">
        <f>AF55</f>
        <v>92.492696015621235</v>
      </c>
    </row>
    <row r="23" spans="2:44">
      <c r="V23" s="387">
        <f>100*(+AD17/$E$8)</f>
        <v>352.65158451560484</v>
      </c>
      <c r="W23" s="393">
        <f>EXP(5.70827-(0.68367*LN(+V23)))</f>
        <v>5.4641955352300124</v>
      </c>
      <c r="X23" s="388">
        <f>(+W23*V23)/100</f>
        <v>19.269572136019573</v>
      </c>
      <c r="Y23" s="387">
        <f>100*((((X23/100)-((X23/100)-0.03574)*$E$20)-0.03574-0.00619)/0.344)</f>
        <v>28.314179098177089</v>
      </c>
      <c r="Z23" s="389">
        <f>+$E$19</f>
        <v>0.25</v>
      </c>
      <c r="AA23" s="387">
        <f>Y23+Z23</f>
        <v>28.564179098177089</v>
      </c>
      <c r="AB23" s="387">
        <f>100*($E$16*$E$18+($E$17*(AA23/100))/(1-$E$20))</f>
        <v>26.98563341435376</v>
      </c>
      <c r="AC23" s="388">
        <f>AB23/V23</f>
        <v>7.6522081848634502E-2</v>
      </c>
      <c r="AD23" s="386">
        <f>$E$7/(1-AC23)</f>
        <v>21463144.608889781</v>
      </c>
      <c r="AE23" s="389" t="str">
        <f>IF(OR(OR(AD23=AD17,AD23=(AD17+1)),AD23=(AD17-1)),"yes","not yet")</f>
        <v>not yet</v>
      </c>
      <c r="AF23" s="387">
        <f>100*(1-AC23)</f>
        <v>92.347791815136546</v>
      </c>
    </row>
    <row r="24" spans="2:44">
      <c r="F24" s="382" t="s">
        <v>1080</v>
      </c>
      <c r="H24" s="388">
        <f>((+H14/100)-H22)</f>
        <v>0.90482696015621233</v>
      </c>
      <c r="V24" s="387">
        <f>100*(+AD18/$E$8)</f>
        <v>352.31497883320429</v>
      </c>
      <c r="W24" s="393">
        <f>EXP(5.6985-(0.68367*LN(V24)))</f>
        <v>5.4146041856867839</v>
      </c>
      <c r="X24" s="388">
        <f>(+W24*V24)/100</f>
        <v>19.076461590704188</v>
      </c>
      <c r="Y24" s="387">
        <f>100*((((X24/100)-((X24/100)-0.03574)*$E$20)-0.03574-0.00619)/0.344)</f>
        <v>27.943676307746411</v>
      </c>
      <c r="Z24" s="389">
        <f>+$E$19</f>
        <v>0.25</v>
      </c>
      <c r="AA24" s="387">
        <f>Y24+Z24</f>
        <v>28.193676307746411</v>
      </c>
      <c r="AB24" s="387">
        <f>100*($E$16*$E$18+($E$17*(AA24/100))/(1-$E$20))</f>
        <v>26.648812695780418</v>
      </c>
      <c r="AC24" s="388">
        <f>AB24/V24</f>
        <v>7.5639170335691883E-2</v>
      </c>
      <c r="AD24" s="386">
        <f>$E$7/(1-AC24)</f>
        <v>21442643.894373324</v>
      </c>
      <c r="AE24" s="389" t="str">
        <f>IF(OR(OR(AD24=AD18,AD24=(AD18+1)),AD24=(AD18-1)),"yes","not yet")</f>
        <v>not yet</v>
      </c>
      <c r="AF24" s="387">
        <f>100*(1-AC24)</f>
        <v>92.436082966430817</v>
      </c>
      <c r="AJ24" s="382" t="s">
        <v>1081</v>
      </c>
    </row>
    <row r="25" spans="2:44">
      <c r="V25" s="387">
        <f>100*(+AD19/$E$8)</f>
        <v>352.09976338923946</v>
      </c>
      <c r="W25" s="393">
        <f>EXP(5.6922-(0.68367*LN(V25)))</f>
        <v>5.3828476480610057</v>
      </c>
      <c r="X25" s="388">
        <f>(+W25*V25)/100</f>
        <v>18.952993832426042</v>
      </c>
      <c r="Y25" s="387">
        <f>100*((((X25/100)-((X25/100)-0.03574)*$E$20)-0.03574-0.00619)/0.344)</f>
        <v>27.706790492445315</v>
      </c>
      <c r="Z25" s="389">
        <f>+$E$19</f>
        <v>0.25</v>
      </c>
      <c r="AA25" s="387">
        <f>Y25+Z25</f>
        <v>27.956790492445315</v>
      </c>
      <c r="AB25" s="387">
        <f>100*($E$16*$E$18+($E$17*(AA25/100))/(1-$E$20))</f>
        <v>26.433461954597604</v>
      </c>
      <c r="AC25" s="388">
        <f>AB25/V25</f>
        <v>7.5073785054992848E-2</v>
      </c>
      <c r="AD25" s="386">
        <f>$E$7/(1-AC25)</f>
        <v>21429536.518842973</v>
      </c>
      <c r="AE25" s="389" t="str">
        <f>IF(OR(OR(AD25=AD19,AD25=(AD19+1)),AD25=(AD19-1)),"yes","not yet")</f>
        <v>not yet</v>
      </c>
      <c r="AF25" s="387">
        <f>100*(1-AC25)</f>
        <v>92.49262149450071</v>
      </c>
      <c r="AJ25" s="387">
        <f>HLOOKUP($AJ$24,$AJ$18:$AR$22,$E$11+1)</f>
        <v>92.492696015621235</v>
      </c>
    </row>
    <row r="26" spans="2:44">
      <c r="E26" s="386"/>
      <c r="AA26" s="387"/>
    </row>
    <row r="27" spans="2:44">
      <c r="V27" s="382" t="s">
        <v>1082</v>
      </c>
      <c r="W27" s="383" t="s">
        <v>1032</v>
      </c>
      <c r="X27" s="383" t="s">
        <v>1033</v>
      </c>
      <c r="Y27" s="383" t="s">
        <v>1034</v>
      </c>
      <c r="AA27" s="387"/>
      <c r="AJ27" s="389" t="str">
        <f>HLOOKUP(1,$AJ$12:$AR$16,$E$11+1)</f>
        <v>not yet</v>
      </c>
      <c r="AK27" s="389" t="str">
        <f>HLOOKUP(2,$AJ$12:$AR$16,$E$11+1)</f>
        <v>not yet</v>
      </c>
      <c r="AL27" s="389" t="str">
        <f>HLOOKUP(3,$AJ$12:$AR$16,$E$11+1)</f>
        <v>not yet</v>
      </c>
      <c r="AM27" s="389" t="str">
        <f>HLOOKUP(4,$AJ$12:$AR$16,$E$11+1)</f>
        <v>not yet</v>
      </c>
      <c r="AN27" s="389" t="str">
        <f>HLOOKUP(5,$AJ$12:$AR$16,$E$11+1)</f>
        <v>not yet</v>
      </c>
      <c r="AO27" s="389" t="str">
        <f>HLOOKUP(6,$AJ$12:$AR$16,$E$11+1)</f>
        <v>not yet</v>
      </c>
      <c r="AP27" s="389" t="str">
        <f>HLOOKUP(7,$AJ$12:$AR$16,$E$11+1)</f>
        <v>yes</v>
      </c>
      <c r="AQ27" s="389" t="str">
        <f>HLOOKUP(8,$AJ$12:$AR$16,$E$11+1)</f>
        <v>yes</v>
      </c>
      <c r="AR27" s="389" t="str">
        <f>HLOOKUP(9,$AJ$12:$AR$16,$E$11+1)</f>
        <v>yes</v>
      </c>
    </row>
    <row r="28" spans="2:44">
      <c r="E28" s="386"/>
      <c r="V28" s="387">
        <f>100*(+AD22/$E$8)</f>
        <v>353.15846132232622</v>
      </c>
      <c r="W28" s="393">
        <f>EXP(5.7226-(0.68367*LN(+V28)))</f>
        <v>5.5376208200228509</v>
      </c>
      <c r="X28" s="388">
        <f>(+W28*V28)/100</f>
        <v>19.556576481857483</v>
      </c>
      <c r="Y28" s="387">
        <f>100*((((X28/100)-((X28/100)-0.03574)*$E$20)-0.03574-0.00619)/0.344)</f>
        <v>28.864826971005638</v>
      </c>
      <c r="Z28" s="389">
        <f>+$E$19</f>
        <v>0.25</v>
      </c>
      <c r="AA28" s="387">
        <f>Y28+Z28</f>
        <v>29.114826971005638</v>
      </c>
      <c r="AB28" s="387">
        <f>100*($E$16*$E$18+($E$17*(AA28/100))/(1-$E$20))</f>
        <v>27.486222389652436</v>
      </c>
      <c r="AC28" s="388">
        <f>AB28/V28</f>
        <v>7.782971498611746E-2</v>
      </c>
      <c r="AD28" s="386">
        <f>$E$7/(1-AC28)</f>
        <v>21493579.247243747</v>
      </c>
      <c r="AE28" s="389" t="str">
        <f>IF(OR(OR(AD28=AD22,AD28=(AD22+1)),AD28=(AD14-1)),"yes","not yet")</f>
        <v>not yet</v>
      </c>
      <c r="AF28" s="387">
        <f>100*(1-AC28)</f>
        <v>92.217028501388256</v>
      </c>
      <c r="AI28" s="389">
        <v>1</v>
      </c>
      <c r="AJ28" s="387">
        <f>V4</f>
        <v>407.08989542451707</v>
      </c>
      <c r="AK28" s="387">
        <f>V10</f>
        <v>350.70210123248256</v>
      </c>
      <c r="AL28" s="387">
        <f>V16</f>
        <v>353.28477242724233</v>
      </c>
      <c r="AM28" s="387">
        <f>V22</f>
        <v>353.1516378908438</v>
      </c>
      <c r="AN28" s="387">
        <f>V28</f>
        <v>353.15846132232622</v>
      </c>
      <c r="AO28" s="387">
        <f>V34</f>
        <v>353.15811150292149</v>
      </c>
      <c r="AP28" s="387">
        <f>V40</f>
        <v>353.15812387135827</v>
      </c>
      <c r="AQ28" s="387">
        <f>V46</f>
        <v>353.15812387135827</v>
      </c>
      <c r="AR28" s="387">
        <f>V52</f>
        <v>353.15812387135827</v>
      </c>
    </row>
    <row r="29" spans="2:44">
      <c r="E29" s="386"/>
      <c r="V29" s="387">
        <f>100*(+AD23/$E$8)</f>
        <v>352.65804405106888</v>
      </c>
      <c r="W29" s="393">
        <f>EXP(5.70827-(0.68367*LN(+V29)))</f>
        <v>5.4641271091744201</v>
      </c>
      <c r="X29" s="388">
        <f>(+W29*V29)/100</f>
        <v>19.269683787678723</v>
      </c>
      <c r="Y29" s="387">
        <f>100*((((X29/100)-((X29/100)-0.03574)*$E$20)-0.03574-0.00619)/0.344)</f>
        <v>28.314393313569646</v>
      </c>
      <c r="Z29" s="389">
        <f>+$E$19</f>
        <v>0.25</v>
      </c>
      <c r="AA29" s="387">
        <f>Y29+Z29</f>
        <v>28.564393313569646</v>
      </c>
      <c r="AB29" s="387">
        <f>100*($E$16*$E$18+($E$17*(AA29/100))/(1-$E$20))</f>
        <v>26.985828155619718</v>
      </c>
      <c r="AC29" s="388">
        <f>AB29/V29</f>
        <v>7.6521232425686175E-2</v>
      </c>
      <c r="AD29" s="386">
        <f>$E$7/(1-AC29)</f>
        <v>21463124.866922542</v>
      </c>
      <c r="AE29" s="389" t="str">
        <f>IF(OR(OR(AD29=AD23,AD29=(AD23+1)),AD29=(AD23-1)),"yes","not yet")</f>
        <v>not yet</v>
      </c>
      <c r="AF29" s="387">
        <f>100*(1-AC29)</f>
        <v>92.347876757431379</v>
      </c>
      <c r="AI29" s="389">
        <v>2</v>
      </c>
      <c r="AJ29" s="387">
        <f>V5</f>
        <v>407.08989542451707</v>
      </c>
      <c r="AK29" s="387">
        <f>V11</f>
        <v>350.2318052655948</v>
      </c>
      <c r="AL29" s="387">
        <f>V17</f>
        <v>352.78025421800339</v>
      </c>
      <c r="AM29" s="387">
        <f>V23</f>
        <v>352.65158451560484</v>
      </c>
      <c r="AN29" s="387">
        <f>V29</f>
        <v>352.65804405106888</v>
      </c>
      <c r="AO29" s="387">
        <f>V35</f>
        <v>352.65771967345881</v>
      </c>
      <c r="AP29" s="387">
        <f>V41</f>
        <v>352.65773829090222</v>
      </c>
      <c r="AQ29" s="387">
        <f>V47</f>
        <v>352.65773829090222</v>
      </c>
      <c r="AR29" s="387">
        <f>V53</f>
        <v>352.65773829090222</v>
      </c>
    </row>
    <row r="30" spans="2:44">
      <c r="E30" s="386"/>
      <c r="V30" s="387">
        <f>100*(+AD24/$E$8)</f>
        <v>352.32119956649933</v>
      </c>
      <c r="W30" s="393">
        <f>EXP(5.6985-(0.68367*LN(V30)))</f>
        <v>5.4145388249022277</v>
      </c>
      <c r="X30" s="388">
        <f>(+W30*V30)/100</f>
        <v>19.076568138889364</v>
      </c>
      <c r="Y30" s="387">
        <f>100*((((X30/100)-((X30/100)-0.03574)*$E$20)-0.03574-0.00619)/0.344)</f>
        <v>27.94388073159006</v>
      </c>
      <c r="Z30" s="389">
        <f>+$E$19</f>
        <v>0.25</v>
      </c>
      <c r="AA30" s="387">
        <f>Y30+Z30</f>
        <v>28.19388073159006</v>
      </c>
      <c r="AB30" s="387">
        <f>100*($E$16*$E$18+($E$17*(AA30/100))/(1-$E$20))</f>
        <v>26.648998535638274</v>
      </c>
      <c r="AC30" s="388">
        <f>AB30/V30</f>
        <v>7.5638362291078579E-2</v>
      </c>
      <c r="AD30" s="386">
        <f>$E$7/(1-AC30)</f>
        <v>21442625.149964008</v>
      </c>
      <c r="AE30" s="389" t="str">
        <f>IF(OR(OR(AD30=AD24,AD30=(AD24+1)),AD30=(AD24-1)),"yes","not yet")</f>
        <v>not yet</v>
      </c>
      <c r="AF30" s="387">
        <f>100*(1-AC30)</f>
        <v>92.436163770892136</v>
      </c>
      <c r="AI30" s="389">
        <v>3</v>
      </c>
      <c r="AJ30" s="387">
        <f>V6</f>
        <v>407.08989542451707</v>
      </c>
      <c r="AK30" s="387">
        <f>V12</f>
        <v>349.91571620080128</v>
      </c>
      <c r="AL30" s="387">
        <f>V18</f>
        <v>352.44066070196669</v>
      </c>
      <c r="AM30" s="387">
        <f>V24</f>
        <v>352.31497883320429</v>
      </c>
      <c r="AN30" s="387">
        <f>V30</f>
        <v>352.32119956649933</v>
      </c>
      <c r="AO30" s="387">
        <f>V36</f>
        <v>352.3208915796294</v>
      </c>
      <c r="AP30" s="387">
        <f>V42</f>
        <v>352.32090554645652</v>
      </c>
      <c r="AQ30" s="387">
        <f>V48</f>
        <v>352.32090554645652</v>
      </c>
      <c r="AR30" s="387">
        <f>V54</f>
        <v>352.32090554645652</v>
      </c>
    </row>
    <row r="31" spans="2:44" ht="14.25">
      <c r="C31" s="1140" t="s">
        <v>2587</v>
      </c>
      <c r="E31" s="386"/>
      <c r="V31" s="387">
        <f>100*(+AD25/$E$8)</f>
        <v>352.10583404101794</v>
      </c>
      <c r="W31" s="393">
        <f>EXP(5.6922-(0.68367*LN(V31)))</f>
        <v>5.3827841994825487</v>
      </c>
      <c r="X31" s="388">
        <f>(+W31*V31)/100</f>
        <v>18.95309720021616</v>
      </c>
      <c r="Y31" s="387">
        <f>100*((((X31/100)-((X31/100)-0.03574)*$E$20)-0.03574-0.00619)/0.344)</f>
        <v>27.706988814368216</v>
      </c>
      <c r="Z31" s="389">
        <f>+$E$19</f>
        <v>0.25</v>
      </c>
      <c r="AA31" s="387">
        <f>Y31+Z31</f>
        <v>27.956988814368216</v>
      </c>
      <c r="AB31" s="387">
        <f>100*($E$16*$E$18+($E$17*(AA31/100))/(1-$E$20))</f>
        <v>26.433642247254785</v>
      </c>
      <c r="AC31" s="388">
        <f>AB31/V31</f>
        <v>7.507300275000682E-2</v>
      </c>
      <c r="AD31" s="386">
        <f>$E$7/(1-AC31)</f>
        <v>21429518.393700864</v>
      </c>
      <c r="AE31" s="389" t="str">
        <f>IF(OR(OR(AD31=AD25,AD31=(AD25+1)),AD31=(AD25-1)),"yes","not yet")</f>
        <v>not yet</v>
      </c>
      <c r="AF31" s="387">
        <f>100*(1-AC31)</f>
        <v>92.492699724999312</v>
      </c>
      <c r="AI31" s="389">
        <v>4</v>
      </c>
      <c r="AJ31" s="387">
        <f>V7</f>
        <v>407.08989542451707</v>
      </c>
      <c r="AK31" s="387">
        <f>V13</f>
        <v>349.71382280727607</v>
      </c>
      <c r="AL31" s="387">
        <f>V19</f>
        <v>352.22354284947926</v>
      </c>
      <c r="AM31" s="387">
        <f>V25</f>
        <v>352.09976338923946</v>
      </c>
      <c r="AN31" s="387">
        <f>V31</f>
        <v>352.10583404101794</v>
      </c>
      <c r="AO31" s="387">
        <f>V37</f>
        <v>352.10553622924425</v>
      </c>
      <c r="AP31" s="387">
        <f>V43</f>
        <v>352.1055461912639</v>
      </c>
      <c r="AQ31" s="387">
        <f>V49</f>
        <v>352.1055461912639</v>
      </c>
      <c r="AR31" s="387">
        <f>V55</f>
        <v>352.1055461912639</v>
      </c>
    </row>
    <row r="32" spans="2:44">
      <c r="E32" s="386"/>
      <c r="AA32" s="387"/>
    </row>
    <row r="33" spans="3:44">
      <c r="C33" s="1144" t="s">
        <v>2588</v>
      </c>
      <c r="D33" s="1142">
        <f>E6</f>
        <v>20787376.300000004</v>
      </c>
      <c r="V33" s="382" t="s">
        <v>1083</v>
      </c>
      <c r="W33" s="383" t="s">
        <v>1032</v>
      </c>
      <c r="X33" s="383" t="s">
        <v>1033</v>
      </c>
      <c r="Y33" s="383" t="s">
        <v>1034</v>
      </c>
      <c r="AA33" s="387"/>
      <c r="AJ33" s="382" t="s">
        <v>1081</v>
      </c>
    </row>
    <row r="34" spans="3:44">
      <c r="C34" s="1144" t="s">
        <v>2589</v>
      </c>
      <c r="D34" s="1143">
        <f>-'Vancouver Consolidated IS'!J17</f>
        <v>-2315814.08</v>
      </c>
      <c r="V34" s="387">
        <f>100*(+AD28/$E$8)</f>
        <v>353.15811150292149</v>
      </c>
      <c r="W34" s="393">
        <f>EXP(5.7226-(0.68367*LN(+V34)))</f>
        <v>5.537624570136078</v>
      </c>
      <c r="X34" s="388">
        <f>(+W34*V34)/100</f>
        <v>19.556570354014347</v>
      </c>
      <c r="Y34" s="387">
        <f>100*((((X34/100)-((X34/100)-0.03574)*$E$20)-0.03574-0.00619)/0.344)</f>
        <v>28.864815214097295</v>
      </c>
      <c r="Z34" s="389">
        <f>+$E$19</f>
        <v>0.25</v>
      </c>
      <c r="AA34" s="387">
        <f>Y34+Z34</f>
        <v>29.114815214097295</v>
      </c>
      <c r="AB34" s="387">
        <f>100*($E$16*$E$18+($E$17*(AA34/100))/(1-$E$20))</f>
        <v>27.486211701553948</v>
      </c>
      <c r="AC34" s="388">
        <f>AB34/V34</f>
        <v>7.782976181569759E-2</v>
      </c>
      <c r="AD34" s="386">
        <f>ROUND($E$7/(1-AC34),0)</f>
        <v>21493580</v>
      </c>
      <c r="AE34" s="389" t="str">
        <f>IF(OR(OR(AD34=AD28,AD34=(AD28+1)),AD34=(AD20-1)),"yes","not yet")</f>
        <v>not yet</v>
      </c>
      <c r="AF34" s="387">
        <f>100*(1-AC34)</f>
        <v>92.217023818430249</v>
      </c>
      <c r="AJ34" s="387">
        <f>HLOOKUP($AJ$33,$AJ$27:$AR$31,$E$11+1)</f>
        <v>352.1055461912639</v>
      </c>
    </row>
    <row r="35" spans="3:44" ht="14.25">
      <c r="C35" s="1145" t="s">
        <v>2590</v>
      </c>
      <c r="D35" s="1146">
        <f>D33+D34</f>
        <v>18471562.220000006</v>
      </c>
      <c r="V35" s="387">
        <f>100*(+AD29/$E$8)</f>
        <v>352.65771967345881</v>
      </c>
      <c r="W35" s="393">
        <f>EXP(5.70827-(0.68367*LN(+V35)))</f>
        <v>5.4641305452659834</v>
      </c>
      <c r="X35" s="388">
        <f>(+W35*V35)/100</f>
        <v>19.26967818091595</v>
      </c>
      <c r="Y35" s="387">
        <f>100*((((X35/100)-((X35/100)-0.03574)*$E$20)-0.03574-0.00619)/0.344)</f>
        <v>28.314382556408514</v>
      </c>
      <c r="Z35" s="389">
        <f>+$E$19</f>
        <v>0.25</v>
      </c>
      <c r="AA35" s="387">
        <f>Y35+Z35</f>
        <v>28.564382556408514</v>
      </c>
      <c r="AB35" s="387">
        <f>100*($E$16*$E$18+($E$17*(AA35/100))/(1-$E$20))</f>
        <v>26.985818376382326</v>
      </c>
      <c r="AC35" s="388">
        <f>AB35/V35</f>
        <v>7.6521275080465204E-2</v>
      </c>
      <c r="AD35" s="386">
        <f>ROUND($E$7/(1-AC35),0)</f>
        <v>21463126</v>
      </c>
      <c r="AE35" s="389" t="str">
        <f>IF(OR(OR(AD35=AD29,AD35=(AD29+1)),AD35=(AD29-1)),"yes","not yet")</f>
        <v>not yet</v>
      </c>
      <c r="AF35" s="387">
        <f>100*(1-AC35)</f>
        <v>92.347872491953481</v>
      </c>
    </row>
    <row r="36" spans="3:44">
      <c r="C36" s="1144"/>
      <c r="V36" s="387">
        <f>100*(+AD30/$E$8)</f>
        <v>352.3208915796294</v>
      </c>
      <c r="W36" s="393">
        <f>EXP(5.6985-(0.68367*LN(V36)))</f>
        <v>5.4145420608517689</v>
      </c>
      <c r="X36" s="388">
        <f>(+W36*V36)/100</f>
        <v>19.076562863746993</v>
      </c>
      <c r="Y36" s="387">
        <f>100*((((X36/100)-((X36/100)-0.03574)*$E$20)-0.03574-0.00619)/0.344)</f>
        <v>27.943870610677369</v>
      </c>
      <c r="Z36" s="389">
        <f>+$E$19</f>
        <v>0.25</v>
      </c>
      <c r="AA36" s="387">
        <f>Y36+Z36</f>
        <v>28.193870610677369</v>
      </c>
      <c r="AB36" s="387">
        <f>100*($E$16*$E$18+($E$17*(AA36/100))/(1-$E$20))</f>
        <v>26.648989334808558</v>
      </c>
      <c r="AC36" s="388">
        <f>AB36/V36</f>
        <v>7.5638402296633378E-2</v>
      </c>
      <c r="AD36" s="386">
        <f>ROUND($E$7/(1-AC36),0)</f>
        <v>21442626</v>
      </c>
      <c r="AE36" s="389" t="str">
        <f>IF(OR(OR(AD36=AD30,AD36=(AD30+1)),AD36=(AD30-1)),"yes","not yet")</f>
        <v>not yet</v>
      </c>
      <c r="AF36" s="387">
        <f>100*(1-AC36)</f>
        <v>92.436159770336658</v>
      </c>
      <c r="AJ36" s="389" t="str">
        <f>HLOOKUP(1,$AJ$12:$AR$16,$E$11+1)</f>
        <v>not yet</v>
      </c>
      <c r="AK36" s="389" t="str">
        <f>HLOOKUP(2,$AJ$12:$AR$16,$E$11+1)</f>
        <v>not yet</v>
      </c>
      <c r="AL36" s="389" t="str">
        <f>HLOOKUP(3,$AJ$12:$AR$16,$E$11+1)</f>
        <v>not yet</v>
      </c>
      <c r="AM36" s="389" t="str">
        <f>HLOOKUP(4,$AJ$12:$AR$16,$E$11+1)</f>
        <v>not yet</v>
      </c>
      <c r="AN36" s="389" t="str">
        <f>HLOOKUP(5,$AJ$12:$AR$16,$E$11+1)</f>
        <v>not yet</v>
      </c>
      <c r="AO36" s="389" t="str">
        <f>HLOOKUP(6,$AJ$12:$AR$16,$E$11+1)</f>
        <v>not yet</v>
      </c>
      <c r="AP36" s="389" t="str">
        <f>HLOOKUP(7,$AJ$12:$AR$16,$E$11+1)</f>
        <v>yes</v>
      </c>
      <c r="AQ36" s="389" t="str">
        <f>HLOOKUP(8,$AJ$12:$AR$16,$E$11+1)</f>
        <v>yes</v>
      </c>
      <c r="AR36" s="389" t="str">
        <f>HLOOKUP(9,$AJ$12:$AR$16,$E$11+1)</f>
        <v>yes</v>
      </c>
    </row>
    <row r="37" spans="3:44">
      <c r="C37" s="1144" t="s">
        <v>2591</v>
      </c>
      <c r="D37" s="1142">
        <f>D35*J5</f>
        <v>583280.65989887493</v>
      </c>
      <c r="V37" s="387">
        <f>100*(+AD31/$E$8)</f>
        <v>352.10553622924425</v>
      </c>
      <c r="W37" s="393">
        <f>EXP(5.6922-(0.68367*LN(V37)))</f>
        <v>5.3827873120763172</v>
      </c>
      <c r="X37" s="388">
        <f>(+W37*V37)/100</f>
        <v>18.953092129266039</v>
      </c>
      <c r="Y37" s="387">
        <f>100*((((X37/100)-((X37/100)-0.03574)*$E$20)-0.03574-0.00619)/0.344)</f>
        <v>27.706979085219725</v>
      </c>
      <c r="Z37" s="389">
        <f>+$E$19</f>
        <v>0.25</v>
      </c>
      <c r="AA37" s="387">
        <f>Y37+Z37</f>
        <v>27.956979085219725</v>
      </c>
      <c r="AB37" s="387">
        <f>100*($E$16*$E$18+($E$17*(AA37/100))/(1-$E$20))</f>
        <v>26.433633402574337</v>
      </c>
      <c r="AC37" s="388">
        <f>AB37/V37</f>
        <v>7.5073041127544995E-2</v>
      </c>
      <c r="AD37" s="386">
        <f>ROUND($E$7/(1-AC37),0)</f>
        <v>21429519</v>
      </c>
      <c r="AE37" s="389" t="str">
        <f>IF(OR(OR(AD37=AD31,AD37=(AD31+1)),AD37=(AD31-1)),"yes","not yet")</f>
        <v>not yet</v>
      </c>
      <c r="AF37" s="387">
        <f>100*(1-AC37)</f>
        <v>92.492695887245503</v>
      </c>
      <c r="AI37" s="389">
        <v>1</v>
      </c>
      <c r="AJ37" s="386">
        <f>AD4</f>
        <v>21344103.843280707</v>
      </c>
      <c r="AK37" s="386">
        <f>AD10</f>
        <v>21501287.966159571</v>
      </c>
      <c r="AL37" s="386">
        <f>AD16</f>
        <v>21493185.256309729</v>
      </c>
      <c r="AM37" s="386">
        <f>AD22</f>
        <v>21493600.537625741</v>
      </c>
      <c r="AN37" s="386">
        <f>AD28</f>
        <v>21493579.247243747</v>
      </c>
      <c r="AO37" s="386">
        <f>AD34</f>
        <v>21493580</v>
      </c>
      <c r="AP37" s="386">
        <f>AD40</f>
        <v>21493580</v>
      </c>
      <c r="AQ37" s="386">
        <f>AD46</f>
        <v>21493580</v>
      </c>
      <c r="AR37" s="386">
        <f>AD52</f>
        <v>21493580</v>
      </c>
    </row>
    <row r="38" spans="3:44">
      <c r="C38" s="1144" t="s">
        <v>2592</v>
      </c>
      <c r="D38" s="1142">
        <f>E5-D37</f>
        <v>73126.980203275103</v>
      </c>
      <c r="AA38" s="387"/>
      <c r="AI38" s="389">
        <v>2</v>
      </c>
      <c r="AJ38" s="386">
        <f>AD5</f>
        <v>21315481.129247766</v>
      </c>
      <c r="AK38" s="386">
        <f>AD11</f>
        <v>21470582.449965119</v>
      </c>
      <c r="AL38" s="386">
        <f>AD17</f>
        <v>21462751.47467348</v>
      </c>
      <c r="AM38" s="386">
        <f>AD23</f>
        <v>21463144.608889781</v>
      </c>
      <c r="AN38" s="386">
        <f>AD29</f>
        <v>21463124.866922542</v>
      </c>
      <c r="AO38" s="386">
        <f>AD35</f>
        <v>21463126</v>
      </c>
      <c r="AP38" s="386">
        <f>AD41</f>
        <v>21463126</v>
      </c>
      <c r="AQ38" s="386">
        <f>AD47</f>
        <v>21463126</v>
      </c>
      <c r="AR38" s="386">
        <f>AD53</f>
        <v>21463126</v>
      </c>
    </row>
    <row r="39" spans="3:44">
      <c r="C39" s="1144"/>
      <c r="V39" s="382" t="s">
        <v>1084</v>
      </c>
      <c r="W39" s="383" t="s">
        <v>1032</v>
      </c>
      <c r="X39" s="383" t="s">
        <v>1033</v>
      </c>
      <c r="Y39" s="383" t="s">
        <v>1034</v>
      </c>
      <c r="AA39" s="387"/>
      <c r="AI39" s="389">
        <v>3</v>
      </c>
      <c r="AJ39" s="386">
        <f>AD6</f>
        <v>21296243.611710895</v>
      </c>
      <c r="AK39" s="386">
        <f>AD12</f>
        <v>21449914.426462214</v>
      </c>
      <c r="AL39" s="386">
        <f>AD18</f>
        <v>21442265.293911666</v>
      </c>
      <c r="AM39" s="386">
        <f>AD24</f>
        <v>21442643.894373324</v>
      </c>
      <c r="AN39" s="386">
        <f>AD30</f>
        <v>21442625.149964008</v>
      </c>
      <c r="AO39" s="386">
        <f>AD36</f>
        <v>21442626</v>
      </c>
      <c r="AP39" s="386">
        <f>AD42</f>
        <v>21442626</v>
      </c>
      <c r="AQ39" s="386">
        <f>AD48</f>
        <v>21442626</v>
      </c>
      <c r="AR39" s="386">
        <f>AD54</f>
        <v>21442626</v>
      </c>
    </row>
    <row r="40" spans="3:44" ht="14.25">
      <c r="C40" s="1145" t="s">
        <v>2593</v>
      </c>
      <c r="D40" s="1147">
        <f>E5/D35</f>
        <v>3.553611937551375E-2</v>
      </c>
      <c r="V40" s="387">
        <f>100*(+AD34/$E$8)</f>
        <v>353.15812387135827</v>
      </c>
      <c r="W40" s="393">
        <f>EXP(5.7226-(0.68367*LN(+V40)))</f>
        <v>5.5376244375445909</v>
      </c>
      <c r="X40" s="388">
        <f>(+W40*V40)/100</f>
        <v>19.556570570674332</v>
      </c>
      <c r="Y40" s="387">
        <f>100*((((X40/100)-((X40/100)-0.03574)*$E$20)-0.03574-0.00619)/0.344)</f>
        <v>28.864815629782147</v>
      </c>
      <c r="Z40" s="389">
        <f>+$E$19</f>
        <v>0.25</v>
      </c>
      <c r="AA40" s="387">
        <f>Y40+Z40</f>
        <v>29.114815629782147</v>
      </c>
      <c r="AB40" s="387">
        <f>100*($E$16*$E$18+($E$17*(AA40/100))/(1-$E$20))</f>
        <v>27.486212079449267</v>
      </c>
      <c r="AC40" s="388">
        <f>AB40/V40</f>
        <v>7.7829760159960029E-2</v>
      </c>
      <c r="AD40" s="386">
        <f>ROUND($E$7/(1-AC40),0)</f>
        <v>21493580</v>
      </c>
      <c r="AE40" s="389" t="str">
        <f>IF(OR(OR(AD40=AD34,AD40=(AD34+1)),AD40=(AD26-1)),"yes","not yet")</f>
        <v>yes</v>
      </c>
      <c r="AF40" s="387">
        <f>100*(1-AC40)</f>
        <v>92.217023984004001</v>
      </c>
      <c r="AI40" s="389">
        <v>4</v>
      </c>
      <c r="AJ40" s="386">
        <f>AD7</f>
        <v>21283956.164497063</v>
      </c>
      <c r="AK40" s="386">
        <f>AD13</f>
        <v>21436700.402441725</v>
      </c>
      <c r="AL40" s="386">
        <f>AD19</f>
        <v>21429167.05250245</v>
      </c>
      <c r="AM40" s="386">
        <f>AD25</f>
        <v>21429536.518842973</v>
      </c>
      <c r="AN40" s="386">
        <f>AD31</f>
        <v>21429518.393700864</v>
      </c>
      <c r="AO40" s="386">
        <f>AD37</f>
        <v>21429519</v>
      </c>
      <c r="AP40" s="386">
        <f>AD43</f>
        <v>21429519</v>
      </c>
      <c r="AQ40" s="386">
        <f>AD49</f>
        <v>21429519</v>
      </c>
      <c r="AR40" s="386">
        <f>AD55</f>
        <v>21429519</v>
      </c>
    </row>
    <row r="41" spans="3:44">
      <c r="C41" s="1144"/>
      <c r="V41" s="387">
        <f>100*(+AD35/$E$8)</f>
        <v>352.65773829090222</v>
      </c>
      <c r="W41" s="393">
        <f>EXP(5.70827-(0.68367*LN(+V41)))</f>
        <v>5.464130348053585</v>
      </c>
      <c r="X41" s="388">
        <f>(+W41*V41)/100</f>
        <v>19.269678502712576</v>
      </c>
      <c r="Y41" s="387">
        <f>100*((((X41/100)-((X41/100)-0.03574)*$E$20)-0.03574-0.00619)/0.344)</f>
        <v>28.314383173809016</v>
      </c>
      <c r="Z41" s="389">
        <f>+$E$19</f>
        <v>0.25</v>
      </c>
      <c r="AA41" s="387">
        <f>Y41+Z41</f>
        <v>28.564383173809016</v>
      </c>
      <c r="AB41" s="387">
        <f>100*($E$16*$E$18+($E$17*(AA41/100))/(1-$E$20))</f>
        <v>26.985818937655516</v>
      </c>
      <c r="AC41" s="388">
        <f>AB41/V41</f>
        <v>7.6521272632320086E-2</v>
      </c>
      <c r="AD41" s="386">
        <f>ROUND($E$7/(1-AC41),0)</f>
        <v>21463126</v>
      </c>
      <c r="AE41" s="389" t="str">
        <f>IF(OR(OR(AD41=AD35,AD41=(AD35+1)),AD41=(AD35-1)),"yes","not yet")</f>
        <v>yes</v>
      </c>
      <c r="AF41" s="387">
        <f>100*(1-AC41)</f>
        <v>92.347872736767982</v>
      </c>
    </row>
    <row r="42" spans="3:44">
      <c r="C42" s="1144" t="s">
        <v>2594</v>
      </c>
      <c r="D42" s="1141">
        <f>(D35*D40)-E5</f>
        <v>0</v>
      </c>
      <c r="V42" s="387">
        <f>100*(+AD36/$E$8)</f>
        <v>352.32090554645652</v>
      </c>
      <c r="W42" s="393">
        <f>EXP(5.6985-(0.68367*LN(V42)))</f>
        <v>5.4145419141053193</v>
      </c>
      <c r="X42" s="388">
        <f>(+W42*V42)/100</f>
        <v>19.076563102968301</v>
      </c>
      <c r="Y42" s="387">
        <f>100*((((X42/100)-((X42/100)-0.03574)*$E$20)-0.03574-0.00619)/0.344)</f>
        <v>27.943871069648491</v>
      </c>
      <c r="Z42" s="389">
        <f>+$E$19</f>
        <v>0.25</v>
      </c>
      <c r="AA42" s="387">
        <f>Y42+Z42</f>
        <v>28.193871069648491</v>
      </c>
      <c r="AB42" s="387">
        <f>100*($E$16*$E$18+($E$17*(AA42/100))/(1-$E$20))</f>
        <v>26.648989752055037</v>
      </c>
      <c r="AC42" s="388">
        <f>AB42/V42</f>
        <v>7.5638400482429341E-2</v>
      </c>
      <c r="AD42" s="386">
        <f>ROUND($E$7/(1-AC42),0)</f>
        <v>21442626</v>
      </c>
      <c r="AE42" s="389" t="str">
        <f>IF(OR(OR(AD42=AD36,AD42=(AD36+1)),AD42=(AD36-1)),"yes","not yet")</f>
        <v>yes</v>
      </c>
      <c r="AF42" s="387">
        <f>100*(1-AC42)</f>
        <v>92.436159951757062</v>
      </c>
      <c r="AJ42" s="382" t="s">
        <v>1081</v>
      </c>
    </row>
    <row r="43" spans="3:44">
      <c r="V43" s="387">
        <f>100*(+AD37/$E$8)</f>
        <v>352.1055461912639</v>
      </c>
      <c r="W43" s="393">
        <f>EXP(5.6922-(0.68367*LN(V43)))</f>
        <v>5.3827872079577279</v>
      </c>
      <c r="X43" s="388">
        <f>(+W43*V43)/100</f>
        <v>18.95309229889304</v>
      </c>
      <c r="Y43" s="387">
        <f>100*((((X43/100)-((X43/100)-0.03574)*$E$20)-0.03574-0.00619)/0.344)</f>
        <v>27.706979410666875</v>
      </c>
      <c r="Z43" s="389">
        <f>+$E$19</f>
        <v>0.25</v>
      </c>
      <c r="AA43" s="387">
        <f>Y43+Z43</f>
        <v>27.956979410666875</v>
      </c>
      <c r="AB43" s="387">
        <f>100*($E$16*$E$18+($E$17*(AA43/100))/(1-$E$20))</f>
        <v>26.433633698435386</v>
      </c>
      <c r="AC43" s="388">
        <f>AB43/V43</f>
        <v>7.5073039843787701E-2</v>
      </c>
      <c r="AD43" s="386">
        <f>ROUND($E$7/(1-AC43),0)</f>
        <v>21429519</v>
      </c>
      <c r="AE43" s="389" t="str">
        <f>IF(OR(OR(AD43=AD37,AD43=(AD37+1)),AD43=(AD37-1)),"yes","not yet")</f>
        <v>yes</v>
      </c>
      <c r="AF43" s="387">
        <f>100*(1-AC43)</f>
        <v>92.492696015621235</v>
      </c>
      <c r="AJ43" s="386">
        <f>HLOOKUP($AJ$33,$AJ$36:$AR$40,$E$11+1)</f>
        <v>21429519</v>
      </c>
    </row>
    <row r="44" spans="3:44">
      <c r="AA44" s="387"/>
    </row>
    <row r="45" spans="3:44">
      <c r="D45" s="386"/>
      <c r="E45" s="386"/>
      <c r="F45" s="386"/>
      <c r="V45" s="382" t="s">
        <v>1085</v>
      </c>
      <c r="W45" s="383" t="s">
        <v>1032</v>
      </c>
      <c r="X45" s="383" t="s">
        <v>1033</v>
      </c>
      <c r="Y45" s="383" t="s">
        <v>1034</v>
      </c>
      <c r="AA45" s="387"/>
    </row>
    <row r="46" spans="3:44">
      <c r="D46" s="386"/>
      <c r="E46" s="386"/>
      <c r="F46" s="386"/>
      <c r="V46" s="387">
        <f>100*(+AD40/$E$8)</f>
        <v>353.15812387135827</v>
      </c>
      <c r="W46" s="393">
        <f>EXP(5.7226-(0.68367*LN(+V46)))</f>
        <v>5.5376244375445909</v>
      </c>
      <c r="X46" s="388">
        <f>(+W46*V46)/100</f>
        <v>19.556570570674332</v>
      </c>
      <c r="Y46" s="387">
        <f>100*((((X46/100)-((X46/100)-0.03574)*$E$20)-0.03574-0.00619)/0.344)</f>
        <v>28.864815629782147</v>
      </c>
      <c r="Z46" s="389">
        <f>+$E$19</f>
        <v>0.25</v>
      </c>
      <c r="AA46" s="387">
        <f>Y46+Z46</f>
        <v>29.114815629782147</v>
      </c>
      <c r="AB46" s="387">
        <f>100*($E$16*$E$18+($E$17*(AA46/100))/(1-$E$20))</f>
        <v>27.486212079449267</v>
      </c>
      <c r="AC46" s="388">
        <f>AB46/V46</f>
        <v>7.7829760159960029E-2</v>
      </c>
      <c r="AD46" s="386">
        <f>ROUND($E$7/(1-AC46),0)</f>
        <v>21493580</v>
      </c>
      <c r="AE46" s="389" t="str">
        <f>IF(OR(OR(AD46=AD40,AD46=(AD40+1)),AD46=(AD32-1)),"yes","not yet")</f>
        <v>yes</v>
      </c>
      <c r="AF46" s="387">
        <f>100*(1-AC46)</f>
        <v>92.217023984004001</v>
      </c>
    </row>
    <row r="47" spans="3:44">
      <c r="V47" s="387">
        <f>100*(+AD41/$E$8)</f>
        <v>352.65773829090222</v>
      </c>
      <c r="W47" s="393">
        <f>EXP(5.70827-(0.68367*LN(+V47)))</f>
        <v>5.464130348053585</v>
      </c>
      <c r="X47" s="388">
        <f>(+W47*V47)/100</f>
        <v>19.269678502712576</v>
      </c>
      <c r="Y47" s="387">
        <f>100*((((X47/100)-((X47/100)-0.03574)*$E$20)-0.03574-0.00619)/0.344)</f>
        <v>28.314383173809016</v>
      </c>
      <c r="Z47" s="389">
        <f>+$E$19</f>
        <v>0.25</v>
      </c>
      <c r="AA47" s="387">
        <f>Y47+Z47</f>
        <v>28.564383173809016</v>
      </c>
      <c r="AB47" s="387">
        <f>100*($E$16*$E$18+($E$17*(AA47/100))/(1-$E$20))</f>
        <v>26.985818937655516</v>
      </c>
      <c r="AC47" s="388">
        <f>AB47/V47</f>
        <v>7.6521272632320086E-2</v>
      </c>
      <c r="AD47" s="386">
        <f>ROUND($E$7/(1-AC47),0)</f>
        <v>21463126</v>
      </c>
      <c r="AE47" s="389" t="str">
        <f>IF(OR(OR(AD47=AD41,AD47=(AD41+1)),AD47=(AD41-1)),"yes","not yet")</f>
        <v>yes</v>
      </c>
      <c r="AF47" s="387">
        <f>100*(1-AC47)</f>
        <v>92.347872736767982</v>
      </c>
    </row>
    <row r="48" spans="3:44">
      <c r="V48" s="387">
        <f>100*(+AD42/$E$8)</f>
        <v>352.32090554645652</v>
      </c>
      <c r="W48" s="393">
        <f>EXP(5.6985-(0.68367*LN(V48)))</f>
        <v>5.4145419141053193</v>
      </c>
      <c r="X48" s="388">
        <f>(+W48*V48)/100</f>
        <v>19.076563102968301</v>
      </c>
      <c r="Y48" s="387">
        <f>100*((((X48/100)-((X48/100)-0.03574)*$E$20)-0.03574-0.00619)/0.344)</f>
        <v>27.943871069648491</v>
      </c>
      <c r="Z48" s="389">
        <f>+$E$19</f>
        <v>0.25</v>
      </c>
      <c r="AA48" s="387">
        <f>Y48+Z48</f>
        <v>28.193871069648491</v>
      </c>
      <c r="AB48" s="387">
        <f>100*($E$16*$E$18+($E$17*(AA48/100))/(1-$E$20))</f>
        <v>26.648989752055037</v>
      </c>
      <c r="AC48" s="388">
        <f>AB48/V48</f>
        <v>7.5638400482429341E-2</v>
      </c>
      <c r="AD48" s="386">
        <f>ROUND($E$7/(1-AC48),0)</f>
        <v>21442626</v>
      </c>
      <c r="AE48" s="389" t="str">
        <f>IF(OR(OR(AD48=AD42,AD48=(AD42+1)),AD48=(AD42-1)),"yes","not yet")</f>
        <v>yes</v>
      </c>
      <c r="AF48" s="387">
        <f>100*(1-AC48)</f>
        <v>92.436159951757062</v>
      </c>
    </row>
    <row r="49" spans="22:32">
      <c r="V49" s="387">
        <f>100*(+AD43/$E$8)</f>
        <v>352.1055461912639</v>
      </c>
      <c r="W49" s="393">
        <f>EXP(5.6922-(0.68367*LN(V49)))</f>
        <v>5.3827872079577279</v>
      </c>
      <c r="X49" s="388">
        <f>(+W49*V49)/100</f>
        <v>18.95309229889304</v>
      </c>
      <c r="Y49" s="387">
        <f>100*((((X49/100)-((X49/100)-0.03574)*$E$20)-0.03574-0.00619)/0.344)</f>
        <v>27.706979410666875</v>
      </c>
      <c r="Z49" s="389">
        <f>+$E$19</f>
        <v>0.25</v>
      </c>
      <c r="AA49" s="387">
        <f>Y49+Z49</f>
        <v>27.956979410666875</v>
      </c>
      <c r="AB49" s="387">
        <f>100*($E$16*$E$18+($E$17*(AA49/100))/(1-$E$20))</f>
        <v>26.433633698435386</v>
      </c>
      <c r="AC49" s="388">
        <f>AB49/V49</f>
        <v>7.5073039843787701E-2</v>
      </c>
      <c r="AD49" s="386">
        <f>ROUND($E$7/(1-AC49),0)</f>
        <v>21429519</v>
      </c>
      <c r="AE49" s="389" t="str">
        <f>IF(OR(OR(AD49=AD43,AD49=(AD43+1)),AD49=(AD43-1)),"yes","not yet")</f>
        <v>yes</v>
      </c>
      <c r="AF49" s="387">
        <f>100*(1-AC49)</f>
        <v>92.492696015621235</v>
      </c>
    </row>
    <row r="50" spans="22:32">
      <c r="AA50" s="387"/>
    </row>
    <row r="51" spans="22:32">
      <c r="V51" s="382" t="s">
        <v>1086</v>
      </c>
      <c r="W51" s="383" t="s">
        <v>1032</v>
      </c>
      <c r="X51" s="383" t="s">
        <v>1033</v>
      </c>
      <c r="Y51" s="383" t="s">
        <v>1034</v>
      </c>
      <c r="AA51" s="387"/>
    </row>
    <row r="52" spans="22:32">
      <c r="V52" s="387">
        <f>100*(+AD46/$E$8)</f>
        <v>353.15812387135827</v>
      </c>
      <c r="W52" s="393">
        <f>EXP(5.7226-(0.68367*LN(+V52)))</f>
        <v>5.5376244375445909</v>
      </c>
      <c r="X52" s="388">
        <f>(+W52*V52)/100</f>
        <v>19.556570570674332</v>
      </c>
      <c r="Y52" s="387">
        <f>100*((((X52/100)-((X52/100)-0.03574)*$E$20)-0.03574-0.00619)/0.344)</f>
        <v>28.864815629782147</v>
      </c>
      <c r="Z52" s="389">
        <f>+$E$19</f>
        <v>0.25</v>
      </c>
      <c r="AA52" s="387">
        <f>Y52+Z52</f>
        <v>29.114815629782147</v>
      </c>
      <c r="AB52" s="387">
        <f>100*($E$16*$E$18+($E$17*(AA52/100))/(1-$E$20))</f>
        <v>27.486212079449267</v>
      </c>
      <c r="AC52" s="388">
        <f>AB52/V52</f>
        <v>7.7829760159960029E-2</v>
      </c>
      <c r="AD52" s="386">
        <f>ROUND($E$7/(1-AC52),0)</f>
        <v>21493580</v>
      </c>
      <c r="AE52" s="389" t="str">
        <f>IF(OR(OR(AD52=AD46,AD52=(AD46+1)),AD52=(AD38-1)),"yes","not yet")</f>
        <v>yes</v>
      </c>
      <c r="AF52" s="387">
        <f>100*(1-AC52)</f>
        <v>92.217023984004001</v>
      </c>
    </row>
    <row r="53" spans="22:32">
      <c r="V53" s="387">
        <f>100*(+AD47/$E$8)</f>
        <v>352.65773829090222</v>
      </c>
      <c r="W53" s="393">
        <f>EXP(5.70827-(0.68367*LN(+V53)))</f>
        <v>5.464130348053585</v>
      </c>
      <c r="X53" s="388">
        <f>(+W53*V53)/100</f>
        <v>19.269678502712576</v>
      </c>
      <c r="Y53" s="387">
        <f>100*((((X53/100)-((X53/100)-0.03574)*$E$20)-0.03574-0.00619)/0.344)</f>
        <v>28.314383173809016</v>
      </c>
      <c r="Z53" s="389">
        <f>+$E$19</f>
        <v>0.25</v>
      </c>
      <c r="AA53" s="387">
        <f>Y53+Z53</f>
        <v>28.564383173809016</v>
      </c>
      <c r="AB53" s="387">
        <f>100*($E$16*$E$18+($E$17*(AA53/100))/(1-$E$20))</f>
        <v>26.985818937655516</v>
      </c>
      <c r="AC53" s="388">
        <f>AB53/V53</f>
        <v>7.6521272632320086E-2</v>
      </c>
      <c r="AD53" s="386">
        <f>ROUND($E$7/(1-AC53),0)</f>
        <v>21463126</v>
      </c>
      <c r="AE53" s="389" t="str">
        <f>IF(OR(OR(AD53=AD47,AD53=(AD47+1)),AD53=(AD47-1)),"yes","not yet")</f>
        <v>yes</v>
      </c>
      <c r="AF53" s="387">
        <f>100*(1-AC53)</f>
        <v>92.347872736767982</v>
      </c>
    </row>
    <row r="54" spans="22:32">
      <c r="V54" s="387">
        <f>100*(+AD48/$E$8)</f>
        <v>352.32090554645652</v>
      </c>
      <c r="W54" s="393">
        <f>EXP(5.6985-(0.68367*LN(V54)))</f>
        <v>5.4145419141053193</v>
      </c>
      <c r="X54" s="388">
        <f>(+W54*V54)/100</f>
        <v>19.076563102968301</v>
      </c>
      <c r="Y54" s="387">
        <f>100*((((X54/100)-((X54/100)-0.03574)*$E$20)-0.03574-0.00619)/0.344)</f>
        <v>27.943871069648491</v>
      </c>
      <c r="Z54" s="389">
        <f>+$E$19</f>
        <v>0.25</v>
      </c>
      <c r="AA54" s="387">
        <f>Y54+Z54</f>
        <v>28.193871069648491</v>
      </c>
      <c r="AB54" s="387">
        <f>100*($E$16*$E$18+($E$17*(AA54/100))/(1-$E$20))</f>
        <v>26.648989752055037</v>
      </c>
      <c r="AC54" s="388">
        <f>AB54/V54</f>
        <v>7.5638400482429341E-2</v>
      </c>
      <c r="AD54" s="386">
        <f>ROUND($E$7/(1-AC54),0)</f>
        <v>21442626</v>
      </c>
      <c r="AE54" s="389" t="str">
        <f>IF(OR(OR(AD54=AD48,AD54=(AD48+1)),AD54=(AD48-1)),"yes","not yet")</f>
        <v>yes</v>
      </c>
      <c r="AF54" s="387">
        <f>100*(1-AC54)</f>
        <v>92.436159951757062</v>
      </c>
    </row>
    <row r="55" spans="22:32">
      <c r="V55" s="387">
        <f>100*(+AD49/$E$8)</f>
        <v>352.1055461912639</v>
      </c>
      <c r="W55" s="393">
        <f>EXP(5.6922-(0.68367*LN(V55)))</f>
        <v>5.3827872079577279</v>
      </c>
      <c r="X55" s="388">
        <f>(+W55*V55)/100</f>
        <v>18.95309229889304</v>
      </c>
      <c r="Y55" s="387">
        <f>100*((((X55/100)-((X55/100)-0.03574)*$E$20)-0.03574-0.00619)/0.344)</f>
        <v>27.706979410666875</v>
      </c>
      <c r="Z55" s="389">
        <f>+$E$19</f>
        <v>0.25</v>
      </c>
      <c r="AA55" s="387">
        <f>Y55+Z55</f>
        <v>27.956979410666875</v>
      </c>
      <c r="AB55" s="387">
        <f>100*($E$16*$E$18+($E$17*(AA55/100))/(1-$E$20))</f>
        <v>26.433633698435386</v>
      </c>
      <c r="AC55" s="388">
        <f>AB55/V55</f>
        <v>7.5073039843787701E-2</v>
      </c>
      <c r="AD55" s="386">
        <f>ROUND($E$7/(1-AC55),0)</f>
        <v>21429519</v>
      </c>
      <c r="AE55" s="389" t="str">
        <f>IF(OR(OR(AD55=AD49,AD55=(AD49+1)),AD55=(AD49-1)),"yes","not yet")</f>
        <v>yes</v>
      </c>
      <c r="AF55" s="387">
        <f>100*(1-AC55)</f>
        <v>92.492696015621235</v>
      </c>
    </row>
    <row r="56" spans="22:32">
      <c r="AA56" s="387"/>
    </row>
    <row r="58" spans="22:32">
      <c r="V58" s="387"/>
      <c r="W58" s="393"/>
      <c r="X58" s="388"/>
      <c r="Y58" s="387"/>
      <c r="AB58" s="387"/>
      <c r="AC58" s="388"/>
      <c r="AD58" s="386"/>
    </row>
    <row r="59" spans="22:32">
      <c r="V59" s="387"/>
      <c r="W59" s="393"/>
      <c r="X59" s="388"/>
      <c r="Y59" s="387"/>
      <c r="AB59" s="387"/>
      <c r="AC59" s="388"/>
      <c r="AD59" s="386"/>
    </row>
    <row r="60" spans="22:32">
      <c r="V60" s="387"/>
      <c r="W60" s="393"/>
      <c r="X60" s="388"/>
      <c r="Y60" s="387"/>
      <c r="AB60" s="387"/>
      <c r="AC60" s="388"/>
      <c r="AD60" s="386"/>
    </row>
    <row r="61" spans="22:32">
      <c r="V61" s="387"/>
      <c r="W61" s="393"/>
      <c r="X61" s="388"/>
      <c r="Y61" s="387"/>
      <c r="AB61" s="387"/>
      <c r="AC61" s="388"/>
      <c r="AD61" s="386"/>
    </row>
    <row r="64" spans="22:32">
      <c r="V64" s="387"/>
      <c r="W64" s="393"/>
      <c r="X64" s="388"/>
      <c r="Y64" s="387"/>
      <c r="AB64" s="387"/>
      <c r="AC64" s="388"/>
      <c r="AD64" s="386"/>
    </row>
    <row r="65" spans="22:30">
      <c r="V65" s="387"/>
      <c r="W65" s="393"/>
      <c r="X65" s="388"/>
      <c r="Y65" s="387"/>
      <c r="AB65" s="387"/>
      <c r="AC65" s="388"/>
      <c r="AD65" s="386"/>
    </row>
    <row r="66" spans="22:30">
      <c r="V66" s="387"/>
      <c r="W66" s="393"/>
      <c r="X66" s="388"/>
      <c r="Y66" s="387"/>
      <c r="AB66" s="387"/>
      <c r="AC66" s="388"/>
      <c r="AD66" s="386"/>
    </row>
    <row r="67" spans="22:30">
      <c r="V67" s="387"/>
      <c r="W67" s="393"/>
      <c r="X67" s="388"/>
      <c r="Y67" s="387"/>
      <c r="AB67" s="387"/>
      <c r="AC67" s="388"/>
      <c r="AD67" s="386"/>
    </row>
    <row r="70" spans="22:30">
      <c r="V70" s="387"/>
      <c r="W70" s="393"/>
      <c r="X70" s="388"/>
      <c r="Y70" s="387"/>
      <c r="AB70" s="387"/>
      <c r="AC70" s="388"/>
      <c r="AD70" s="386"/>
    </row>
    <row r="71" spans="22:30">
      <c r="V71" s="387"/>
      <c r="W71" s="393"/>
      <c r="X71" s="388"/>
      <c r="Y71" s="387"/>
      <c r="AB71" s="387"/>
      <c r="AC71" s="388"/>
      <c r="AD71" s="386"/>
    </row>
    <row r="72" spans="22:30">
      <c r="V72" s="387"/>
      <c r="W72" s="393"/>
      <c r="X72" s="388"/>
      <c r="Y72" s="387"/>
      <c r="AB72" s="387"/>
      <c r="AC72" s="388"/>
      <c r="AD72" s="386"/>
    </row>
    <row r="73" spans="22:30">
      <c r="V73" s="387"/>
      <c r="W73" s="393"/>
      <c r="X73" s="388"/>
      <c r="Y73" s="387"/>
      <c r="AB73" s="387"/>
      <c r="AC73" s="388"/>
      <c r="AD73" s="386"/>
    </row>
    <row r="76" spans="22:30">
      <c r="V76" s="387"/>
      <c r="W76" s="393"/>
      <c r="X76" s="388"/>
      <c r="Y76" s="387"/>
      <c r="AB76" s="387"/>
      <c r="AC76" s="388"/>
      <c r="AD76" s="386"/>
    </row>
    <row r="77" spans="22:30">
      <c r="V77" s="387"/>
      <c r="W77" s="393"/>
      <c r="X77" s="388"/>
      <c r="Y77" s="387"/>
      <c r="AB77" s="387"/>
      <c r="AC77" s="388"/>
      <c r="AD77" s="386"/>
    </row>
    <row r="78" spans="22:30">
      <c r="V78" s="387"/>
      <c r="W78" s="393"/>
      <c r="X78" s="388"/>
      <c r="Y78" s="387"/>
      <c r="AB78" s="387"/>
      <c r="AC78" s="388"/>
      <c r="AD78" s="386"/>
    </row>
    <row r="79" spans="22:30">
      <c r="V79" s="387"/>
      <c r="W79" s="393"/>
      <c r="X79" s="388"/>
      <c r="Y79" s="387"/>
      <c r="AB79" s="387"/>
      <c r="AC79" s="388"/>
      <c r="AD79" s="386"/>
    </row>
    <row r="82" spans="22:30">
      <c r="V82" s="387"/>
      <c r="W82" s="393"/>
      <c r="X82" s="388"/>
      <c r="Y82" s="387"/>
      <c r="AB82" s="387"/>
      <c r="AC82" s="388"/>
      <c r="AD82" s="386"/>
    </row>
    <row r="83" spans="22:30">
      <c r="V83" s="387"/>
      <c r="W83" s="393"/>
      <c r="X83" s="388"/>
      <c r="Y83" s="387"/>
      <c r="AB83" s="387"/>
      <c r="AC83" s="388"/>
      <c r="AD83" s="386"/>
    </row>
    <row r="84" spans="22:30">
      <c r="V84" s="387"/>
      <c r="W84" s="393"/>
      <c r="X84" s="388"/>
      <c r="Y84" s="387"/>
      <c r="AB84" s="387"/>
      <c r="AC84" s="388"/>
      <c r="AD84" s="386"/>
    </row>
    <row r="85" spans="22:30">
      <c r="V85" s="387"/>
      <c r="W85" s="393"/>
      <c r="X85" s="388"/>
      <c r="Y85" s="387"/>
      <c r="AB85" s="387"/>
      <c r="AC85" s="388"/>
      <c r="AD85" s="386"/>
    </row>
    <row r="88" spans="22:30">
      <c r="V88" s="387"/>
      <c r="W88" s="393"/>
      <c r="X88" s="388"/>
      <c r="Y88" s="387"/>
      <c r="AB88" s="387"/>
      <c r="AC88" s="388"/>
      <c r="AD88" s="386"/>
    </row>
    <row r="89" spans="22:30">
      <c r="V89" s="387"/>
      <c r="W89" s="393"/>
      <c r="X89" s="388"/>
      <c r="Y89" s="387"/>
      <c r="AB89" s="387"/>
      <c r="AC89" s="388"/>
      <c r="AD89" s="386"/>
    </row>
    <row r="90" spans="22:30">
      <c r="V90" s="387"/>
      <c r="W90" s="393"/>
      <c r="X90" s="388"/>
      <c r="Y90" s="387"/>
      <c r="AB90" s="387"/>
      <c r="AC90" s="388"/>
      <c r="AD90" s="386"/>
    </row>
    <row r="91" spans="22:30">
      <c r="V91" s="387"/>
      <c r="W91" s="393"/>
      <c r="X91" s="388"/>
      <c r="Y91" s="387"/>
      <c r="AB91" s="387"/>
      <c r="AC91" s="388"/>
      <c r="AD91" s="386"/>
    </row>
  </sheetData>
  <printOptions gridLinesSet="0"/>
  <pageMargins left="0.75" right="0.5" top="1.5" bottom="0.55000000000000004" header="0.5" footer="0.5"/>
  <pageSetup scale="80" orientation="portrait" r:id="rId1"/>
  <headerFooter alignWithMargins="0">
    <oddFooter xml:space="preserve">&amp;L&amp;F - &amp;A
&amp;RPage &amp;P of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T529"/>
  <sheetViews>
    <sheetView showGridLines="0" view="pageBreakPreview" topLeftCell="A338" zoomScaleNormal="100" zoomScaleSheetLayoutView="100" workbookViewId="0">
      <selection activeCell="AI26" sqref="AI26"/>
    </sheetView>
  </sheetViews>
  <sheetFormatPr defaultColWidth="11.42578125" defaultRowHeight="10.5"/>
  <cols>
    <col min="1" max="1" width="29.85546875" style="293" customWidth="1"/>
    <col min="2" max="2" width="10.7109375" style="294" bestFit="1" customWidth="1"/>
    <col min="3" max="3" width="2.28515625" style="294" customWidth="1"/>
    <col min="4" max="4" width="10.28515625" style="294" bestFit="1" customWidth="1"/>
    <col min="5" max="5" width="1.5703125" style="293" customWidth="1"/>
    <col min="6" max="6" width="10.7109375" style="295" customWidth="1"/>
    <col min="7" max="7" width="1.5703125" style="296" customWidth="1"/>
    <col min="8" max="8" width="11.42578125" style="296" customWidth="1"/>
    <col min="9" max="9" width="11.7109375" style="294" customWidth="1"/>
    <col min="10" max="10" width="10.5703125" style="294" customWidth="1"/>
    <col min="11" max="11" width="8.7109375" style="293" customWidth="1"/>
    <col min="12" max="12" width="4.5703125" style="294" customWidth="1"/>
    <col min="13" max="13" width="12.140625" style="293" customWidth="1"/>
    <col min="14" max="20" width="4.5703125" style="293" customWidth="1"/>
    <col min="21" max="256" width="11.42578125" style="293"/>
    <col min="257" max="257" width="24.28515625" style="293" customWidth="1"/>
    <col min="258" max="258" width="11.42578125" style="293" customWidth="1"/>
    <col min="259" max="259" width="1.5703125" style="293" customWidth="1"/>
    <col min="260" max="260" width="10.7109375" style="293" customWidth="1"/>
    <col min="261" max="261" width="1.5703125" style="293" customWidth="1"/>
    <col min="262" max="262" width="11.42578125" style="293" customWidth="1"/>
    <col min="263" max="263" width="11.7109375" style="293" customWidth="1"/>
    <col min="264" max="264" width="10.28515625" style="293" customWidth="1"/>
    <col min="265" max="265" width="10.7109375" style="293" customWidth="1"/>
    <col min="266" max="266" width="10.5703125" style="293" customWidth="1"/>
    <col min="267" max="267" width="8.7109375" style="293" customWidth="1"/>
    <col min="268" max="276" width="4.5703125" style="293" customWidth="1"/>
    <col min="277" max="512" width="11.42578125" style="293"/>
    <col min="513" max="513" width="24.28515625" style="293" customWidth="1"/>
    <col min="514" max="514" width="11.42578125" style="293" customWidth="1"/>
    <col min="515" max="515" width="1.5703125" style="293" customWidth="1"/>
    <col min="516" max="516" width="10.7109375" style="293" customWidth="1"/>
    <col min="517" max="517" width="1.5703125" style="293" customWidth="1"/>
    <col min="518" max="518" width="11.42578125" style="293" customWidth="1"/>
    <col min="519" max="519" width="11.7109375" style="293" customWidth="1"/>
    <col min="520" max="520" width="10.28515625" style="293" customWidth="1"/>
    <col min="521" max="521" width="10.7109375" style="293" customWidth="1"/>
    <col min="522" max="522" width="10.5703125" style="293" customWidth="1"/>
    <col min="523" max="523" width="8.7109375" style="293" customWidth="1"/>
    <col min="524" max="532" width="4.5703125" style="293" customWidth="1"/>
    <col min="533" max="768" width="11.42578125" style="293"/>
    <col min="769" max="769" width="24.28515625" style="293" customWidth="1"/>
    <col min="770" max="770" width="11.42578125" style="293" customWidth="1"/>
    <col min="771" max="771" width="1.5703125" style="293" customWidth="1"/>
    <col min="772" max="772" width="10.7109375" style="293" customWidth="1"/>
    <col min="773" max="773" width="1.5703125" style="293" customWidth="1"/>
    <col min="774" max="774" width="11.42578125" style="293" customWidth="1"/>
    <col min="775" max="775" width="11.7109375" style="293" customWidth="1"/>
    <col min="776" max="776" width="10.28515625" style="293" customWidth="1"/>
    <col min="777" max="777" width="10.7109375" style="293" customWidth="1"/>
    <col min="778" max="778" width="10.5703125" style="293" customWidth="1"/>
    <col min="779" max="779" width="8.7109375" style="293" customWidth="1"/>
    <col min="780" max="788" width="4.5703125" style="293" customWidth="1"/>
    <col min="789" max="1024" width="11.42578125" style="293"/>
    <col min="1025" max="1025" width="24.28515625" style="293" customWidth="1"/>
    <col min="1026" max="1026" width="11.42578125" style="293" customWidth="1"/>
    <col min="1027" max="1027" width="1.5703125" style="293" customWidth="1"/>
    <col min="1028" max="1028" width="10.7109375" style="293" customWidth="1"/>
    <col min="1029" max="1029" width="1.5703125" style="293" customWidth="1"/>
    <col min="1030" max="1030" width="11.42578125" style="293" customWidth="1"/>
    <col min="1031" max="1031" width="11.7109375" style="293" customWidth="1"/>
    <col min="1032" max="1032" width="10.28515625" style="293" customWidth="1"/>
    <col min="1033" max="1033" width="10.7109375" style="293" customWidth="1"/>
    <col min="1034" max="1034" width="10.5703125" style="293" customWidth="1"/>
    <col min="1035" max="1035" width="8.7109375" style="293" customWidth="1"/>
    <col min="1036" max="1044" width="4.5703125" style="293" customWidth="1"/>
    <col min="1045" max="1280" width="11.42578125" style="293"/>
    <col min="1281" max="1281" width="24.28515625" style="293" customWidth="1"/>
    <col min="1282" max="1282" width="11.42578125" style="293" customWidth="1"/>
    <col min="1283" max="1283" width="1.5703125" style="293" customWidth="1"/>
    <col min="1284" max="1284" width="10.7109375" style="293" customWidth="1"/>
    <col min="1285" max="1285" width="1.5703125" style="293" customWidth="1"/>
    <col min="1286" max="1286" width="11.42578125" style="293" customWidth="1"/>
    <col min="1287" max="1287" width="11.7109375" style="293" customWidth="1"/>
    <col min="1288" max="1288" width="10.28515625" style="293" customWidth="1"/>
    <col min="1289" max="1289" width="10.7109375" style="293" customWidth="1"/>
    <col min="1290" max="1290" width="10.5703125" style="293" customWidth="1"/>
    <col min="1291" max="1291" width="8.7109375" style="293" customWidth="1"/>
    <col min="1292" max="1300" width="4.5703125" style="293" customWidth="1"/>
    <col min="1301" max="1536" width="11.42578125" style="293"/>
    <col min="1537" max="1537" width="24.28515625" style="293" customWidth="1"/>
    <col min="1538" max="1538" width="11.42578125" style="293" customWidth="1"/>
    <col min="1539" max="1539" width="1.5703125" style="293" customWidth="1"/>
    <col min="1540" max="1540" width="10.7109375" style="293" customWidth="1"/>
    <col min="1541" max="1541" width="1.5703125" style="293" customWidth="1"/>
    <col min="1542" max="1542" width="11.42578125" style="293" customWidth="1"/>
    <col min="1543" max="1543" width="11.7109375" style="293" customWidth="1"/>
    <col min="1544" max="1544" width="10.28515625" style="293" customWidth="1"/>
    <col min="1545" max="1545" width="10.7109375" style="293" customWidth="1"/>
    <col min="1546" max="1546" width="10.5703125" style="293" customWidth="1"/>
    <col min="1547" max="1547" width="8.7109375" style="293" customWidth="1"/>
    <col min="1548" max="1556" width="4.5703125" style="293" customWidth="1"/>
    <col min="1557" max="1792" width="11.42578125" style="293"/>
    <col min="1793" max="1793" width="24.28515625" style="293" customWidth="1"/>
    <col min="1794" max="1794" width="11.42578125" style="293" customWidth="1"/>
    <col min="1795" max="1795" width="1.5703125" style="293" customWidth="1"/>
    <col min="1796" max="1796" width="10.7109375" style="293" customWidth="1"/>
    <col min="1797" max="1797" width="1.5703125" style="293" customWidth="1"/>
    <col min="1798" max="1798" width="11.42578125" style="293" customWidth="1"/>
    <col min="1799" max="1799" width="11.7109375" style="293" customWidth="1"/>
    <col min="1800" max="1800" width="10.28515625" style="293" customWidth="1"/>
    <col min="1801" max="1801" width="10.7109375" style="293" customWidth="1"/>
    <col min="1802" max="1802" width="10.5703125" style="293" customWidth="1"/>
    <col min="1803" max="1803" width="8.7109375" style="293" customWidth="1"/>
    <col min="1804" max="1812" width="4.5703125" style="293" customWidth="1"/>
    <col min="1813" max="2048" width="11.42578125" style="293"/>
    <col min="2049" max="2049" width="24.28515625" style="293" customWidth="1"/>
    <col min="2050" max="2050" width="11.42578125" style="293" customWidth="1"/>
    <col min="2051" max="2051" width="1.5703125" style="293" customWidth="1"/>
    <col min="2052" max="2052" width="10.7109375" style="293" customWidth="1"/>
    <col min="2053" max="2053" width="1.5703125" style="293" customWidth="1"/>
    <col min="2054" max="2054" width="11.42578125" style="293" customWidth="1"/>
    <col min="2055" max="2055" width="11.7109375" style="293" customWidth="1"/>
    <col min="2056" max="2056" width="10.28515625" style="293" customWidth="1"/>
    <col min="2057" max="2057" width="10.7109375" style="293" customWidth="1"/>
    <col min="2058" max="2058" width="10.5703125" style="293" customWidth="1"/>
    <col min="2059" max="2059" width="8.7109375" style="293" customWidth="1"/>
    <col min="2060" max="2068" width="4.5703125" style="293" customWidth="1"/>
    <col min="2069" max="2304" width="11.42578125" style="293"/>
    <col min="2305" max="2305" width="24.28515625" style="293" customWidth="1"/>
    <col min="2306" max="2306" width="11.42578125" style="293" customWidth="1"/>
    <col min="2307" max="2307" width="1.5703125" style="293" customWidth="1"/>
    <col min="2308" max="2308" width="10.7109375" style="293" customWidth="1"/>
    <col min="2309" max="2309" width="1.5703125" style="293" customWidth="1"/>
    <col min="2310" max="2310" width="11.42578125" style="293" customWidth="1"/>
    <col min="2311" max="2311" width="11.7109375" style="293" customWidth="1"/>
    <col min="2312" max="2312" width="10.28515625" style="293" customWidth="1"/>
    <col min="2313" max="2313" width="10.7109375" style="293" customWidth="1"/>
    <col min="2314" max="2314" width="10.5703125" style="293" customWidth="1"/>
    <col min="2315" max="2315" width="8.7109375" style="293" customWidth="1"/>
    <col min="2316" max="2324" width="4.5703125" style="293" customWidth="1"/>
    <col min="2325" max="2560" width="11.42578125" style="293"/>
    <col min="2561" max="2561" width="24.28515625" style="293" customWidth="1"/>
    <col min="2562" max="2562" width="11.42578125" style="293" customWidth="1"/>
    <col min="2563" max="2563" width="1.5703125" style="293" customWidth="1"/>
    <col min="2564" max="2564" width="10.7109375" style="293" customWidth="1"/>
    <col min="2565" max="2565" width="1.5703125" style="293" customWidth="1"/>
    <col min="2566" max="2566" width="11.42578125" style="293" customWidth="1"/>
    <col min="2567" max="2567" width="11.7109375" style="293" customWidth="1"/>
    <col min="2568" max="2568" width="10.28515625" style="293" customWidth="1"/>
    <col min="2569" max="2569" width="10.7109375" style="293" customWidth="1"/>
    <col min="2570" max="2570" width="10.5703125" style="293" customWidth="1"/>
    <col min="2571" max="2571" width="8.7109375" style="293" customWidth="1"/>
    <col min="2572" max="2580" width="4.5703125" style="293" customWidth="1"/>
    <col min="2581" max="2816" width="11.42578125" style="293"/>
    <col min="2817" max="2817" width="24.28515625" style="293" customWidth="1"/>
    <col min="2818" max="2818" width="11.42578125" style="293" customWidth="1"/>
    <col min="2819" max="2819" width="1.5703125" style="293" customWidth="1"/>
    <col min="2820" max="2820" width="10.7109375" style="293" customWidth="1"/>
    <col min="2821" max="2821" width="1.5703125" style="293" customWidth="1"/>
    <col min="2822" max="2822" width="11.42578125" style="293" customWidth="1"/>
    <col min="2823" max="2823" width="11.7109375" style="293" customWidth="1"/>
    <col min="2824" max="2824" width="10.28515625" style="293" customWidth="1"/>
    <col min="2825" max="2825" width="10.7109375" style="293" customWidth="1"/>
    <col min="2826" max="2826" width="10.5703125" style="293" customWidth="1"/>
    <col min="2827" max="2827" width="8.7109375" style="293" customWidth="1"/>
    <col min="2828" max="2836" width="4.5703125" style="293" customWidth="1"/>
    <col min="2837" max="3072" width="11.42578125" style="293"/>
    <col min="3073" max="3073" width="24.28515625" style="293" customWidth="1"/>
    <col min="3074" max="3074" width="11.42578125" style="293" customWidth="1"/>
    <col min="3075" max="3075" width="1.5703125" style="293" customWidth="1"/>
    <col min="3076" max="3076" width="10.7109375" style="293" customWidth="1"/>
    <col min="3077" max="3077" width="1.5703125" style="293" customWidth="1"/>
    <col min="3078" max="3078" width="11.42578125" style="293" customWidth="1"/>
    <col min="3079" max="3079" width="11.7109375" style="293" customWidth="1"/>
    <col min="3080" max="3080" width="10.28515625" style="293" customWidth="1"/>
    <col min="3081" max="3081" width="10.7109375" style="293" customWidth="1"/>
    <col min="3082" max="3082" width="10.5703125" style="293" customWidth="1"/>
    <col min="3083" max="3083" width="8.7109375" style="293" customWidth="1"/>
    <col min="3084" max="3092" width="4.5703125" style="293" customWidth="1"/>
    <col min="3093" max="3328" width="11.42578125" style="293"/>
    <col min="3329" max="3329" width="24.28515625" style="293" customWidth="1"/>
    <col min="3330" max="3330" width="11.42578125" style="293" customWidth="1"/>
    <col min="3331" max="3331" width="1.5703125" style="293" customWidth="1"/>
    <col min="3332" max="3332" width="10.7109375" style="293" customWidth="1"/>
    <col min="3333" max="3333" width="1.5703125" style="293" customWidth="1"/>
    <col min="3334" max="3334" width="11.42578125" style="293" customWidth="1"/>
    <col min="3335" max="3335" width="11.7109375" style="293" customWidth="1"/>
    <col min="3336" max="3336" width="10.28515625" style="293" customWidth="1"/>
    <col min="3337" max="3337" width="10.7109375" style="293" customWidth="1"/>
    <col min="3338" max="3338" width="10.5703125" style="293" customWidth="1"/>
    <col min="3339" max="3339" width="8.7109375" style="293" customWidth="1"/>
    <col min="3340" max="3348" width="4.5703125" style="293" customWidth="1"/>
    <col min="3349" max="3584" width="11.42578125" style="293"/>
    <col min="3585" max="3585" width="24.28515625" style="293" customWidth="1"/>
    <col min="3586" max="3586" width="11.42578125" style="293" customWidth="1"/>
    <col min="3587" max="3587" width="1.5703125" style="293" customWidth="1"/>
    <col min="3588" max="3588" width="10.7109375" style="293" customWidth="1"/>
    <col min="3589" max="3589" width="1.5703125" style="293" customWidth="1"/>
    <col min="3590" max="3590" width="11.42578125" style="293" customWidth="1"/>
    <col min="3591" max="3591" width="11.7109375" style="293" customWidth="1"/>
    <col min="3592" max="3592" width="10.28515625" style="293" customWidth="1"/>
    <col min="3593" max="3593" width="10.7109375" style="293" customWidth="1"/>
    <col min="3594" max="3594" width="10.5703125" style="293" customWidth="1"/>
    <col min="3595" max="3595" width="8.7109375" style="293" customWidth="1"/>
    <col min="3596" max="3604" width="4.5703125" style="293" customWidth="1"/>
    <col min="3605" max="3840" width="11.42578125" style="293"/>
    <col min="3841" max="3841" width="24.28515625" style="293" customWidth="1"/>
    <col min="3842" max="3842" width="11.42578125" style="293" customWidth="1"/>
    <col min="3843" max="3843" width="1.5703125" style="293" customWidth="1"/>
    <col min="3844" max="3844" width="10.7109375" style="293" customWidth="1"/>
    <col min="3845" max="3845" width="1.5703125" style="293" customWidth="1"/>
    <col min="3846" max="3846" width="11.42578125" style="293" customWidth="1"/>
    <col min="3847" max="3847" width="11.7109375" style="293" customWidth="1"/>
    <col min="3848" max="3848" width="10.28515625" style="293" customWidth="1"/>
    <col min="3849" max="3849" width="10.7109375" style="293" customWidth="1"/>
    <col min="3850" max="3850" width="10.5703125" style="293" customWidth="1"/>
    <col min="3851" max="3851" width="8.7109375" style="293" customWidth="1"/>
    <col min="3852" max="3860" width="4.5703125" style="293" customWidth="1"/>
    <col min="3861" max="4096" width="11.42578125" style="293"/>
    <col min="4097" max="4097" width="24.28515625" style="293" customWidth="1"/>
    <col min="4098" max="4098" width="11.42578125" style="293" customWidth="1"/>
    <col min="4099" max="4099" width="1.5703125" style="293" customWidth="1"/>
    <col min="4100" max="4100" width="10.7109375" style="293" customWidth="1"/>
    <col min="4101" max="4101" width="1.5703125" style="293" customWidth="1"/>
    <col min="4102" max="4102" width="11.42578125" style="293" customWidth="1"/>
    <col min="4103" max="4103" width="11.7109375" style="293" customWidth="1"/>
    <col min="4104" max="4104" width="10.28515625" style="293" customWidth="1"/>
    <col min="4105" max="4105" width="10.7109375" style="293" customWidth="1"/>
    <col min="4106" max="4106" width="10.5703125" style="293" customWidth="1"/>
    <col min="4107" max="4107" width="8.7109375" style="293" customWidth="1"/>
    <col min="4108" max="4116" width="4.5703125" style="293" customWidth="1"/>
    <col min="4117" max="4352" width="11.42578125" style="293"/>
    <col min="4353" max="4353" width="24.28515625" style="293" customWidth="1"/>
    <col min="4354" max="4354" width="11.42578125" style="293" customWidth="1"/>
    <col min="4355" max="4355" width="1.5703125" style="293" customWidth="1"/>
    <col min="4356" max="4356" width="10.7109375" style="293" customWidth="1"/>
    <col min="4357" max="4357" width="1.5703125" style="293" customWidth="1"/>
    <col min="4358" max="4358" width="11.42578125" style="293" customWidth="1"/>
    <col min="4359" max="4359" width="11.7109375" style="293" customWidth="1"/>
    <col min="4360" max="4360" width="10.28515625" style="293" customWidth="1"/>
    <col min="4361" max="4361" width="10.7109375" style="293" customWidth="1"/>
    <col min="4362" max="4362" width="10.5703125" style="293" customWidth="1"/>
    <col min="4363" max="4363" width="8.7109375" style="293" customWidth="1"/>
    <col min="4364" max="4372" width="4.5703125" style="293" customWidth="1"/>
    <col min="4373" max="4608" width="11.42578125" style="293"/>
    <col min="4609" max="4609" width="24.28515625" style="293" customWidth="1"/>
    <col min="4610" max="4610" width="11.42578125" style="293" customWidth="1"/>
    <col min="4611" max="4611" width="1.5703125" style="293" customWidth="1"/>
    <col min="4612" max="4612" width="10.7109375" style="293" customWidth="1"/>
    <col min="4613" max="4613" width="1.5703125" style="293" customWidth="1"/>
    <col min="4614" max="4614" width="11.42578125" style="293" customWidth="1"/>
    <col min="4615" max="4615" width="11.7109375" style="293" customWidth="1"/>
    <col min="4616" max="4616" width="10.28515625" style="293" customWidth="1"/>
    <col min="4617" max="4617" width="10.7109375" style="293" customWidth="1"/>
    <col min="4618" max="4618" width="10.5703125" style="293" customWidth="1"/>
    <col min="4619" max="4619" width="8.7109375" style="293" customWidth="1"/>
    <col min="4620" max="4628" width="4.5703125" style="293" customWidth="1"/>
    <col min="4629" max="4864" width="11.42578125" style="293"/>
    <col min="4865" max="4865" width="24.28515625" style="293" customWidth="1"/>
    <col min="4866" max="4866" width="11.42578125" style="293" customWidth="1"/>
    <col min="4867" max="4867" width="1.5703125" style="293" customWidth="1"/>
    <col min="4868" max="4868" width="10.7109375" style="293" customWidth="1"/>
    <col min="4869" max="4869" width="1.5703125" style="293" customWidth="1"/>
    <col min="4870" max="4870" width="11.42578125" style="293" customWidth="1"/>
    <col min="4871" max="4871" width="11.7109375" style="293" customWidth="1"/>
    <col min="4872" max="4872" width="10.28515625" style="293" customWidth="1"/>
    <col min="4873" max="4873" width="10.7109375" style="293" customWidth="1"/>
    <col min="4874" max="4874" width="10.5703125" style="293" customWidth="1"/>
    <col min="4875" max="4875" width="8.7109375" style="293" customWidth="1"/>
    <col min="4876" max="4884" width="4.5703125" style="293" customWidth="1"/>
    <col min="4885" max="5120" width="11.42578125" style="293"/>
    <col min="5121" max="5121" width="24.28515625" style="293" customWidth="1"/>
    <col min="5122" max="5122" width="11.42578125" style="293" customWidth="1"/>
    <col min="5123" max="5123" width="1.5703125" style="293" customWidth="1"/>
    <col min="5124" max="5124" width="10.7109375" style="293" customWidth="1"/>
    <col min="5125" max="5125" width="1.5703125" style="293" customWidth="1"/>
    <col min="5126" max="5126" width="11.42578125" style="293" customWidth="1"/>
    <col min="5127" max="5127" width="11.7109375" style="293" customWidth="1"/>
    <col min="5128" max="5128" width="10.28515625" style="293" customWidth="1"/>
    <col min="5129" max="5129" width="10.7109375" style="293" customWidth="1"/>
    <col min="5130" max="5130" width="10.5703125" style="293" customWidth="1"/>
    <col min="5131" max="5131" width="8.7109375" style="293" customWidth="1"/>
    <col min="5132" max="5140" width="4.5703125" style="293" customWidth="1"/>
    <col min="5141" max="5376" width="11.42578125" style="293"/>
    <col min="5377" max="5377" width="24.28515625" style="293" customWidth="1"/>
    <col min="5378" max="5378" width="11.42578125" style="293" customWidth="1"/>
    <col min="5379" max="5379" width="1.5703125" style="293" customWidth="1"/>
    <col min="5380" max="5380" width="10.7109375" style="293" customWidth="1"/>
    <col min="5381" max="5381" width="1.5703125" style="293" customWidth="1"/>
    <col min="5382" max="5382" width="11.42578125" style="293" customWidth="1"/>
    <col min="5383" max="5383" width="11.7109375" style="293" customWidth="1"/>
    <col min="5384" max="5384" width="10.28515625" style="293" customWidth="1"/>
    <col min="5385" max="5385" width="10.7109375" style="293" customWidth="1"/>
    <col min="5386" max="5386" width="10.5703125" style="293" customWidth="1"/>
    <col min="5387" max="5387" width="8.7109375" style="293" customWidth="1"/>
    <col min="5388" max="5396" width="4.5703125" style="293" customWidth="1"/>
    <col min="5397" max="5632" width="11.42578125" style="293"/>
    <col min="5633" max="5633" width="24.28515625" style="293" customWidth="1"/>
    <col min="5634" max="5634" width="11.42578125" style="293" customWidth="1"/>
    <col min="5635" max="5635" width="1.5703125" style="293" customWidth="1"/>
    <col min="5636" max="5636" width="10.7109375" style="293" customWidth="1"/>
    <col min="5637" max="5637" width="1.5703125" style="293" customWidth="1"/>
    <col min="5638" max="5638" width="11.42578125" style="293" customWidth="1"/>
    <col min="5639" max="5639" width="11.7109375" style="293" customWidth="1"/>
    <col min="5640" max="5640" width="10.28515625" style="293" customWidth="1"/>
    <col min="5641" max="5641" width="10.7109375" style="293" customWidth="1"/>
    <col min="5642" max="5642" width="10.5703125" style="293" customWidth="1"/>
    <col min="5643" max="5643" width="8.7109375" style="293" customWidth="1"/>
    <col min="5644" max="5652" width="4.5703125" style="293" customWidth="1"/>
    <col min="5653" max="5888" width="11.42578125" style="293"/>
    <col min="5889" max="5889" width="24.28515625" style="293" customWidth="1"/>
    <col min="5890" max="5890" width="11.42578125" style="293" customWidth="1"/>
    <col min="5891" max="5891" width="1.5703125" style="293" customWidth="1"/>
    <col min="5892" max="5892" width="10.7109375" style="293" customWidth="1"/>
    <col min="5893" max="5893" width="1.5703125" style="293" customWidth="1"/>
    <col min="5894" max="5894" width="11.42578125" style="293" customWidth="1"/>
    <col min="5895" max="5895" width="11.7109375" style="293" customWidth="1"/>
    <col min="5896" max="5896" width="10.28515625" style="293" customWidth="1"/>
    <col min="5897" max="5897" width="10.7109375" style="293" customWidth="1"/>
    <col min="5898" max="5898" width="10.5703125" style="293" customWidth="1"/>
    <col min="5899" max="5899" width="8.7109375" style="293" customWidth="1"/>
    <col min="5900" max="5908" width="4.5703125" style="293" customWidth="1"/>
    <col min="5909" max="6144" width="11.42578125" style="293"/>
    <col min="6145" max="6145" width="24.28515625" style="293" customWidth="1"/>
    <col min="6146" max="6146" width="11.42578125" style="293" customWidth="1"/>
    <col min="6147" max="6147" width="1.5703125" style="293" customWidth="1"/>
    <col min="6148" max="6148" width="10.7109375" style="293" customWidth="1"/>
    <col min="6149" max="6149" width="1.5703125" style="293" customWidth="1"/>
    <col min="6150" max="6150" width="11.42578125" style="293" customWidth="1"/>
    <col min="6151" max="6151" width="11.7109375" style="293" customWidth="1"/>
    <col min="6152" max="6152" width="10.28515625" style="293" customWidth="1"/>
    <col min="6153" max="6153" width="10.7109375" style="293" customWidth="1"/>
    <col min="6154" max="6154" width="10.5703125" style="293" customWidth="1"/>
    <col min="6155" max="6155" width="8.7109375" style="293" customWidth="1"/>
    <col min="6156" max="6164" width="4.5703125" style="293" customWidth="1"/>
    <col min="6165" max="6400" width="11.42578125" style="293"/>
    <col min="6401" max="6401" width="24.28515625" style="293" customWidth="1"/>
    <col min="6402" max="6402" width="11.42578125" style="293" customWidth="1"/>
    <col min="6403" max="6403" width="1.5703125" style="293" customWidth="1"/>
    <col min="6404" max="6404" width="10.7109375" style="293" customWidth="1"/>
    <col min="6405" max="6405" width="1.5703125" style="293" customWidth="1"/>
    <col min="6406" max="6406" width="11.42578125" style="293" customWidth="1"/>
    <col min="6407" max="6407" width="11.7109375" style="293" customWidth="1"/>
    <col min="6408" max="6408" width="10.28515625" style="293" customWidth="1"/>
    <col min="6409" max="6409" width="10.7109375" style="293" customWidth="1"/>
    <col min="6410" max="6410" width="10.5703125" style="293" customWidth="1"/>
    <col min="6411" max="6411" width="8.7109375" style="293" customWidth="1"/>
    <col min="6412" max="6420" width="4.5703125" style="293" customWidth="1"/>
    <col min="6421" max="6656" width="11.42578125" style="293"/>
    <col min="6657" max="6657" width="24.28515625" style="293" customWidth="1"/>
    <col min="6658" max="6658" width="11.42578125" style="293" customWidth="1"/>
    <col min="6659" max="6659" width="1.5703125" style="293" customWidth="1"/>
    <col min="6660" max="6660" width="10.7109375" style="293" customWidth="1"/>
    <col min="6661" max="6661" width="1.5703125" style="293" customWidth="1"/>
    <col min="6662" max="6662" width="11.42578125" style="293" customWidth="1"/>
    <col min="6663" max="6663" width="11.7109375" style="293" customWidth="1"/>
    <col min="6664" max="6664" width="10.28515625" style="293" customWidth="1"/>
    <col min="6665" max="6665" width="10.7109375" style="293" customWidth="1"/>
    <col min="6666" max="6666" width="10.5703125" style="293" customWidth="1"/>
    <col min="6667" max="6667" width="8.7109375" style="293" customWidth="1"/>
    <col min="6668" max="6676" width="4.5703125" style="293" customWidth="1"/>
    <col min="6677" max="6912" width="11.42578125" style="293"/>
    <col min="6913" max="6913" width="24.28515625" style="293" customWidth="1"/>
    <col min="6914" max="6914" width="11.42578125" style="293" customWidth="1"/>
    <col min="6915" max="6915" width="1.5703125" style="293" customWidth="1"/>
    <col min="6916" max="6916" width="10.7109375" style="293" customWidth="1"/>
    <col min="6917" max="6917" width="1.5703125" style="293" customWidth="1"/>
    <col min="6918" max="6918" width="11.42578125" style="293" customWidth="1"/>
    <col min="6919" max="6919" width="11.7109375" style="293" customWidth="1"/>
    <col min="6920" max="6920" width="10.28515625" style="293" customWidth="1"/>
    <col min="6921" max="6921" width="10.7109375" style="293" customWidth="1"/>
    <col min="6922" max="6922" width="10.5703125" style="293" customWidth="1"/>
    <col min="6923" max="6923" width="8.7109375" style="293" customWidth="1"/>
    <col min="6924" max="6932" width="4.5703125" style="293" customWidth="1"/>
    <col min="6933" max="7168" width="11.42578125" style="293"/>
    <col min="7169" max="7169" width="24.28515625" style="293" customWidth="1"/>
    <col min="7170" max="7170" width="11.42578125" style="293" customWidth="1"/>
    <col min="7171" max="7171" width="1.5703125" style="293" customWidth="1"/>
    <col min="7172" max="7172" width="10.7109375" style="293" customWidth="1"/>
    <col min="7173" max="7173" width="1.5703125" style="293" customWidth="1"/>
    <col min="7174" max="7174" width="11.42578125" style="293" customWidth="1"/>
    <col min="7175" max="7175" width="11.7109375" style="293" customWidth="1"/>
    <col min="7176" max="7176" width="10.28515625" style="293" customWidth="1"/>
    <col min="7177" max="7177" width="10.7109375" style="293" customWidth="1"/>
    <col min="7178" max="7178" width="10.5703125" style="293" customWidth="1"/>
    <col min="7179" max="7179" width="8.7109375" style="293" customWidth="1"/>
    <col min="7180" max="7188" width="4.5703125" style="293" customWidth="1"/>
    <col min="7189" max="7424" width="11.42578125" style="293"/>
    <col min="7425" max="7425" width="24.28515625" style="293" customWidth="1"/>
    <col min="7426" max="7426" width="11.42578125" style="293" customWidth="1"/>
    <col min="7427" max="7427" width="1.5703125" style="293" customWidth="1"/>
    <col min="7428" max="7428" width="10.7109375" style="293" customWidth="1"/>
    <col min="7429" max="7429" width="1.5703125" style="293" customWidth="1"/>
    <col min="7430" max="7430" width="11.42578125" style="293" customWidth="1"/>
    <col min="7431" max="7431" width="11.7109375" style="293" customWidth="1"/>
    <col min="7432" max="7432" width="10.28515625" style="293" customWidth="1"/>
    <col min="7433" max="7433" width="10.7109375" style="293" customWidth="1"/>
    <col min="7434" max="7434" width="10.5703125" style="293" customWidth="1"/>
    <col min="7435" max="7435" width="8.7109375" style="293" customWidth="1"/>
    <col min="7436" max="7444" width="4.5703125" style="293" customWidth="1"/>
    <col min="7445" max="7680" width="11.42578125" style="293"/>
    <col min="7681" max="7681" width="24.28515625" style="293" customWidth="1"/>
    <col min="7682" max="7682" width="11.42578125" style="293" customWidth="1"/>
    <col min="7683" max="7683" width="1.5703125" style="293" customWidth="1"/>
    <col min="7684" max="7684" width="10.7109375" style="293" customWidth="1"/>
    <col min="7685" max="7685" width="1.5703125" style="293" customWidth="1"/>
    <col min="7686" max="7686" width="11.42578125" style="293" customWidth="1"/>
    <col min="7687" max="7687" width="11.7109375" style="293" customWidth="1"/>
    <col min="7688" max="7688" width="10.28515625" style="293" customWidth="1"/>
    <col min="7689" max="7689" width="10.7109375" style="293" customWidth="1"/>
    <col min="7690" max="7690" width="10.5703125" style="293" customWidth="1"/>
    <col min="7691" max="7691" width="8.7109375" style="293" customWidth="1"/>
    <col min="7692" max="7700" width="4.5703125" style="293" customWidth="1"/>
    <col min="7701" max="7936" width="11.42578125" style="293"/>
    <col min="7937" max="7937" width="24.28515625" style="293" customWidth="1"/>
    <col min="7938" max="7938" width="11.42578125" style="293" customWidth="1"/>
    <col min="7939" max="7939" width="1.5703125" style="293" customWidth="1"/>
    <col min="7940" max="7940" width="10.7109375" style="293" customWidth="1"/>
    <col min="7941" max="7941" width="1.5703125" style="293" customWidth="1"/>
    <col min="7942" max="7942" width="11.42578125" style="293" customWidth="1"/>
    <col min="7943" max="7943" width="11.7109375" style="293" customWidth="1"/>
    <col min="7944" max="7944" width="10.28515625" style="293" customWidth="1"/>
    <col min="7945" max="7945" width="10.7109375" style="293" customWidth="1"/>
    <col min="7946" max="7946" width="10.5703125" style="293" customWidth="1"/>
    <col min="7947" max="7947" width="8.7109375" style="293" customWidth="1"/>
    <col min="7948" max="7956" width="4.5703125" style="293" customWidth="1"/>
    <col min="7957" max="8192" width="11.42578125" style="293"/>
    <col min="8193" max="8193" width="24.28515625" style="293" customWidth="1"/>
    <col min="8194" max="8194" width="11.42578125" style="293" customWidth="1"/>
    <col min="8195" max="8195" width="1.5703125" style="293" customWidth="1"/>
    <col min="8196" max="8196" width="10.7109375" style="293" customWidth="1"/>
    <col min="8197" max="8197" width="1.5703125" style="293" customWidth="1"/>
    <col min="8198" max="8198" width="11.42578125" style="293" customWidth="1"/>
    <col min="8199" max="8199" width="11.7109375" style="293" customWidth="1"/>
    <col min="8200" max="8200" width="10.28515625" style="293" customWidth="1"/>
    <col min="8201" max="8201" width="10.7109375" style="293" customWidth="1"/>
    <col min="8202" max="8202" width="10.5703125" style="293" customWidth="1"/>
    <col min="8203" max="8203" width="8.7109375" style="293" customWidth="1"/>
    <col min="8204" max="8212" width="4.5703125" style="293" customWidth="1"/>
    <col min="8213" max="8448" width="11.42578125" style="293"/>
    <col min="8449" max="8449" width="24.28515625" style="293" customWidth="1"/>
    <col min="8450" max="8450" width="11.42578125" style="293" customWidth="1"/>
    <col min="8451" max="8451" width="1.5703125" style="293" customWidth="1"/>
    <col min="8452" max="8452" width="10.7109375" style="293" customWidth="1"/>
    <col min="8453" max="8453" width="1.5703125" style="293" customWidth="1"/>
    <col min="8454" max="8454" width="11.42578125" style="293" customWidth="1"/>
    <col min="8455" max="8455" width="11.7109375" style="293" customWidth="1"/>
    <col min="8456" max="8456" width="10.28515625" style="293" customWidth="1"/>
    <col min="8457" max="8457" width="10.7109375" style="293" customWidth="1"/>
    <col min="8458" max="8458" width="10.5703125" style="293" customWidth="1"/>
    <col min="8459" max="8459" width="8.7109375" style="293" customWidth="1"/>
    <col min="8460" max="8468" width="4.5703125" style="293" customWidth="1"/>
    <col min="8469" max="8704" width="11.42578125" style="293"/>
    <col min="8705" max="8705" width="24.28515625" style="293" customWidth="1"/>
    <col min="8706" max="8706" width="11.42578125" style="293" customWidth="1"/>
    <col min="8707" max="8707" width="1.5703125" style="293" customWidth="1"/>
    <col min="8708" max="8708" width="10.7109375" style="293" customWidth="1"/>
    <col min="8709" max="8709" width="1.5703125" style="293" customWidth="1"/>
    <col min="8710" max="8710" width="11.42578125" style="293" customWidth="1"/>
    <col min="8711" max="8711" width="11.7109375" style="293" customWidth="1"/>
    <col min="8712" max="8712" width="10.28515625" style="293" customWidth="1"/>
    <col min="8713" max="8713" width="10.7109375" style="293" customWidth="1"/>
    <col min="8714" max="8714" width="10.5703125" style="293" customWidth="1"/>
    <col min="8715" max="8715" width="8.7109375" style="293" customWidth="1"/>
    <col min="8716" max="8724" width="4.5703125" style="293" customWidth="1"/>
    <col min="8725" max="8960" width="11.42578125" style="293"/>
    <col min="8961" max="8961" width="24.28515625" style="293" customWidth="1"/>
    <col min="8962" max="8962" width="11.42578125" style="293" customWidth="1"/>
    <col min="8963" max="8963" width="1.5703125" style="293" customWidth="1"/>
    <col min="8964" max="8964" width="10.7109375" style="293" customWidth="1"/>
    <col min="8965" max="8965" width="1.5703125" style="293" customWidth="1"/>
    <col min="8966" max="8966" width="11.42578125" style="293" customWidth="1"/>
    <col min="8967" max="8967" width="11.7109375" style="293" customWidth="1"/>
    <col min="8968" max="8968" width="10.28515625" style="293" customWidth="1"/>
    <col min="8969" max="8969" width="10.7109375" style="293" customWidth="1"/>
    <col min="8970" max="8970" width="10.5703125" style="293" customWidth="1"/>
    <col min="8971" max="8971" width="8.7109375" style="293" customWidth="1"/>
    <col min="8972" max="8980" width="4.5703125" style="293" customWidth="1"/>
    <col min="8981" max="9216" width="11.42578125" style="293"/>
    <col min="9217" max="9217" width="24.28515625" style="293" customWidth="1"/>
    <col min="9218" max="9218" width="11.42578125" style="293" customWidth="1"/>
    <col min="9219" max="9219" width="1.5703125" style="293" customWidth="1"/>
    <col min="9220" max="9220" width="10.7109375" style="293" customWidth="1"/>
    <col min="9221" max="9221" width="1.5703125" style="293" customWidth="1"/>
    <col min="9222" max="9222" width="11.42578125" style="293" customWidth="1"/>
    <col min="9223" max="9223" width="11.7109375" style="293" customWidth="1"/>
    <col min="9224" max="9224" width="10.28515625" style="293" customWidth="1"/>
    <col min="9225" max="9225" width="10.7109375" style="293" customWidth="1"/>
    <col min="9226" max="9226" width="10.5703125" style="293" customWidth="1"/>
    <col min="9227" max="9227" width="8.7109375" style="293" customWidth="1"/>
    <col min="9228" max="9236" width="4.5703125" style="293" customWidth="1"/>
    <col min="9237" max="9472" width="11.42578125" style="293"/>
    <col min="9473" max="9473" width="24.28515625" style="293" customWidth="1"/>
    <col min="9474" max="9474" width="11.42578125" style="293" customWidth="1"/>
    <col min="9475" max="9475" width="1.5703125" style="293" customWidth="1"/>
    <col min="9476" max="9476" width="10.7109375" style="293" customWidth="1"/>
    <col min="9477" max="9477" width="1.5703125" style="293" customWidth="1"/>
    <col min="9478" max="9478" width="11.42578125" style="293" customWidth="1"/>
    <col min="9479" max="9479" width="11.7109375" style="293" customWidth="1"/>
    <col min="9480" max="9480" width="10.28515625" style="293" customWidth="1"/>
    <col min="9481" max="9481" width="10.7109375" style="293" customWidth="1"/>
    <col min="9482" max="9482" width="10.5703125" style="293" customWidth="1"/>
    <col min="9483" max="9483" width="8.7109375" style="293" customWidth="1"/>
    <col min="9484" max="9492" width="4.5703125" style="293" customWidth="1"/>
    <col min="9493" max="9728" width="11.42578125" style="293"/>
    <col min="9729" max="9729" width="24.28515625" style="293" customWidth="1"/>
    <col min="9730" max="9730" width="11.42578125" style="293" customWidth="1"/>
    <col min="9731" max="9731" width="1.5703125" style="293" customWidth="1"/>
    <col min="9732" max="9732" width="10.7109375" style="293" customWidth="1"/>
    <col min="9733" max="9733" width="1.5703125" style="293" customWidth="1"/>
    <col min="9734" max="9734" width="11.42578125" style="293" customWidth="1"/>
    <col min="9735" max="9735" width="11.7109375" style="293" customWidth="1"/>
    <col min="9736" max="9736" width="10.28515625" style="293" customWidth="1"/>
    <col min="9737" max="9737" width="10.7109375" style="293" customWidth="1"/>
    <col min="9738" max="9738" width="10.5703125" style="293" customWidth="1"/>
    <col min="9739" max="9739" width="8.7109375" style="293" customWidth="1"/>
    <col min="9740" max="9748" width="4.5703125" style="293" customWidth="1"/>
    <col min="9749" max="9984" width="11.42578125" style="293"/>
    <col min="9985" max="9985" width="24.28515625" style="293" customWidth="1"/>
    <col min="9986" max="9986" width="11.42578125" style="293" customWidth="1"/>
    <col min="9987" max="9987" width="1.5703125" style="293" customWidth="1"/>
    <col min="9988" max="9988" width="10.7109375" style="293" customWidth="1"/>
    <col min="9989" max="9989" width="1.5703125" style="293" customWidth="1"/>
    <col min="9990" max="9990" width="11.42578125" style="293" customWidth="1"/>
    <col min="9991" max="9991" width="11.7109375" style="293" customWidth="1"/>
    <col min="9992" max="9992" width="10.28515625" style="293" customWidth="1"/>
    <col min="9993" max="9993" width="10.7109375" style="293" customWidth="1"/>
    <col min="9994" max="9994" width="10.5703125" style="293" customWidth="1"/>
    <col min="9995" max="9995" width="8.7109375" style="293" customWidth="1"/>
    <col min="9996" max="10004" width="4.5703125" style="293" customWidth="1"/>
    <col min="10005" max="10240" width="11.42578125" style="293"/>
    <col min="10241" max="10241" width="24.28515625" style="293" customWidth="1"/>
    <col min="10242" max="10242" width="11.42578125" style="293" customWidth="1"/>
    <col min="10243" max="10243" width="1.5703125" style="293" customWidth="1"/>
    <col min="10244" max="10244" width="10.7109375" style="293" customWidth="1"/>
    <col min="10245" max="10245" width="1.5703125" style="293" customWidth="1"/>
    <col min="10246" max="10246" width="11.42578125" style="293" customWidth="1"/>
    <col min="10247" max="10247" width="11.7109375" style="293" customWidth="1"/>
    <col min="10248" max="10248" width="10.28515625" style="293" customWidth="1"/>
    <col min="10249" max="10249" width="10.7109375" style="293" customWidth="1"/>
    <col min="10250" max="10250" width="10.5703125" style="293" customWidth="1"/>
    <col min="10251" max="10251" width="8.7109375" style="293" customWidth="1"/>
    <col min="10252" max="10260" width="4.5703125" style="293" customWidth="1"/>
    <col min="10261" max="10496" width="11.42578125" style="293"/>
    <col min="10497" max="10497" width="24.28515625" style="293" customWidth="1"/>
    <col min="10498" max="10498" width="11.42578125" style="293" customWidth="1"/>
    <col min="10499" max="10499" width="1.5703125" style="293" customWidth="1"/>
    <col min="10500" max="10500" width="10.7109375" style="293" customWidth="1"/>
    <col min="10501" max="10501" width="1.5703125" style="293" customWidth="1"/>
    <col min="10502" max="10502" width="11.42578125" style="293" customWidth="1"/>
    <col min="10503" max="10503" width="11.7109375" style="293" customWidth="1"/>
    <col min="10504" max="10504" width="10.28515625" style="293" customWidth="1"/>
    <col min="10505" max="10505" width="10.7109375" style="293" customWidth="1"/>
    <col min="10506" max="10506" width="10.5703125" style="293" customWidth="1"/>
    <col min="10507" max="10507" width="8.7109375" style="293" customWidth="1"/>
    <col min="10508" max="10516" width="4.5703125" style="293" customWidth="1"/>
    <col min="10517" max="10752" width="11.42578125" style="293"/>
    <col min="10753" max="10753" width="24.28515625" style="293" customWidth="1"/>
    <col min="10754" max="10754" width="11.42578125" style="293" customWidth="1"/>
    <col min="10755" max="10755" width="1.5703125" style="293" customWidth="1"/>
    <col min="10756" max="10756" width="10.7109375" style="293" customWidth="1"/>
    <col min="10757" max="10757" width="1.5703125" style="293" customWidth="1"/>
    <col min="10758" max="10758" width="11.42578125" style="293" customWidth="1"/>
    <col min="10759" max="10759" width="11.7109375" style="293" customWidth="1"/>
    <col min="10760" max="10760" width="10.28515625" style="293" customWidth="1"/>
    <col min="10761" max="10761" width="10.7109375" style="293" customWidth="1"/>
    <col min="10762" max="10762" width="10.5703125" style="293" customWidth="1"/>
    <col min="10763" max="10763" width="8.7109375" style="293" customWidth="1"/>
    <col min="10764" max="10772" width="4.5703125" style="293" customWidth="1"/>
    <col min="10773" max="11008" width="11.42578125" style="293"/>
    <col min="11009" max="11009" width="24.28515625" style="293" customWidth="1"/>
    <col min="11010" max="11010" width="11.42578125" style="293" customWidth="1"/>
    <col min="11011" max="11011" width="1.5703125" style="293" customWidth="1"/>
    <col min="11012" max="11012" width="10.7109375" style="293" customWidth="1"/>
    <col min="11013" max="11013" width="1.5703125" style="293" customWidth="1"/>
    <col min="11014" max="11014" width="11.42578125" style="293" customWidth="1"/>
    <col min="11015" max="11015" width="11.7109375" style="293" customWidth="1"/>
    <col min="11016" max="11016" width="10.28515625" style="293" customWidth="1"/>
    <col min="11017" max="11017" width="10.7109375" style="293" customWidth="1"/>
    <col min="11018" max="11018" width="10.5703125" style="293" customWidth="1"/>
    <col min="11019" max="11019" width="8.7109375" style="293" customWidth="1"/>
    <col min="11020" max="11028" width="4.5703125" style="293" customWidth="1"/>
    <col min="11029" max="11264" width="11.42578125" style="293"/>
    <col min="11265" max="11265" width="24.28515625" style="293" customWidth="1"/>
    <col min="11266" max="11266" width="11.42578125" style="293" customWidth="1"/>
    <col min="11267" max="11267" width="1.5703125" style="293" customWidth="1"/>
    <col min="11268" max="11268" width="10.7109375" style="293" customWidth="1"/>
    <col min="11269" max="11269" width="1.5703125" style="293" customWidth="1"/>
    <col min="11270" max="11270" width="11.42578125" style="293" customWidth="1"/>
    <col min="11271" max="11271" width="11.7109375" style="293" customWidth="1"/>
    <col min="11272" max="11272" width="10.28515625" style="293" customWidth="1"/>
    <col min="11273" max="11273" width="10.7109375" style="293" customWidth="1"/>
    <col min="11274" max="11274" width="10.5703125" style="293" customWidth="1"/>
    <col min="11275" max="11275" width="8.7109375" style="293" customWidth="1"/>
    <col min="11276" max="11284" width="4.5703125" style="293" customWidth="1"/>
    <col min="11285" max="11520" width="11.42578125" style="293"/>
    <col min="11521" max="11521" width="24.28515625" style="293" customWidth="1"/>
    <col min="11522" max="11522" width="11.42578125" style="293" customWidth="1"/>
    <col min="11523" max="11523" width="1.5703125" style="293" customWidth="1"/>
    <col min="11524" max="11524" width="10.7109375" style="293" customWidth="1"/>
    <col min="11525" max="11525" width="1.5703125" style="293" customWidth="1"/>
    <col min="11526" max="11526" width="11.42578125" style="293" customWidth="1"/>
    <col min="11527" max="11527" width="11.7109375" style="293" customWidth="1"/>
    <col min="11528" max="11528" width="10.28515625" style="293" customWidth="1"/>
    <col min="11529" max="11529" width="10.7109375" style="293" customWidth="1"/>
    <col min="11530" max="11530" width="10.5703125" style="293" customWidth="1"/>
    <col min="11531" max="11531" width="8.7109375" style="293" customWidth="1"/>
    <col min="11532" max="11540" width="4.5703125" style="293" customWidth="1"/>
    <col min="11541" max="11776" width="11.42578125" style="293"/>
    <col min="11777" max="11777" width="24.28515625" style="293" customWidth="1"/>
    <col min="11778" max="11778" width="11.42578125" style="293" customWidth="1"/>
    <col min="11779" max="11779" width="1.5703125" style="293" customWidth="1"/>
    <col min="11780" max="11780" width="10.7109375" style="293" customWidth="1"/>
    <col min="11781" max="11781" width="1.5703125" style="293" customWidth="1"/>
    <col min="11782" max="11782" width="11.42578125" style="293" customWidth="1"/>
    <col min="11783" max="11783" width="11.7109375" style="293" customWidth="1"/>
    <col min="11784" max="11784" width="10.28515625" style="293" customWidth="1"/>
    <col min="11785" max="11785" width="10.7109375" style="293" customWidth="1"/>
    <col min="11786" max="11786" width="10.5703125" style="293" customWidth="1"/>
    <col min="11787" max="11787" width="8.7109375" style="293" customWidth="1"/>
    <col min="11788" max="11796" width="4.5703125" style="293" customWidth="1"/>
    <col min="11797" max="12032" width="11.42578125" style="293"/>
    <col min="12033" max="12033" width="24.28515625" style="293" customWidth="1"/>
    <col min="12034" max="12034" width="11.42578125" style="293" customWidth="1"/>
    <col min="12035" max="12035" width="1.5703125" style="293" customWidth="1"/>
    <col min="12036" max="12036" width="10.7109375" style="293" customWidth="1"/>
    <col min="12037" max="12037" width="1.5703125" style="293" customWidth="1"/>
    <col min="12038" max="12038" width="11.42578125" style="293" customWidth="1"/>
    <col min="12039" max="12039" width="11.7109375" style="293" customWidth="1"/>
    <col min="12040" max="12040" width="10.28515625" style="293" customWidth="1"/>
    <col min="12041" max="12041" width="10.7109375" style="293" customWidth="1"/>
    <col min="12042" max="12042" width="10.5703125" style="293" customWidth="1"/>
    <col min="12043" max="12043" width="8.7109375" style="293" customWidth="1"/>
    <col min="12044" max="12052" width="4.5703125" style="293" customWidth="1"/>
    <col min="12053" max="12288" width="11.42578125" style="293"/>
    <col min="12289" max="12289" width="24.28515625" style="293" customWidth="1"/>
    <col min="12290" max="12290" width="11.42578125" style="293" customWidth="1"/>
    <col min="12291" max="12291" width="1.5703125" style="293" customWidth="1"/>
    <col min="12292" max="12292" width="10.7109375" style="293" customWidth="1"/>
    <col min="12293" max="12293" width="1.5703125" style="293" customWidth="1"/>
    <col min="12294" max="12294" width="11.42578125" style="293" customWidth="1"/>
    <col min="12295" max="12295" width="11.7109375" style="293" customWidth="1"/>
    <col min="12296" max="12296" width="10.28515625" style="293" customWidth="1"/>
    <col min="12297" max="12297" width="10.7109375" style="293" customWidth="1"/>
    <col min="12298" max="12298" width="10.5703125" style="293" customWidth="1"/>
    <col min="12299" max="12299" width="8.7109375" style="293" customWidth="1"/>
    <col min="12300" max="12308" width="4.5703125" style="293" customWidth="1"/>
    <col min="12309" max="12544" width="11.42578125" style="293"/>
    <col min="12545" max="12545" width="24.28515625" style="293" customWidth="1"/>
    <col min="12546" max="12546" width="11.42578125" style="293" customWidth="1"/>
    <col min="12547" max="12547" width="1.5703125" style="293" customWidth="1"/>
    <col min="12548" max="12548" width="10.7109375" style="293" customWidth="1"/>
    <col min="12549" max="12549" width="1.5703125" style="293" customWidth="1"/>
    <col min="12550" max="12550" width="11.42578125" style="293" customWidth="1"/>
    <col min="12551" max="12551" width="11.7109375" style="293" customWidth="1"/>
    <col min="12552" max="12552" width="10.28515625" style="293" customWidth="1"/>
    <col min="12553" max="12553" width="10.7109375" style="293" customWidth="1"/>
    <col min="12554" max="12554" width="10.5703125" style="293" customWidth="1"/>
    <col min="12555" max="12555" width="8.7109375" style="293" customWidth="1"/>
    <col min="12556" max="12564" width="4.5703125" style="293" customWidth="1"/>
    <col min="12565" max="12800" width="11.42578125" style="293"/>
    <col min="12801" max="12801" width="24.28515625" style="293" customWidth="1"/>
    <col min="12802" max="12802" width="11.42578125" style="293" customWidth="1"/>
    <col min="12803" max="12803" width="1.5703125" style="293" customWidth="1"/>
    <col min="12804" max="12804" width="10.7109375" style="293" customWidth="1"/>
    <col min="12805" max="12805" width="1.5703125" style="293" customWidth="1"/>
    <col min="12806" max="12806" width="11.42578125" style="293" customWidth="1"/>
    <col min="12807" max="12807" width="11.7109375" style="293" customWidth="1"/>
    <col min="12808" max="12808" width="10.28515625" style="293" customWidth="1"/>
    <col min="12809" max="12809" width="10.7109375" style="293" customWidth="1"/>
    <col min="12810" max="12810" width="10.5703125" style="293" customWidth="1"/>
    <col min="12811" max="12811" width="8.7109375" style="293" customWidth="1"/>
    <col min="12812" max="12820" width="4.5703125" style="293" customWidth="1"/>
    <col min="12821" max="13056" width="11.42578125" style="293"/>
    <col min="13057" max="13057" width="24.28515625" style="293" customWidth="1"/>
    <col min="13058" max="13058" width="11.42578125" style="293" customWidth="1"/>
    <col min="13059" max="13059" width="1.5703125" style="293" customWidth="1"/>
    <col min="13060" max="13060" width="10.7109375" style="293" customWidth="1"/>
    <col min="13061" max="13061" width="1.5703125" style="293" customWidth="1"/>
    <col min="13062" max="13062" width="11.42578125" style="293" customWidth="1"/>
    <col min="13063" max="13063" width="11.7109375" style="293" customWidth="1"/>
    <col min="13064" max="13064" width="10.28515625" style="293" customWidth="1"/>
    <col min="13065" max="13065" width="10.7109375" style="293" customWidth="1"/>
    <col min="13066" max="13066" width="10.5703125" style="293" customWidth="1"/>
    <col min="13067" max="13067" width="8.7109375" style="293" customWidth="1"/>
    <col min="13068" max="13076" width="4.5703125" style="293" customWidth="1"/>
    <col min="13077" max="13312" width="11.42578125" style="293"/>
    <col min="13313" max="13313" width="24.28515625" style="293" customWidth="1"/>
    <col min="13314" max="13314" width="11.42578125" style="293" customWidth="1"/>
    <col min="13315" max="13315" width="1.5703125" style="293" customWidth="1"/>
    <col min="13316" max="13316" width="10.7109375" style="293" customWidth="1"/>
    <col min="13317" max="13317" width="1.5703125" style="293" customWidth="1"/>
    <col min="13318" max="13318" width="11.42578125" style="293" customWidth="1"/>
    <col min="13319" max="13319" width="11.7109375" style="293" customWidth="1"/>
    <col min="13320" max="13320" width="10.28515625" style="293" customWidth="1"/>
    <col min="13321" max="13321" width="10.7109375" style="293" customWidth="1"/>
    <col min="13322" max="13322" width="10.5703125" style="293" customWidth="1"/>
    <col min="13323" max="13323" width="8.7109375" style="293" customWidth="1"/>
    <col min="13324" max="13332" width="4.5703125" style="293" customWidth="1"/>
    <col min="13333" max="13568" width="11.42578125" style="293"/>
    <col min="13569" max="13569" width="24.28515625" style="293" customWidth="1"/>
    <col min="13570" max="13570" width="11.42578125" style="293" customWidth="1"/>
    <col min="13571" max="13571" width="1.5703125" style="293" customWidth="1"/>
    <col min="13572" max="13572" width="10.7109375" style="293" customWidth="1"/>
    <col min="13573" max="13573" width="1.5703125" style="293" customWidth="1"/>
    <col min="13574" max="13574" width="11.42578125" style="293" customWidth="1"/>
    <col min="13575" max="13575" width="11.7109375" style="293" customWidth="1"/>
    <col min="13576" max="13576" width="10.28515625" style="293" customWidth="1"/>
    <col min="13577" max="13577" width="10.7109375" style="293" customWidth="1"/>
    <col min="13578" max="13578" width="10.5703125" style="293" customWidth="1"/>
    <col min="13579" max="13579" width="8.7109375" style="293" customWidth="1"/>
    <col min="13580" max="13588" width="4.5703125" style="293" customWidth="1"/>
    <col min="13589" max="13824" width="11.42578125" style="293"/>
    <col min="13825" max="13825" width="24.28515625" style="293" customWidth="1"/>
    <col min="13826" max="13826" width="11.42578125" style="293" customWidth="1"/>
    <col min="13827" max="13827" width="1.5703125" style="293" customWidth="1"/>
    <col min="13828" max="13828" width="10.7109375" style="293" customWidth="1"/>
    <col min="13829" max="13829" width="1.5703125" style="293" customWidth="1"/>
    <col min="13830" max="13830" width="11.42578125" style="293" customWidth="1"/>
    <col min="13831" max="13831" width="11.7109375" style="293" customWidth="1"/>
    <col min="13832" max="13832" width="10.28515625" style="293" customWidth="1"/>
    <col min="13833" max="13833" width="10.7109375" style="293" customWidth="1"/>
    <col min="13834" max="13834" width="10.5703125" style="293" customWidth="1"/>
    <col min="13835" max="13835" width="8.7109375" style="293" customWidth="1"/>
    <col min="13836" max="13844" width="4.5703125" style="293" customWidth="1"/>
    <col min="13845" max="14080" width="11.42578125" style="293"/>
    <col min="14081" max="14081" width="24.28515625" style="293" customWidth="1"/>
    <col min="14082" max="14082" width="11.42578125" style="293" customWidth="1"/>
    <col min="14083" max="14083" width="1.5703125" style="293" customWidth="1"/>
    <col min="14084" max="14084" width="10.7109375" style="293" customWidth="1"/>
    <col min="14085" max="14085" width="1.5703125" style="293" customWidth="1"/>
    <col min="14086" max="14086" width="11.42578125" style="293" customWidth="1"/>
    <col min="14087" max="14087" width="11.7109375" style="293" customWidth="1"/>
    <col min="14088" max="14088" width="10.28515625" style="293" customWidth="1"/>
    <col min="14089" max="14089" width="10.7109375" style="293" customWidth="1"/>
    <col min="14090" max="14090" width="10.5703125" style="293" customWidth="1"/>
    <col min="14091" max="14091" width="8.7109375" style="293" customWidth="1"/>
    <col min="14092" max="14100" width="4.5703125" style="293" customWidth="1"/>
    <col min="14101" max="14336" width="11.42578125" style="293"/>
    <col min="14337" max="14337" width="24.28515625" style="293" customWidth="1"/>
    <col min="14338" max="14338" width="11.42578125" style="293" customWidth="1"/>
    <col min="14339" max="14339" width="1.5703125" style="293" customWidth="1"/>
    <col min="14340" max="14340" width="10.7109375" style="293" customWidth="1"/>
    <col min="14341" max="14341" width="1.5703125" style="293" customWidth="1"/>
    <col min="14342" max="14342" width="11.42578125" style="293" customWidth="1"/>
    <col min="14343" max="14343" width="11.7109375" style="293" customWidth="1"/>
    <col min="14344" max="14344" width="10.28515625" style="293" customWidth="1"/>
    <col min="14345" max="14345" width="10.7109375" style="293" customWidth="1"/>
    <col min="14346" max="14346" width="10.5703125" style="293" customWidth="1"/>
    <col min="14347" max="14347" width="8.7109375" style="293" customWidth="1"/>
    <col min="14348" max="14356" width="4.5703125" style="293" customWidth="1"/>
    <col min="14357" max="14592" width="11.42578125" style="293"/>
    <col min="14593" max="14593" width="24.28515625" style="293" customWidth="1"/>
    <col min="14594" max="14594" width="11.42578125" style="293" customWidth="1"/>
    <col min="14595" max="14595" width="1.5703125" style="293" customWidth="1"/>
    <col min="14596" max="14596" width="10.7109375" style="293" customWidth="1"/>
    <col min="14597" max="14597" width="1.5703125" style="293" customWidth="1"/>
    <col min="14598" max="14598" width="11.42578125" style="293" customWidth="1"/>
    <col min="14599" max="14599" width="11.7109375" style="293" customWidth="1"/>
    <col min="14600" max="14600" width="10.28515625" style="293" customWidth="1"/>
    <col min="14601" max="14601" width="10.7109375" style="293" customWidth="1"/>
    <col min="14602" max="14602" width="10.5703125" style="293" customWidth="1"/>
    <col min="14603" max="14603" width="8.7109375" style="293" customWidth="1"/>
    <col min="14604" max="14612" width="4.5703125" style="293" customWidth="1"/>
    <col min="14613" max="14848" width="11.42578125" style="293"/>
    <col min="14849" max="14849" width="24.28515625" style="293" customWidth="1"/>
    <col min="14850" max="14850" width="11.42578125" style="293" customWidth="1"/>
    <col min="14851" max="14851" width="1.5703125" style="293" customWidth="1"/>
    <col min="14852" max="14852" width="10.7109375" style="293" customWidth="1"/>
    <col min="14853" max="14853" width="1.5703125" style="293" customWidth="1"/>
    <col min="14854" max="14854" width="11.42578125" style="293" customWidth="1"/>
    <col min="14855" max="14855" width="11.7109375" style="293" customWidth="1"/>
    <col min="14856" max="14856" width="10.28515625" style="293" customWidth="1"/>
    <col min="14857" max="14857" width="10.7109375" style="293" customWidth="1"/>
    <col min="14858" max="14858" width="10.5703125" style="293" customWidth="1"/>
    <col min="14859" max="14859" width="8.7109375" style="293" customWidth="1"/>
    <col min="14860" max="14868" width="4.5703125" style="293" customWidth="1"/>
    <col min="14869" max="15104" width="11.42578125" style="293"/>
    <col min="15105" max="15105" width="24.28515625" style="293" customWidth="1"/>
    <col min="15106" max="15106" width="11.42578125" style="293" customWidth="1"/>
    <col min="15107" max="15107" width="1.5703125" style="293" customWidth="1"/>
    <col min="15108" max="15108" width="10.7109375" style="293" customWidth="1"/>
    <col min="15109" max="15109" width="1.5703125" style="293" customWidth="1"/>
    <col min="15110" max="15110" width="11.42578125" style="293" customWidth="1"/>
    <col min="15111" max="15111" width="11.7109375" style="293" customWidth="1"/>
    <col min="15112" max="15112" width="10.28515625" style="293" customWidth="1"/>
    <col min="15113" max="15113" width="10.7109375" style="293" customWidth="1"/>
    <col min="15114" max="15114" width="10.5703125" style="293" customWidth="1"/>
    <col min="15115" max="15115" width="8.7109375" style="293" customWidth="1"/>
    <col min="15116" max="15124" width="4.5703125" style="293" customWidth="1"/>
    <col min="15125" max="15360" width="11.42578125" style="293"/>
    <col min="15361" max="15361" width="24.28515625" style="293" customWidth="1"/>
    <col min="15362" max="15362" width="11.42578125" style="293" customWidth="1"/>
    <col min="15363" max="15363" width="1.5703125" style="293" customWidth="1"/>
    <col min="15364" max="15364" width="10.7109375" style="293" customWidth="1"/>
    <col min="15365" max="15365" width="1.5703125" style="293" customWidth="1"/>
    <col min="15366" max="15366" width="11.42578125" style="293" customWidth="1"/>
    <col min="15367" max="15367" width="11.7109375" style="293" customWidth="1"/>
    <col min="15368" max="15368" width="10.28515625" style="293" customWidth="1"/>
    <col min="15369" max="15369" width="10.7109375" style="293" customWidth="1"/>
    <col min="15370" max="15370" width="10.5703125" style="293" customWidth="1"/>
    <col min="15371" max="15371" width="8.7109375" style="293" customWidth="1"/>
    <col min="15372" max="15380" width="4.5703125" style="293" customWidth="1"/>
    <col min="15381" max="15616" width="11.42578125" style="293"/>
    <col min="15617" max="15617" width="24.28515625" style="293" customWidth="1"/>
    <col min="15618" max="15618" width="11.42578125" style="293" customWidth="1"/>
    <col min="15619" max="15619" width="1.5703125" style="293" customWidth="1"/>
    <col min="15620" max="15620" width="10.7109375" style="293" customWidth="1"/>
    <col min="15621" max="15621" width="1.5703125" style="293" customWidth="1"/>
    <col min="15622" max="15622" width="11.42578125" style="293" customWidth="1"/>
    <col min="15623" max="15623" width="11.7109375" style="293" customWidth="1"/>
    <col min="15624" max="15624" width="10.28515625" style="293" customWidth="1"/>
    <col min="15625" max="15625" width="10.7109375" style="293" customWidth="1"/>
    <col min="15626" max="15626" width="10.5703125" style="293" customWidth="1"/>
    <col min="15627" max="15627" width="8.7109375" style="293" customWidth="1"/>
    <col min="15628" max="15636" width="4.5703125" style="293" customWidth="1"/>
    <col min="15637" max="15872" width="11.42578125" style="293"/>
    <col min="15873" max="15873" width="24.28515625" style="293" customWidth="1"/>
    <col min="15874" max="15874" width="11.42578125" style="293" customWidth="1"/>
    <col min="15875" max="15875" width="1.5703125" style="293" customWidth="1"/>
    <col min="15876" max="15876" width="10.7109375" style="293" customWidth="1"/>
    <col min="15877" max="15877" width="1.5703125" style="293" customWidth="1"/>
    <col min="15878" max="15878" width="11.42578125" style="293" customWidth="1"/>
    <col min="15879" max="15879" width="11.7109375" style="293" customWidth="1"/>
    <col min="15880" max="15880" width="10.28515625" style="293" customWidth="1"/>
    <col min="15881" max="15881" width="10.7109375" style="293" customWidth="1"/>
    <col min="15882" max="15882" width="10.5703125" style="293" customWidth="1"/>
    <col min="15883" max="15883" width="8.7109375" style="293" customWidth="1"/>
    <col min="15884" max="15892" width="4.5703125" style="293" customWidth="1"/>
    <col min="15893" max="16128" width="11.42578125" style="293"/>
    <col min="16129" max="16129" width="24.28515625" style="293" customWidth="1"/>
    <col min="16130" max="16130" width="11.42578125" style="293" customWidth="1"/>
    <col min="16131" max="16131" width="1.5703125" style="293" customWidth="1"/>
    <col min="16132" max="16132" width="10.7109375" style="293" customWidth="1"/>
    <col min="16133" max="16133" width="1.5703125" style="293" customWidth="1"/>
    <col min="16134" max="16134" width="11.42578125" style="293" customWidth="1"/>
    <col min="16135" max="16135" width="11.7109375" style="293" customWidth="1"/>
    <col min="16136" max="16136" width="10.28515625" style="293" customWidth="1"/>
    <col min="16137" max="16137" width="10.7109375" style="293" customWidth="1"/>
    <col min="16138" max="16138" width="10.5703125" style="293" customWidth="1"/>
    <col min="16139" max="16139" width="8.7109375" style="293" customWidth="1"/>
    <col min="16140" max="16148" width="4.5703125" style="293" customWidth="1"/>
    <col min="16149" max="16384" width="11.42578125" style="293"/>
  </cols>
  <sheetData>
    <row r="1" spans="1:12" s="250" customFormat="1" ht="12.75">
      <c r="A1" s="316" t="str">
        <f>+'Vancouver Consolidated IS'!A1</f>
        <v>Waste Connections of Washington, G-253</v>
      </c>
      <c r="B1" s="249"/>
      <c r="C1" s="249"/>
      <c r="D1" s="249"/>
      <c r="F1" s="251" t="s">
        <v>877</v>
      </c>
      <c r="G1" s="252"/>
      <c r="J1" s="249"/>
      <c r="L1" s="249"/>
    </row>
    <row r="2" spans="1:12" s="250" customFormat="1" ht="12.75">
      <c r="A2" s="317" t="str">
        <f>+'Vancouver Consolidated IS'!A3</f>
        <v>Test Period Ending 9-30-2017</v>
      </c>
      <c r="B2" s="249"/>
      <c r="C2" s="249"/>
      <c r="D2" s="249"/>
      <c r="F2" s="251" t="s">
        <v>878</v>
      </c>
      <c r="G2" s="252"/>
      <c r="H2" s="253">
        <f>'LG Regulated'!D40</f>
        <v>3.553611937551375E-2</v>
      </c>
      <c r="L2" s="249"/>
    </row>
    <row r="3" spans="1:12" s="250" customFormat="1" ht="12.75">
      <c r="B3" s="254"/>
      <c r="C3" s="254"/>
      <c r="D3" s="254"/>
      <c r="F3" s="251"/>
      <c r="G3" s="252"/>
      <c r="H3" s="255"/>
      <c r="L3" s="249"/>
    </row>
    <row r="4" spans="1:12" s="250" customFormat="1" ht="12.75">
      <c r="A4" s="256"/>
      <c r="B4" s="257"/>
      <c r="C4" s="257"/>
      <c r="D4" s="257"/>
      <c r="F4" s="251"/>
      <c r="G4" s="252"/>
      <c r="H4" s="255"/>
      <c r="L4" s="249"/>
    </row>
    <row r="5" spans="1:12" s="250" customFormat="1" ht="12.75">
      <c r="A5" s="256"/>
      <c r="B5" s="257"/>
      <c r="C5" s="257"/>
      <c r="D5" s="257"/>
      <c r="F5" s="258"/>
      <c r="G5" s="252"/>
      <c r="J5" s="249"/>
    </row>
    <row r="6" spans="1:12" s="250" customFormat="1" ht="12.75">
      <c r="A6" s="259"/>
      <c r="B6" s="260">
        <v>41955</v>
      </c>
      <c r="C6" s="260"/>
      <c r="D6" s="260" t="s">
        <v>3004</v>
      </c>
      <c r="E6" s="261"/>
      <c r="F6" s="262"/>
      <c r="G6" s="263"/>
      <c r="H6" s="264"/>
      <c r="J6" s="249"/>
    </row>
    <row r="7" spans="1:12" s="250" customFormat="1" ht="12.75">
      <c r="A7" s="259"/>
      <c r="B7" s="260" t="s">
        <v>879</v>
      </c>
      <c r="C7" s="260"/>
      <c r="D7" s="260" t="s">
        <v>3001</v>
      </c>
      <c r="E7" s="261"/>
      <c r="F7" s="264" t="s">
        <v>880</v>
      </c>
      <c r="G7" s="263"/>
      <c r="H7" s="264" t="s">
        <v>880</v>
      </c>
      <c r="J7" s="249"/>
    </row>
    <row r="8" spans="1:12" s="250" customFormat="1" ht="12.75">
      <c r="A8" s="265"/>
      <c r="B8" s="266" t="s">
        <v>881</v>
      </c>
      <c r="C8" s="266"/>
      <c r="D8" s="266" t="s">
        <v>3002</v>
      </c>
      <c r="E8" s="261"/>
      <c r="F8" s="264" t="s">
        <v>882</v>
      </c>
      <c r="G8" s="264"/>
      <c r="H8" s="260">
        <v>43009</v>
      </c>
      <c r="J8" s="249"/>
    </row>
    <row r="9" spans="1:12" s="250" customFormat="1" ht="12.75">
      <c r="A9" s="267"/>
      <c r="B9" s="266" t="s">
        <v>883</v>
      </c>
      <c r="C9" s="266"/>
      <c r="D9" s="1377" t="s">
        <v>3003</v>
      </c>
      <c r="E9" s="261"/>
      <c r="F9" s="264" t="s">
        <v>884</v>
      </c>
      <c r="G9" s="264"/>
      <c r="H9" s="264" t="s">
        <v>883</v>
      </c>
      <c r="J9" s="249"/>
    </row>
    <row r="10" spans="1:12" s="250" customFormat="1" ht="12.75">
      <c r="A10" s="268" t="s">
        <v>971</v>
      </c>
      <c r="B10" s="269"/>
      <c r="C10" s="269"/>
      <c r="D10" s="269"/>
      <c r="E10" s="270"/>
      <c r="F10" s="271"/>
      <c r="G10" s="272"/>
      <c r="H10" s="273"/>
      <c r="J10" s="249"/>
    </row>
    <row r="11" spans="1:12" s="250" customFormat="1" ht="12.75">
      <c r="A11" s="274" t="s">
        <v>885</v>
      </c>
      <c r="B11" s="275">
        <v>25</v>
      </c>
      <c r="C11" s="275"/>
      <c r="D11" s="275"/>
      <c r="E11" s="251"/>
      <c r="F11" s="258">
        <f>B11*$H$2</f>
        <v>0.88840298438784371</v>
      </c>
      <c r="G11" s="276"/>
      <c r="H11" s="249">
        <f>B11+D11+F11</f>
        <v>25.888402984387845</v>
      </c>
      <c r="J11" s="249"/>
    </row>
    <row r="12" spans="1:12" s="250" customFormat="1" ht="12.75">
      <c r="A12" s="277"/>
      <c r="B12" s="278"/>
      <c r="C12" s="278"/>
      <c r="D12" s="278"/>
      <c r="E12" s="251"/>
      <c r="F12" s="279"/>
      <c r="G12" s="276"/>
      <c r="H12" s="249"/>
      <c r="J12" s="249"/>
    </row>
    <row r="13" spans="1:12" s="250" customFormat="1" ht="12.75">
      <c r="A13" s="268" t="s">
        <v>972</v>
      </c>
      <c r="B13" s="280"/>
      <c r="C13" s="280"/>
      <c r="D13" s="280"/>
      <c r="E13" s="270"/>
      <c r="F13" s="271"/>
      <c r="G13" s="272"/>
      <c r="H13" s="273"/>
      <c r="J13" s="249"/>
    </row>
    <row r="14" spans="1:12" s="250" customFormat="1" ht="12.75">
      <c r="A14" s="274" t="s">
        <v>886</v>
      </c>
      <c r="B14" s="275">
        <v>10</v>
      </c>
      <c r="C14" s="275"/>
      <c r="D14" s="275"/>
      <c r="E14" s="251"/>
      <c r="F14" s="258">
        <f>B14*$H$2</f>
        <v>0.35536119375513753</v>
      </c>
      <c r="G14" s="276"/>
      <c r="H14" s="249">
        <f>B14+D14+F14</f>
        <v>10.355361193755137</v>
      </c>
      <c r="J14" s="249"/>
    </row>
    <row r="15" spans="1:12" s="250" customFormat="1" ht="12.75">
      <c r="A15" s="277"/>
      <c r="B15" s="278"/>
      <c r="C15" s="278"/>
      <c r="D15" s="278"/>
      <c r="E15" s="251"/>
      <c r="F15" s="279"/>
      <c r="G15" s="276"/>
      <c r="H15" s="249"/>
      <c r="J15" s="249"/>
    </row>
    <row r="16" spans="1:12" s="250" customFormat="1" ht="12.75">
      <c r="A16" s="268" t="s">
        <v>973</v>
      </c>
      <c r="B16" s="280"/>
      <c r="C16" s="280"/>
      <c r="D16" s="280"/>
      <c r="E16" s="270"/>
      <c r="F16" s="271"/>
      <c r="G16" s="272"/>
      <c r="H16" s="273"/>
      <c r="J16" s="249"/>
    </row>
    <row r="17" spans="1:10" s="250" customFormat="1" ht="12.75">
      <c r="A17" s="274" t="s">
        <v>2999</v>
      </c>
      <c r="B17" s="275">
        <v>31.4</v>
      </c>
      <c r="C17" s="275"/>
      <c r="D17" s="275"/>
      <c r="E17" s="251"/>
      <c r="F17" s="258">
        <f>B17*$H$2</f>
        <v>1.1158341483911316</v>
      </c>
      <c r="G17" s="276"/>
      <c r="H17" s="249">
        <f>B17+D17+F17</f>
        <v>32.515834148391129</v>
      </c>
      <c r="J17" s="249"/>
    </row>
    <row r="18" spans="1:10" s="250" customFormat="1" ht="12.75">
      <c r="A18" s="277"/>
      <c r="B18" s="278"/>
      <c r="C18" s="278"/>
      <c r="D18" s="278"/>
      <c r="E18" s="251"/>
      <c r="F18" s="279"/>
      <c r="G18" s="276"/>
      <c r="H18" s="249"/>
      <c r="J18" s="249"/>
    </row>
    <row r="19" spans="1:10" s="250" customFormat="1" ht="12.75">
      <c r="A19" s="268" t="s">
        <v>974</v>
      </c>
      <c r="B19" s="269"/>
      <c r="C19" s="269"/>
      <c r="D19" s="269"/>
      <c r="E19" s="270"/>
      <c r="F19" s="271"/>
      <c r="G19" s="272"/>
      <c r="H19" s="273"/>
      <c r="J19" s="249"/>
    </row>
    <row r="20" spans="1:10" s="250" customFormat="1" ht="12.75">
      <c r="A20" s="250" t="s">
        <v>887</v>
      </c>
      <c r="B20" s="275">
        <v>4.66</v>
      </c>
      <c r="C20" s="275"/>
      <c r="D20" s="275">
        <f>'[52]Proposed Rates'!$D$11</f>
        <v>5.9515714362638729E-2</v>
      </c>
      <c r="E20" s="281"/>
      <c r="F20" s="258">
        <f>B20*$H$2</f>
        <v>0.16559831628989408</v>
      </c>
      <c r="G20" s="258"/>
      <c r="H20" s="249">
        <f>B20+D20+F20</f>
        <v>4.8851140306525327</v>
      </c>
      <c r="J20" s="249"/>
    </row>
    <row r="21" spans="1:10" s="250" customFormat="1" ht="12.75">
      <c r="B21" s="275"/>
      <c r="C21" s="275"/>
      <c r="D21" s="275"/>
      <c r="E21" s="281"/>
      <c r="F21" s="258"/>
      <c r="G21" s="258"/>
      <c r="H21" s="249"/>
      <c r="J21" s="249"/>
    </row>
    <row r="22" spans="1:10" s="250" customFormat="1" ht="12.75">
      <c r="A22" s="268" t="s">
        <v>975</v>
      </c>
      <c r="B22" s="280"/>
      <c r="C22" s="280"/>
      <c r="D22" s="280"/>
      <c r="E22" s="282"/>
      <c r="F22" s="283"/>
      <c r="G22" s="283"/>
      <c r="H22" s="273"/>
      <c r="J22" s="249"/>
    </row>
    <row r="23" spans="1:10" s="250" customFormat="1" ht="12.75">
      <c r="A23" s="250" t="s">
        <v>888</v>
      </c>
      <c r="B23" s="275">
        <v>55</v>
      </c>
      <c r="C23" s="275"/>
      <c r="D23" s="275"/>
      <c r="E23" s="281"/>
      <c r="F23" s="258">
        <f>B23*$H$2</f>
        <v>1.9544865656532562</v>
      </c>
      <c r="G23" s="258"/>
      <c r="H23" s="249">
        <f t="shared" ref="H23:H24" si="0">B23+D23+F23</f>
        <v>56.954486565653255</v>
      </c>
      <c r="J23" s="249"/>
    </row>
    <row r="24" spans="1:10" s="250" customFormat="1" ht="12.75">
      <c r="A24" s="250" t="s">
        <v>889</v>
      </c>
      <c r="B24" s="275">
        <v>220</v>
      </c>
      <c r="C24" s="275"/>
      <c r="D24" s="275"/>
      <c r="E24" s="281"/>
      <c r="F24" s="258">
        <f>B24*$H$2</f>
        <v>7.8179462626130247</v>
      </c>
      <c r="G24" s="258"/>
      <c r="H24" s="249">
        <f t="shared" si="0"/>
        <v>227.81794626261302</v>
      </c>
      <c r="J24" s="249"/>
    </row>
    <row r="25" spans="1:10" s="250" customFormat="1" ht="12.75">
      <c r="A25" s="251"/>
      <c r="B25" s="275"/>
      <c r="C25" s="275"/>
      <c r="D25" s="275"/>
      <c r="E25" s="281"/>
      <c r="F25" s="258"/>
      <c r="G25" s="258"/>
      <c r="H25" s="249"/>
      <c r="J25" s="249"/>
    </row>
    <row r="26" spans="1:10" s="250" customFormat="1" ht="12.75">
      <c r="A26" s="268" t="s">
        <v>976</v>
      </c>
      <c r="B26" s="280"/>
      <c r="C26" s="280"/>
      <c r="D26" s="280"/>
      <c r="E26" s="282"/>
      <c r="F26" s="283"/>
      <c r="G26" s="283"/>
      <c r="H26" s="273"/>
      <c r="J26" s="249"/>
    </row>
    <row r="27" spans="1:10" s="251" customFormat="1" ht="12.75">
      <c r="A27" s="251" t="s">
        <v>890</v>
      </c>
      <c r="B27" s="284"/>
      <c r="C27" s="284"/>
      <c r="D27" s="284"/>
      <c r="E27" s="285"/>
      <c r="F27" s="279"/>
      <c r="G27" s="279"/>
      <c r="H27" s="286"/>
      <c r="J27" s="286"/>
    </row>
    <row r="28" spans="1:10" s="250" customFormat="1" ht="12.75">
      <c r="A28" s="250" t="s">
        <v>891</v>
      </c>
      <c r="B28" s="275">
        <v>10.5</v>
      </c>
      <c r="C28" s="275"/>
      <c r="D28" s="275"/>
      <c r="E28" s="281"/>
      <c r="F28" s="258">
        <f>B28*$H$2</f>
        <v>0.37312925344289438</v>
      </c>
      <c r="G28" s="258"/>
      <c r="H28" s="249">
        <f t="shared" ref="H28:H31" si="1">B28+D28+F28</f>
        <v>10.873129253442894</v>
      </c>
      <c r="J28" s="249"/>
    </row>
    <row r="29" spans="1:10" s="250" customFormat="1" ht="12.75">
      <c r="A29" s="250" t="s">
        <v>21</v>
      </c>
      <c r="B29" s="275">
        <v>65.2</v>
      </c>
      <c r="C29" s="275"/>
      <c r="D29" s="275"/>
      <c r="E29" s="281"/>
      <c r="F29" s="258">
        <f>B29*$H$2</f>
        <v>2.3169549832834968</v>
      </c>
      <c r="G29" s="258"/>
      <c r="H29" s="249">
        <f t="shared" si="1"/>
        <v>67.516954983283497</v>
      </c>
      <c r="J29" s="249"/>
    </row>
    <row r="30" spans="1:10" s="250" customFormat="1" ht="12.75">
      <c r="A30" s="250" t="s">
        <v>930</v>
      </c>
      <c r="B30" s="275">
        <v>31.4</v>
      </c>
      <c r="C30" s="275"/>
      <c r="D30" s="275"/>
      <c r="E30" s="281"/>
      <c r="F30" s="258">
        <f>B30*$H$2</f>
        <v>1.1158341483911316</v>
      </c>
      <c r="G30" s="258"/>
      <c r="H30" s="249">
        <f t="shared" si="1"/>
        <v>32.515834148391129</v>
      </c>
      <c r="J30" s="249"/>
    </row>
    <row r="31" spans="1:10" s="250" customFormat="1" ht="12.75">
      <c r="A31" s="250" t="s">
        <v>892</v>
      </c>
      <c r="B31" s="275">
        <v>9.25</v>
      </c>
      <c r="C31" s="275"/>
      <c r="D31" s="275"/>
      <c r="E31" s="281"/>
      <c r="F31" s="258">
        <f>B31*$H$2</f>
        <v>0.32870910422350219</v>
      </c>
      <c r="G31" s="258"/>
      <c r="H31" s="249">
        <f t="shared" si="1"/>
        <v>9.5787091042235026</v>
      </c>
      <c r="J31" s="249"/>
    </row>
    <row r="32" spans="1:10" s="250" customFormat="1" ht="12.75">
      <c r="B32" s="275"/>
      <c r="C32" s="275"/>
      <c r="D32" s="275"/>
      <c r="E32" s="281"/>
      <c r="F32" s="258"/>
      <c r="G32" s="258"/>
      <c r="H32" s="249"/>
      <c r="J32" s="249"/>
    </row>
    <row r="33" spans="1:10" s="250" customFormat="1" ht="12.75">
      <c r="A33" s="268" t="s">
        <v>977</v>
      </c>
      <c r="B33" s="280"/>
      <c r="C33" s="280"/>
      <c r="D33" s="280"/>
      <c r="E33" s="282"/>
      <c r="F33" s="283"/>
      <c r="G33" s="283"/>
      <c r="H33" s="273"/>
      <c r="J33" s="249"/>
    </row>
    <row r="34" spans="1:10" s="251" customFormat="1" ht="12.75">
      <c r="A34" s="251" t="s">
        <v>893</v>
      </c>
      <c r="B34" s="284"/>
      <c r="C34" s="284"/>
      <c r="D34" s="284"/>
      <c r="E34" s="285"/>
      <c r="F34" s="279"/>
      <c r="G34" s="279"/>
      <c r="H34" s="286"/>
      <c r="J34" s="286"/>
    </row>
    <row r="35" spans="1:10" s="250" customFormat="1" ht="12.75">
      <c r="A35" s="250" t="s">
        <v>894</v>
      </c>
      <c r="B35" s="275"/>
      <c r="C35" s="275"/>
      <c r="D35" s="275"/>
      <c r="E35" s="281"/>
      <c r="F35" s="258"/>
      <c r="G35" s="258"/>
      <c r="H35" s="249"/>
      <c r="J35" s="249"/>
    </row>
    <row r="36" spans="1:10" s="250" customFormat="1" ht="12.75">
      <c r="A36" s="250" t="s">
        <v>895</v>
      </c>
      <c r="B36" s="275">
        <v>0.31</v>
      </c>
      <c r="C36" s="275"/>
      <c r="D36" s="275"/>
      <c r="E36" s="281"/>
      <c r="F36" s="258">
        <f>B36*$H$2</f>
        <v>1.1016197006409262E-2</v>
      </c>
      <c r="G36" s="258"/>
      <c r="H36" s="249">
        <f t="shared" ref="H36:H37" si="2">B36+D36+F36</f>
        <v>0.32101619700640927</v>
      </c>
      <c r="J36" s="249"/>
    </row>
    <row r="37" spans="1:10" s="250" customFormat="1" ht="12.75">
      <c r="A37" s="250" t="s">
        <v>896</v>
      </c>
      <c r="B37" s="275">
        <v>0.31</v>
      </c>
      <c r="C37" s="275"/>
      <c r="D37" s="275"/>
      <c r="E37" s="281"/>
      <c r="F37" s="258">
        <f>B37*$H$2</f>
        <v>1.1016197006409262E-2</v>
      </c>
      <c r="G37" s="258"/>
      <c r="H37" s="249">
        <f t="shared" si="2"/>
        <v>0.32101619700640927</v>
      </c>
      <c r="J37" s="249"/>
    </row>
    <row r="38" spans="1:10" s="250" customFormat="1" ht="12.75">
      <c r="B38" s="275"/>
      <c r="C38" s="275"/>
      <c r="D38" s="275"/>
      <c r="E38" s="281"/>
      <c r="F38" s="258"/>
      <c r="G38" s="258"/>
      <c r="H38" s="249"/>
      <c r="J38" s="249"/>
    </row>
    <row r="39" spans="1:10" s="251" customFormat="1" ht="12.75">
      <c r="A39" s="251" t="s">
        <v>897</v>
      </c>
      <c r="B39" s="284"/>
      <c r="C39" s="284"/>
      <c r="D39" s="284"/>
      <c r="E39" s="285"/>
      <c r="F39" s="287"/>
      <c r="G39" s="279"/>
      <c r="H39" s="286"/>
      <c r="J39" s="286"/>
    </row>
    <row r="40" spans="1:10" s="250" customFormat="1" ht="12.75">
      <c r="A40" s="250" t="s">
        <v>895</v>
      </c>
      <c r="B40" s="275">
        <v>0.31</v>
      </c>
      <c r="C40" s="275"/>
      <c r="D40" s="275"/>
      <c r="E40" s="281"/>
      <c r="F40" s="258">
        <f>B40*$H$2</f>
        <v>1.1016197006409262E-2</v>
      </c>
      <c r="G40" s="258"/>
      <c r="H40" s="249">
        <f t="shared" ref="H40:H41" si="3">B40+D40+F40</f>
        <v>0.32101619700640927</v>
      </c>
      <c r="J40" s="249"/>
    </row>
    <row r="41" spans="1:10" s="250" customFormat="1" ht="12.75">
      <c r="A41" s="250" t="s">
        <v>896</v>
      </c>
      <c r="B41" s="275">
        <v>0.31</v>
      </c>
      <c r="C41" s="275"/>
      <c r="D41" s="275"/>
      <c r="E41" s="281"/>
      <c r="F41" s="258">
        <f>B41*$H$2</f>
        <v>1.1016197006409262E-2</v>
      </c>
      <c r="G41" s="258"/>
      <c r="H41" s="249">
        <f t="shared" si="3"/>
        <v>0.32101619700640927</v>
      </c>
      <c r="J41" s="249"/>
    </row>
    <row r="42" spans="1:10" s="250" customFormat="1" ht="12.75">
      <c r="B42" s="275"/>
      <c r="C42" s="275"/>
      <c r="D42" s="275"/>
      <c r="E42" s="281"/>
      <c r="F42" s="258"/>
      <c r="G42" s="258"/>
      <c r="H42" s="249"/>
      <c r="J42" s="249"/>
    </row>
    <row r="43" spans="1:10" s="251" customFormat="1" ht="12.75">
      <c r="A43" s="251" t="s">
        <v>898</v>
      </c>
      <c r="B43" s="284"/>
      <c r="C43" s="284"/>
      <c r="D43" s="284"/>
      <c r="E43" s="285"/>
      <c r="F43" s="279"/>
      <c r="G43" s="279"/>
      <c r="H43" s="286"/>
      <c r="J43" s="286"/>
    </row>
    <row r="44" spans="1:10" s="250" customFormat="1" ht="12.75">
      <c r="A44" s="250" t="s">
        <v>899</v>
      </c>
      <c r="B44" s="275">
        <v>1.72</v>
      </c>
      <c r="C44" s="275"/>
      <c r="D44" s="275"/>
      <c r="E44" s="281"/>
      <c r="F44" s="258">
        <f>B44*$H$2</f>
        <v>6.1122125325883646E-2</v>
      </c>
      <c r="G44" s="258"/>
      <c r="H44" s="249">
        <f t="shared" ref="H44:H46" si="4">B44+D44+F44</f>
        <v>1.7811221253258835</v>
      </c>
      <c r="J44" s="249"/>
    </row>
    <row r="45" spans="1:10" s="250" customFormat="1" ht="12.75">
      <c r="A45" s="250" t="s">
        <v>1330</v>
      </c>
      <c r="B45" s="275">
        <v>1.72</v>
      </c>
      <c r="C45" s="275"/>
      <c r="D45" s="275"/>
      <c r="E45" s="281"/>
      <c r="F45" s="258">
        <f>B45*$H$2</f>
        <v>6.1122125325883646E-2</v>
      </c>
      <c r="G45" s="258"/>
      <c r="H45" s="249">
        <f t="shared" si="4"/>
        <v>1.7811221253258835</v>
      </c>
      <c r="J45" s="249"/>
    </row>
    <row r="46" spans="1:10" s="250" customFormat="1" ht="12.75">
      <c r="A46" s="250" t="s">
        <v>1331</v>
      </c>
      <c r="B46" s="275">
        <v>1.72</v>
      </c>
      <c r="C46" s="275"/>
      <c r="D46" s="275"/>
      <c r="E46" s="281"/>
      <c r="F46" s="258">
        <f>B46*$H$2</f>
        <v>6.1122125325883646E-2</v>
      </c>
      <c r="G46" s="258"/>
      <c r="H46" s="249">
        <f t="shared" si="4"/>
        <v>1.7811221253258835</v>
      </c>
      <c r="J46" s="249"/>
    </row>
    <row r="47" spans="1:10" s="250" customFormat="1" ht="12.75">
      <c r="B47" s="275"/>
      <c r="C47" s="275"/>
      <c r="D47" s="275"/>
      <c r="E47" s="281"/>
      <c r="F47" s="258"/>
      <c r="G47" s="258"/>
      <c r="H47" s="249"/>
      <c r="J47" s="249"/>
    </row>
    <row r="48" spans="1:10" s="251" customFormat="1" ht="12.75">
      <c r="A48" s="251" t="s">
        <v>897</v>
      </c>
      <c r="B48" s="284"/>
      <c r="C48" s="284"/>
      <c r="D48" s="284"/>
      <c r="E48" s="285"/>
      <c r="F48" s="279"/>
      <c r="G48" s="279"/>
      <c r="H48" s="286"/>
      <c r="J48" s="286"/>
    </row>
    <row r="49" spans="1:10" s="250" customFormat="1" ht="12.75">
      <c r="A49" s="250" t="s">
        <v>899</v>
      </c>
      <c r="B49" s="275">
        <v>1.72</v>
      </c>
      <c r="C49" s="275"/>
      <c r="D49" s="275"/>
      <c r="E49" s="281"/>
      <c r="F49" s="258">
        <f>B49*$H$2</f>
        <v>6.1122125325883646E-2</v>
      </c>
      <c r="G49" s="258"/>
      <c r="H49" s="249">
        <f t="shared" ref="H49:H51" si="5">B49+D49+F49</f>
        <v>1.7811221253258835</v>
      </c>
      <c r="J49" s="249"/>
    </row>
    <row r="50" spans="1:10" s="250" customFormat="1" ht="12.75">
      <c r="A50" s="250" t="s">
        <v>1330</v>
      </c>
      <c r="B50" s="275">
        <v>1.72</v>
      </c>
      <c r="C50" s="275"/>
      <c r="D50" s="275"/>
      <c r="E50" s="281"/>
      <c r="F50" s="258">
        <f>B50*$H$2</f>
        <v>6.1122125325883646E-2</v>
      </c>
      <c r="G50" s="258"/>
      <c r="H50" s="249">
        <f t="shared" si="5"/>
        <v>1.7811221253258835</v>
      </c>
      <c r="J50" s="249"/>
    </row>
    <row r="51" spans="1:10" s="250" customFormat="1" ht="12.75">
      <c r="A51" s="250" t="s">
        <v>1331</v>
      </c>
      <c r="B51" s="275">
        <v>1.72</v>
      </c>
      <c r="C51" s="275"/>
      <c r="D51" s="275"/>
      <c r="E51" s="281"/>
      <c r="F51" s="258">
        <f>B51*$H$2</f>
        <v>6.1122125325883646E-2</v>
      </c>
      <c r="G51" s="258"/>
      <c r="H51" s="249">
        <f t="shared" si="5"/>
        <v>1.7811221253258835</v>
      </c>
      <c r="J51" s="249"/>
    </row>
    <row r="52" spans="1:10" s="250" customFormat="1" ht="12.75">
      <c r="B52" s="275"/>
      <c r="C52" s="275"/>
      <c r="D52" s="275"/>
      <c r="E52" s="281"/>
      <c r="F52" s="258"/>
      <c r="G52" s="258"/>
      <c r="H52" s="249"/>
      <c r="J52" s="249"/>
    </row>
    <row r="53" spans="1:10" s="250" customFormat="1" ht="12.75">
      <c r="A53" s="268" t="s">
        <v>978</v>
      </c>
      <c r="B53" s="280"/>
      <c r="C53" s="280"/>
      <c r="D53" s="280"/>
      <c r="E53" s="282"/>
      <c r="F53" s="283"/>
      <c r="G53" s="283"/>
      <c r="H53" s="273"/>
      <c r="J53" s="249"/>
    </row>
    <row r="54" spans="1:10" s="250" customFormat="1" ht="12.75">
      <c r="A54" s="250" t="s">
        <v>900</v>
      </c>
      <c r="B54" s="275">
        <v>0.09</v>
      </c>
      <c r="C54" s="275"/>
      <c r="D54" s="275"/>
      <c r="E54" s="281"/>
      <c r="F54" s="258">
        <f>B54*$H$2</f>
        <v>3.1982507437962374E-3</v>
      </c>
      <c r="G54" s="258"/>
      <c r="H54" s="249">
        <f t="shared" ref="H54:H56" si="6">B54+D54+F54</f>
        <v>9.3198250743796229E-2</v>
      </c>
      <c r="J54" s="249"/>
    </row>
    <row r="55" spans="1:10" s="250" customFormat="1" ht="12.75">
      <c r="A55" s="250" t="s">
        <v>901</v>
      </c>
      <c r="B55" s="275">
        <v>0.37</v>
      </c>
      <c r="C55" s="275"/>
      <c r="D55" s="275"/>
      <c r="E55" s="281"/>
      <c r="F55" s="258">
        <f>B55*$H$2</f>
        <v>1.3148364168940087E-2</v>
      </c>
      <c r="G55" s="258"/>
      <c r="H55" s="249">
        <f t="shared" si="6"/>
        <v>0.3831483641689401</v>
      </c>
      <c r="J55" s="249"/>
    </row>
    <row r="56" spans="1:10" s="250" customFormat="1" ht="12.75">
      <c r="A56" s="250" t="s">
        <v>902</v>
      </c>
      <c r="B56" s="275">
        <v>0.89</v>
      </c>
      <c r="C56" s="275"/>
      <c r="D56" s="275"/>
      <c r="E56" s="281"/>
      <c r="F56" s="258">
        <f>B56*$H$2</f>
        <v>3.162714624420724E-2</v>
      </c>
      <c r="G56" s="258"/>
      <c r="H56" s="249">
        <f t="shared" si="6"/>
        <v>0.92162714624420727</v>
      </c>
      <c r="J56" s="249"/>
    </row>
    <row r="57" spans="1:10" s="250" customFormat="1" ht="12.75">
      <c r="B57" s="275"/>
      <c r="C57" s="275"/>
      <c r="D57" s="275"/>
      <c r="E57" s="281"/>
      <c r="F57" s="258"/>
      <c r="G57" s="258"/>
      <c r="H57" s="249"/>
      <c r="J57" s="249"/>
    </row>
    <row r="58" spans="1:10" s="250" customFormat="1" ht="12.75">
      <c r="A58" s="270" t="s">
        <v>979</v>
      </c>
      <c r="B58" s="280"/>
      <c r="C58" s="280"/>
      <c r="D58" s="280"/>
      <c r="E58" s="282"/>
      <c r="F58" s="283"/>
      <c r="G58" s="283"/>
      <c r="H58" s="273"/>
      <c r="J58" s="249"/>
    </row>
    <row r="59" spans="1:10" s="250" customFormat="1" ht="12.75">
      <c r="A59" s="250" t="s">
        <v>903</v>
      </c>
      <c r="B59" s="249">
        <v>10.24</v>
      </c>
      <c r="C59" s="249"/>
      <c r="D59" s="249">
        <f>'[52]Proposed Rates'!D14</f>
        <v>0.15159002540601513</v>
      </c>
      <c r="F59" s="258">
        <f t="shared" ref="F59:F72" si="7">B59*$H$2</f>
        <v>0.36388986240526083</v>
      </c>
      <c r="G59" s="252"/>
      <c r="H59" s="249">
        <f t="shared" ref="H59:H72" si="8">B59+D59+F59</f>
        <v>10.755479887811276</v>
      </c>
      <c r="J59" s="288"/>
    </row>
    <row r="60" spans="1:10" s="250" customFormat="1" ht="12.75">
      <c r="A60" s="250" t="s">
        <v>981</v>
      </c>
      <c r="B60" s="249">
        <v>7.73</v>
      </c>
      <c r="C60" s="249"/>
      <c r="D60" s="249">
        <f>'[52]Proposed Rates'!D15</f>
        <v>7.5970058921721192E-2</v>
      </c>
      <c r="F60" s="258">
        <f t="shared" si="7"/>
        <v>0.27469420277272133</v>
      </c>
      <c r="G60" s="252"/>
      <c r="H60" s="249">
        <f t="shared" si="8"/>
        <v>8.0806642616944426</v>
      </c>
      <c r="J60" s="288"/>
    </row>
    <row r="61" spans="1:10" s="250" customFormat="1" ht="12.75">
      <c r="A61" s="250" t="s">
        <v>904</v>
      </c>
      <c r="B61" s="249">
        <v>13.01</v>
      </c>
      <c r="C61" s="249"/>
      <c r="D61" s="249">
        <f>'[52]Proposed Rates'!D16</f>
        <v>0.25770304319022569</v>
      </c>
      <c r="F61" s="258">
        <f t="shared" si="7"/>
        <v>0.46232491307543389</v>
      </c>
      <c r="G61" s="252"/>
      <c r="H61" s="249">
        <f t="shared" si="8"/>
        <v>13.73002795626566</v>
      </c>
      <c r="I61" s="289"/>
      <c r="J61" s="288"/>
    </row>
    <row r="62" spans="1:10" s="250" customFormat="1" ht="12.75">
      <c r="A62" s="250" t="s">
        <v>905</v>
      </c>
      <c r="B62" s="249">
        <v>18.940000000000001</v>
      </c>
      <c r="C62" s="249"/>
      <c r="D62" s="249">
        <f>'[52]Proposed Rates'!D17</f>
        <v>0.38655456478533856</v>
      </c>
      <c r="F62" s="258">
        <f t="shared" si="7"/>
        <v>0.67305410097223051</v>
      </c>
      <c r="G62" s="252"/>
      <c r="H62" s="249">
        <f t="shared" si="8"/>
        <v>19.99960866575757</v>
      </c>
      <c r="J62" s="288"/>
    </row>
    <row r="63" spans="1:10" s="250" customFormat="1" ht="12.75">
      <c r="A63" s="250" t="s">
        <v>906</v>
      </c>
      <c r="B63" s="249">
        <v>28.07</v>
      </c>
      <c r="C63" s="249"/>
      <c r="D63" s="249">
        <f>'[52]Proposed Rates'!D18</f>
        <v>0.58362159781315825</v>
      </c>
      <c r="F63" s="258">
        <f t="shared" si="7"/>
        <v>0.99749887087067102</v>
      </c>
      <c r="G63" s="252"/>
      <c r="H63" s="249">
        <f t="shared" si="8"/>
        <v>29.651120468683832</v>
      </c>
      <c r="J63" s="288"/>
    </row>
    <row r="64" spans="1:10" s="250" customFormat="1" ht="12.75">
      <c r="A64" s="250" t="s">
        <v>907</v>
      </c>
      <c r="B64" s="249">
        <v>34.880000000000003</v>
      </c>
      <c r="C64" s="249"/>
      <c r="D64" s="249">
        <f>'[52]Proposed Rates'!D19</f>
        <v>0.73521162321917322</v>
      </c>
      <c r="F64" s="258">
        <f t="shared" si="7"/>
        <v>1.2394998438179197</v>
      </c>
      <c r="G64" s="252"/>
      <c r="H64" s="249">
        <f t="shared" si="8"/>
        <v>36.854711467037092</v>
      </c>
      <c r="J64" s="288"/>
    </row>
    <row r="65" spans="1:10" s="250" customFormat="1" ht="12.75">
      <c r="A65" s="250" t="s">
        <v>908</v>
      </c>
      <c r="B65" s="249">
        <v>43.54</v>
      </c>
      <c r="C65" s="249"/>
      <c r="D65" s="249">
        <f>'[52]Proposed Rates'!D20</f>
        <v>0.8868016486251884</v>
      </c>
      <c r="F65" s="258">
        <f t="shared" si="7"/>
        <v>1.5472426376098687</v>
      </c>
      <c r="G65" s="252"/>
      <c r="H65" s="249">
        <f t="shared" si="8"/>
        <v>45.974044286235056</v>
      </c>
      <c r="J65" s="288"/>
    </row>
    <row r="66" spans="1:10" s="250" customFormat="1" ht="12.75">
      <c r="A66" s="250" t="s">
        <v>909</v>
      </c>
      <c r="B66" s="249">
        <v>52.29</v>
      </c>
      <c r="C66" s="249"/>
      <c r="D66" s="249">
        <f>'[52]Proposed Rates'!D21</f>
        <v>1.0383916740312034</v>
      </c>
      <c r="F66" s="258">
        <f t="shared" si="7"/>
        <v>1.8581836821456139</v>
      </c>
      <c r="G66" s="252"/>
      <c r="H66" s="249">
        <f t="shared" si="8"/>
        <v>55.186575356176817</v>
      </c>
      <c r="J66" s="288"/>
    </row>
    <row r="67" spans="1:10" s="250" customFormat="1" ht="12.75">
      <c r="A67" s="250" t="s">
        <v>982</v>
      </c>
      <c r="B67" s="249">
        <v>60.59</v>
      </c>
      <c r="C67" s="249"/>
      <c r="D67" s="249">
        <f>'[52]Proposed Rates'!D22</f>
        <v>1.2158945242929475</v>
      </c>
      <c r="F67" s="258">
        <f t="shared" si="7"/>
        <v>2.1531334729623781</v>
      </c>
      <c r="G67" s="252"/>
      <c r="H67" s="249">
        <f t="shared" si="8"/>
        <v>63.959027997255333</v>
      </c>
      <c r="J67" s="288"/>
    </row>
    <row r="68" spans="1:10" s="250" customFormat="1" ht="12.75">
      <c r="A68" s="250" t="s">
        <v>983</v>
      </c>
      <c r="B68" s="249">
        <v>66.540000000000006</v>
      </c>
      <c r="C68" s="249"/>
      <c r="D68" s="249">
        <f>'[52]Proposed Rates'!D23</f>
        <v>1.3415717248432337</v>
      </c>
      <c r="F68" s="258">
        <f t="shared" si="7"/>
        <v>2.3645733832466851</v>
      </c>
      <c r="G68" s="252"/>
      <c r="H68" s="249">
        <f t="shared" si="8"/>
        <v>70.24614510808992</v>
      </c>
      <c r="J68" s="288"/>
    </row>
    <row r="69" spans="1:10" s="250" customFormat="1" ht="12.75">
      <c r="A69" s="250" t="s">
        <v>984</v>
      </c>
      <c r="B69" s="249">
        <v>78.069999999999993</v>
      </c>
      <c r="C69" s="249"/>
      <c r="D69" s="249">
        <f>'[52]Proposed Rates'!D24</f>
        <v>1.5992747680334594</v>
      </c>
      <c r="F69" s="258">
        <f t="shared" si="7"/>
        <v>2.7743048396463581</v>
      </c>
      <c r="G69" s="252"/>
      <c r="H69" s="249">
        <f t="shared" si="8"/>
        <v>82.443579607679808</v>
      </c>
      <c r="J69" s="288"/>
    </row>
    <row r="70" spans="1:10" s="250" customFormat="1" ht="12.75">
      <c r="A70" s="250" t="s">
        <v>1332</v>
      </c>
      <c r="B70" s="249">
        <v>11.55</v>
      </c>
      <c r="C70" s="249"/>
      <c r="D70" s="249">
        <f>'[52]Proposed Rates'!D25</f>
        <v>5.9515714362638729E-2</v>
      </c>
      <c r="F70" s="258">
        <f t="shared" si="7"/>
        <v>0.41044217878718386</v>
      </c>
      <c r="G70" s="252"/>
      <c r="H70" s="249">
        <f t="shared" si="8"/>
        <v>12.019957893149824</v>
      </c>
      <c r="J70" s="288"/>
    </row>
    <row r="71" spans="1:10" s="250" customFormat="1" ht="12.75">
      <c r="A71" s="250" t="s">
        <v>910</v>
      </c>
      <c r="B71" s="249">
        <v>4.8</v>
      </c>
      <c r="C71" s="249"/>
      <c r="D71" s="249">
        <f>'[52]Proposed Rates'!D26</f>
        <v>5.9515714362638729E-2</v>
      </c>
      <c r="F71" s="258">
        <f t="shared" si="7"/>
        <v>0.170573373002466</v>
      </c>
      <c r="G71" s="252"/>
      <c r="H71" s="249">
        <f t="shared" si="8"/>
        <v>5.0300890873651047</v>
      </c>
      <c r="I71" s="289"/>
      <c r="J71" s="288"/>
    </row>
    <row r="72" spans="1:10" s="250" customFormat="1" ht="12.75">
      <c r="A72" s="250" t="s">
        <v>980</v>
      </c>
      <c r="B72" s="249">
        <v>8.84</v>
      </c>
      <c r="C72" s="249"/>
      <c r="D72" s="249">
        <f>'[52]Proposed Rates'!D27</f>
        <v>0.12914910016692605</v>
      </c>
      <c r="F72" s="258">
        <f t="shared" si="7"/>
        <v>0.31413929527954154</v>
      </c>
      <c r="G72" s="252"/>
      <c r="H72" s="249">
        <f t="shared" si="8"/>
        <v>9.2832883954464673</v>
      </c>
      <c r="I72" s="289"/>
      <c r="J72" s="288"/>
    </row>
    <row r="73" spans="1:10" s="250" customFormat="1" ht="12.75">
      <c r="B73" s="249"/>
      <c r="C73" s="249"/>
      <c r="D73" s="249"/>
      <c r="F73" s="258"/>
      <c r="G73" s="252"/>
      <c r="H73" s="249"/>
      <c r="J73" s="288"/>
    </row>
    <row r="74" spans="1:10" s="250" customFormat="1" ht="12.75">
      <c r="A74" s="270" t="s">
        <v>988</v>
      </c>
      <c r="B74" s="273"/>
      <c r="C74" s="273"/>
      <c r="D74" s="273"/>
      <c r="E74" s="290"/>
      <c r="F74" s="283"/>
      <c r="G74" s="291"/>
      <c r="H74" s="273"/>
      <c r="J74" s="249"/>
    </row>
    <row r="75" spans="1:10" s="250" customFormat="1" ht="12.75">
      <c r="A75" s="250" t="s">
        <v>911</v>
      </c>
      <c r="B75" s="249">
        <v>0.3</v>
      </c>
      <c r="C75" s="249"/>
      <c r="D75" s="249"/>
      <c r="F75" s="258">
        <f t="shared" ref="F75:F81" si="9">B75*$H$2</f>
        <v>1.0660835812654125E-2</v>
      </c>
      <c r="G75" s="252"/>
      <c r="H75" s="249">
        <f t="shared" ref="H75:H81" si="10">B75+D75+F75</f>
        <v>0.31066083581265413</v>
      </c>
      <c r="J75" s="249"/>
    </row>
    <row r="76" spans="1:10" s="250" customFormat="1" ht="12.75">
      <c r="A76" s="250" t="s">
        <v>1333</v>
      </c>
      <c r="B76" s="297">
        <v>3.59</v>
      </c>
      <c r="C76" s="297"/>
      <c r="D76" s="297">
        <f>'[52]Proposed Rates'!D30</f>
        <v>5.9515714362638722E-2</v>
      </c>
      <c r="F76" s="258">
        <f t="shared" si="9"/>
        <v>0.12757466855809435</v>
      </c>
      <c r="G76" s="252"/>
      <c r="H76" s="249">
        <f t="shared" si="10"/>
        <v>3.7770903829207327</v>
      </c>
      <c r="J76" s="249"/>
    </row>
    <row r="77" spans="1:10" s="250" customFormat="1" ht="12.75">
      <c r="A77" s="250" t="s">
        <v>985</v>
      </c>
      <c r="B77" s="249">
        <v>3.59</v>
      </c>
      <c r="C77" s="249"/>
      <c r="D77" s="297">
        <f>'[52]Proposed Rates'!D31</f>
        <v>3.5009243742728666E-2</v>
      </c>
      <c r="F77" s="258">
        <f t="shared" si="9"/>
        <v>0.12757466855809435</v>
      </c>
      <c r="G77" s="252"/>
      <c r="H77" s="249">
        <f t="shared" si="10"/>
        <v>3.7525839123008229</v>
      </c>
      <c r="J77" s="249"/>
    </row>
    <row r="78" spans="1:10" s="250" customFormat="1" ht="12.75">
      <c r="A78" s="250" t="s">
        <v>986</v>
      </c>
      <c r="B78" s="249">
        <v>3.59</v>
      </c>
      <c r="C78" s="249"/>
      <c r="D78" s="297">
        <f>'[52]Proposed Rates'!D32</f>
        <v>0.11903142872527746</v>
      </c>
      <c r="F78" s="258">
        <f t="shared" si="9"/>
        <v>0.12757466855809435</v>
      </c>
      <c r="G78" s="252"/>
      <c r="H78" s="249">
        <f t="shared" si="10"/>
        <v>3.8366060972833718</v>
      </c>
      <c r="J78" s="249"/>
    </row>
    <row r="79" spans="1:10" s="250" customFormat="1" ht="12.75">
      <c r="A79" s="250" t="s">
        <v>987</v>
      </c>
      <c r="B79" s="249">
        <v>3.59</v>
      </c>
      <c r="C79" s="249"/>
      <c r="D79" s="297">
        <f>'[52]Proposed Rates'!D33</f>
        <v>0.17854714308791619</v>
      </c>
      <c r="F79" s="258">
        <f t="shared" si="9"/>
        <v>0.12757466855809435</v>
      </c>
      <c r="G79" s="252"/>
      <c r="H79" s="249">
        <f t="shared" si="10"/>
        <v>3.8961218116460103</v>
      </c>
      <c r="J79" s="249"/>
    </row>
    <row r="80" spans="1:10" s="250" customFormat="1" ht="12.75">
      <c r="A80" s="250" t="s">
        <v>912</v>
      </c>
      <c r="B80" s="249">
        <v>3.59</v>
      </c>
      <c r="C80" s="249"/>
      <c r="D80" s="297">
        <f>'[52]Proposed Rates'!D34</f>
        <v>5.9515714362638729E-2</v>
      </c>
      <c r="F80" s="258">
        <f t="shared" si="9"/>
        <v>0.12757466855809435</v>
      </c>
      <c r="G80" s="252"/>
      <c r="H80" s="249">
        <f t="shared" si="10"/>
        <v>3.7770903829207327</v>
      </c>
      <c r="J80" s="249"/>
    </row>
    <row r="81" spans="1:12" s="250" customFormat="1" ht="12.75">
      <c r="A81" s="250" t="s">
        <v>913</v>
      </c>
      <c r="B81" s="249">
        <v>4.8</v>
      </c>
      <c r="C81" s="249"/>
      <c r="D81" s="297">
        <f>'[52]Proposed Rates'!D35</f>
        <v>5.9515714362638729E-2</v>
      </c>
      <c r="F81" s="258">
        <f t="shared" si="9"/>
        <v>0.170573373002466</v>
      </c>
      <c r="G81" s="252"/>
      <c r="H81" s="249">
        <f t="shared" si="10"/>
        <v>5.0300890873651047</v>
      </c>
      <c r="J81" s="249"/>
    </row>
    <row r="82" spans="1:12" s="250" customFormat="1" ht="12.75">
      <c r="B82" s="249"/>
      <c r="C82" s="249"/>
      <c r="D82" s="249"/>
      <c r="F82" s="258"/>
      <c r="G82" s="252"/>
      <c r="H82" s="249"/>
      <c r="J82" s="249"/>
    </row>
    <row r="83" spans="1:12" s="250" customFormat="1" ht="12.75">
      <c r="A83" s="270" t="s">
        <v>916</v>
      </c>
      <c r="B83" s="273"/>
      <c r="C83" s="273"/>
      <c r="D83" s="273"/>
      <c r="E83" s="290"/>
      <c r="F83" s="283"/>
      <c r="G83" s="291"/>
      <c r="H83" s="273"/>
      <c r="J83" s="249"/>
    </row>
    <row r="84" spans="1:12" s="250" customFormat="1" ht="12.75">
      <c r="A84" s="250" t="s">
        <v>917</v>
      </c>
      <c r="B84" s="249">
        <v>16.12</v>
      </c>
      <c r="C84" s="249"/>
      <c r="D84" s="249">
        <f>'[52]Proposed Rates'!D42</f>
        <v>0.21880777339205412</v>
      </c>
      <c r="F84" s="258">
        <f>B84*$H$2</f>
        <v>0.57284224433328168</v>
      </c>
      <c r="G84" s="252"/>
      <c r="H84" s="249">
        <f t="shared" ref="H84:H87" si="11">B84+D84+F84</f>
        <v>16.911650017725336</v>
      </c>
      <c r="J84" s="249"/>
    </row>
    <row r="85" spans="1:12" s="250" customFormat="1" ht="12.75">
      <c r="A85" s="250" t="s">
        <v>918</v>
      </c>
      <c r="B85" s="249">
        <v>16.12</v>
      </c>
      <c r="C85" s="249"/>
      <c r="D85" s="249">
        <f>'[52]Proposed Rates'!D43</f>
        <v>0.21880777339205412</v>
      </c>
      <c r="F85" s="258">
        <f>B85*$H$2</f>
        <v>0.57284224433328168</v>
      </c>
      <c r="G85" s="252"/>
      <c r="H85" s="249">
        <f t="shared" si="11"/>
        <v>16.911650017725336</v>
      </c>
      <c r="J85" s="249"/>
    </row>
    <row r="86" spans="1:12" s="250" customFormat="1" ht="12.75">
      <c r="A86" s="250" t="s">
        <v>889</v>
      </c>
      <c r="B86" s="249">
        <v>16.12</v>
      </c>
      <c r="C86" s="249"/>
      <c r="D86" s="249">
        <f>'[52]Proposed Rates'!D44</f>
        <v>0.21880777339205412</v>
      </c>
      <c r="F86" s="258">
        <f>B86*$H$2</f>
        <v>0.57284224433328168</v>
      </c>
      <c r="G86" s="252"/>
      <c r="H86" s="249">
        <f t="shared" si="11"/>
        <v>16.911650017725336</v>
      </c>
      <c r="J86" s="249"/>
    </row>
    <row r="87" spans="1:12" s="250" customFormat="1" ht="12.75">
      <c r="A87" s="250" t="s">
        <v>919</v>
      </c>
      <c r="B87" s="249">
        <v>3.15</v>
      </c>
      <c r="C87" s="249"/>
      <c r="D87" s="249"/>
      <c r="F87" s="258">
        <f>B87*$H$2</f>
        <v>0.11193877603286831</v>
      </c>
      <c r="G87" s="252"/>
      <c r="H87" s="249">
        <f t="shared" si="11"/>
        <v>3.2619387760328684</v>
      </c>
      <c r="J87" s="249"/>
    </row>
    <row r="88" spans="1:12" s="250" customFormat="1" ht="12.75">
      <c r="B88" s="249"/>
      <c r="C88" s="249"/>
      <c r="D88" s="249"/>
      <c r="F88" s="258"/>
      <c r="G88" s="252"/>
      <c r="H88" s="249"/>
      <c r="J88" s="249"/>
    </row>
    <row r="89" spans="1:12" s="250" customFormat="1" ht="12.75">
      <c r="A89" s="270" t="s">
        <v>920</v>
      </c>
      <c r="B89" s="273"/>
      <c r="C89" s="273"/>
      <c r="D89" s="273"/>
      <c r="E89" s="290"/>
      <c r="F89" s="283"/>
      <c r="G89" s="291"/>
      <c r="H89" s="273"/>
      <c r="J89" s="249"/>
    </row>
    <row r="90" spans="1:12" s="251" customFormat="1" ht="12.75">
      <c r="A90" s="251" t="s">
        <v>921</v>
      </c>
      <c r="B90" s="286"/>
      <c r="C90" s="286"/>
      <c r="D90" s="286"/>
      <c r="F90" s="279"/>
      <c r="G90" s="292"/>
      <c r="H90" s="286"/>
      <c r="J90" s="286"/>
    </row>
    <row r="91" spans="1:12" s="250" customFormat="1" ht="12.75">
      <c r="A91" s="251" t="s">
        <v>922</v>
      </c>
      <c r="B91" s="249"/>
      <c r="C91" s="249"/>
      <c r="D91" s="249"/>
      <c r="F91" s="258"/>
      <c r="G91" s="252"/>
      <c r="H91" s="249"/>
      <c r="J91" s="249"/>
    </row>
    <row r="92" spans="1:12" s="250" customFormat="1" ht="12.75">
      <c r="A92" s="250" t="s">
        <v>923</v>
      </c>
      <c r="B92" s="249">
        <v>60.4</v>
      </c>
      <c r="C92" s="249"/>
      <c r="D92" s="249"/>
      <c r="F92" s="258">
        <f>B92*$H$2</f>
        <v>2.1463816102810305</v>
      </c>
      <c r="G92" s="252"/>
      <c r="H92" s="249">
        <f t="shared" ref="H92:H93" si="12">B92+D92+F92</f>
        <v>62.546381610281031</v>
      </c>
      <c r="J92" s="249"/>
    </row>
    <row r="93" spans="1:12" s="250" customFormat="1" ht="12.75">
      <c r="A93" s="250" t="s">
        <v>924</v>
      </c>
      <c r="B93" s="249">
        <v>86.88</v>
      </c>
      <c r="C93" s="249"/>
      <c r="D93" s="249"/>
      <c r="F93" s="258">
        <f>B93*$H$2</f>
        <v>3.0873780513446345</v>
      </c>
      <c r="G93" s="252"/>
      <c r="H93" s="249">
        <f t="shared" si="12"/>
        <v>89.967378051344625</v>
      </c>
      <c r="J93" s="249"/>
    </row>
    <row r="94" spans="1:12" ht="20.100000000000001" customHeight="1">
      <c r="H94" s="294"/>
      <c r="I94" s="293"/>
      <c r="L94" s="293"/>
    </row>
    <row r="95" spans="1:12" s="251" customFormat="1" ht="12.75">
      <c r="A95" s="251" t="s">
        <v>926</v>
      </c>
      <c r="B95" s="286"/>
      <c r="C95" s="286"/>
      <c r="D95" s="286"/>
      <c r="F95" s="279"/>
      <c r="G95" s="292"/>
      <c r="H95" s="286"/>
      <c r="J95" s="286"/>
    </row>
    <row r="96" spans="1:12" s="250" customFormat="1" ht="12.75">
      <c r="A96" s="250" t="s">
        <v>923</v>
      </c>
      <c r="B96" s="249">
        <v>46.2</v>
      </c>
      <c r="C96" s="249"/>
      <c r="D96" s="249"/>
      <c r="F96" s="258">
        <f>B96*$H$2</f>
        <v>1.6417687151487355</v>
      </c>
      <c r="G96" s="252"/>
      <c r="H96" s="249">
        <f t="shared" ref="H96:H97" si="13">B96+D96+F96</f>
        <v>47.841768715148739</v>
      </c>
      <c r="J96" s="249"/>
    </row>
    <row r="97" spans="1:12" s="250" customFormat="1" ht="12.75">
      <c r="A97" s="250" t="s">
        <v>924</v>
      </c>
      <c r="B97" s="249">
        <v>46.2</v>
      </c>
      <c r="C97" s="249"/>
      <c r="D97" s="249"/>
      <c r="F97" s="258">
        <f>B97*$H$2</f>
        <v>1.6417687151487355</v>
      </c>
      <c r="G97" s="252"/>
      <c r="H97" s="249">
        <f t="shared" si="13"/>
        <v>47.841768715148739</v>
      </c>
      <c r="J97" s="249"/>
    </row>
    <row r="98" spans="1:12" s="250" customFormat="1" ht="12.75">
      <c r="B98" s="249"/>
      <c r="C98" s="249"/>
      <c r="D98" s="249"/>
      <c r="F98" s="258"/>
      <c r="G98" s="252"/>
      <c r="H98" s="249"/>
      <c r="J98" s="249"/>
    </row>
    <row r="99" spans="1:12" s="251" customFormat="1" ht="12.75">
      <c r="A99" s="251" t="s">
        <v>915</v>
      </c>
      <c r="B99" s="286"/>
      <c r="C99" s="286"/>
      <c r="D99" s="286"/>
      <c r="F99" s="279"/>
      <c r="G99" s="292"/>
      <c r="H99" s="286"/>
      <c r="J99" s="286"/>
    </row>
    <row r="100" spans="1:12" s="250" customFormat="1" ht="12.75">
      <c r="A100" s="250" t="s">
        <v>923</v>
      </c>
      <c r="B100" s="249">
        <v>15.1</v>
      </c>
      <c r="C100" s="249"/>
      <c r="D100" s="249"/>
      <c r="F100" s="258">
        <f>B100*$H$2</f>
        <v>0.53659540257025762</v>
      </c>
      <c r="G100" s="252"/>
      <c r="H100" s="249">
        <f t="shared" ref="H100:H101" si="14">B100+D100+F100</f>
        <v>15.636595402570258</v>
      </c>
      <c r="J100" s="249"/>
    </row>
    <row r="101" spans="1:12" s="250" customFormat="1" ht="12.75">
      <c r="A101" s="250" t="s">
        <v>924</v>
      </c>
      <c r="B101" s="249">
        <v>21.72</v>
      </c>
      <c r="C101" s="249"/>
      <c r="D101" s="249"/>
      <c r="F101" s="258">
        <f>B101*$H$2</f>
        <v>0.77184451283615862</v>
      </c>
      <c r="G101" s="252"/>
      <c r="H101" s="249">
        <f t="shared" si="14"/>
        <v>22.491844512836156</v>
      </c>
      <c r="J101" s="249"/>
    </row>
    <row r="102" spans="1:12">
      <c r="H102" s="294"/>
      <c r="I102" s="293"/>
      <c r="L102" s="293"/>
    </row>
    <row r="103" spans="1:12" s="251" customFormat="1" ht="12.75">
      <c r="A103" s="251" t="s">
        <v>927</v>
      </c>
      <c r="B103" s="286"/>
      <c r="C103" s="286"/>
      <c r="D103" s="286"/>
      <c r="F103" s="279"/>
      <c r="G103" s="292"/>
      <c r="H103" s="286"/>
      <c r="J103" s="286"/>
    </row>
    <row r="104" spans="1:12" s="250" customFormat="1" ht="12.75">
      <c r="A104" s="250" t="s">
        <v>922</v>
      </c>
      <c r="B104" s="249"/>
      <c r="C104" s="249"/>
      <c r="D104" s="249"/>
      <c r="F104" s="258"/>
      <c r="G104" s="252"/>
      <c r="H104" s="249"/>
      <c r="J104" s="249"/>
    </row>
    <row r="105" spans="1:12" s="250" customFormat="1" ht="12.75">
      <c r="A105" s="250" t="s">
        <v>924</v>
      </c>
      <c r="B105" s="249">
        <v>95.6</v>
      </c>
      <c r="C105" s="249"/>
      <c r="D105" s="249"/>
      <c r="F105" s="258">
        <f>B105*$H$2</f>
        <v>3.3972530122991142</v>
      </c>
      <c r="G105" s="252"/>
      <c r="H105" s="249">
        <f t="shared" ref="H105:H106" si="15">B105+D105+F105</f>
        <v>98.997253012299112</v>
      </c>
      <c r="J105" s="249"/>
    </row>
    <row r="106" spans="1:12" s="250" customFormat="1" ht="12.75">
      <c r="A106" s="250" t="s">
        <v>925</v>
      </c>
      <c r="B106" s="249">
        <v>95.6</v>
      </c>
      <c r="C106" s="249"/>
      <c r="D106" s="249"/>
      <c r="F106" s="258">
        <f>B106*$H$2</f>
        <v>3.3972530122991142</v>
      </c>
      <c r="G106" s="252"/>
      <c r="H106" s="249">
        <f t="shared" si="15"/>
        <v>98.997253012299112</v>
      </c>
      <c r="J106" s="249"/>
    </row>
    <row r="107" spans="1:12">
      <c r="H107" s="294"/>
      <c r="I107" s="293"/>
      <c r="L107" s="293"/>
    </row>
    <row r="108" spans="1:12" s="251" customFormat="1" ht="12.75">
      <c r="A108" s="251" t="s">
        <v>926</v>
      </c>
      <c r="B108" s="286"/>
      <c r="C108" s="286"/>
      <c r="D108" s="286"/>
      <c r="F108" s="279"/>
      <c r="G108" s="292"/>
      <c r="H108" s="286"/>
      <c r="J108" s="286"/>
    </row>
    <row r="109" spans="1:12" s="250" customFormat="1" ht="12.75">
      <c r="A109" s="250" t="s">
        <v>924</v>
      </c>
      <c r="B109" s="249">
        <v>46.2</v>
      </c>
      <c r="C109" s="249"/>
      <c r="D109" s="249"/>
      <c r="F109" s="258">
        <f>B109*$H$2</f>
        <v>1.6417687151487355</v>
      </c>
      <c r="G109" s="252"/>
      <c r="H109" s="249">
        <f t="shared" ref="H109:H110" si="16">B109+D109+F109</f>
        <v>47.841768715148739</v>
      </c>
      <c r="J109" s="249"/>
    </row>
    <row r="110" spans="1:12" s="250" customFormat="1" ht="12.75">
      <c r="A110" s="250" t="s">
        <v>925</v>
      </c>
      <c r="B110" s="249">
        <v>46.2</v>
      </c>
      <c r="C110" s="249"/>
      <c r="D110" s="249"/>
      <c r="F110" s="258">
        <f>B110*$H$2</f>
        <v>1.6417687151487355</v>
      </c>
      <c r="G110" s="252"/>
      <c r="H110" s="249">
        <f t="shared" si="16"/>
        <v>47.841768715148739</v>
      </c>
      <c r="J110" s="249"/>
    </row>
    <row r="111" spans="1:12" s="250" customFormat="1" ht="12.75">
      <c r="B111" s="249"/>
      <c r="C111" s="249"/>
      <c r="D111" s="249"/>
      <c r="F111" s="258"/>
      <c r="G111" s="252"/>
      <c r="H111" s="249"/>
      <c r="J111" s="249"/>
    </row>
    <row r="112" spans="1:12" s="251" customFormat="1" ht="12.75">
      <c r="A112" s="251" t="s">
        <v>915</v>
      </c>
      <c r="B112" s="286"/>
      <c r="C112" s="286"/>
      <c r="D112" s="286"/>
      <c r="F112" s="279"/>
      <c r="G112" s="292"/>
      <c r="H112" s="286"/>
      <c r="J112" s="286"/>
    </row>
    <row r="113" spans="1:12" s="250" customFormat="1" ht="12.75">
      <c r="A113" s="250" t="s">
        <v>924</v>
      </c>
      <c r="B113" s="249">
        <v>23.9</v>
      </c>
      <c r="C113" s="249"/>
      <c r="D113" s="249"/>
      <c r="F113" s="258">
        <f>B113*$H$2</f>
        <v>0.84931325307477856</v>
      </c>
      <c r="G113" s="252"/>
      <c r="H113" s="249">
        <f t="shared" ref="H113:H114" si="17">B113+D113+F113</f>
        <v>24.749313253074778</v>
      </c>
      <c r="J113" s="249"/>
    </row>
    <row r="114" spans="1:12" s="250" customFormat="1" ht="12.75">
      <c r="A114" s="250" t="s">
        <v>925</v>
      </c>
      <c r="B114" s="249">
        <v>23.9</v>
      </c>
      <c r="C114" s="249"/>
      <c r="D114" s="249"/>
      <c r="F114" s="258">
        <f>B114*$H$2</f>
        <v>0.84931325307477856</v>
      </c>
      <c r="G114" s="252"/>
      <c r="H114" s="249">
        <f t="shared" si="17"/>
        <v>24.749313253074778</v>
      </c>
      <c r="J114" s="249"/>
    </row>
    <row r="115" spans="1:12" s="250" customFormat="1" ht="12.75">
      <c r="B115" s="249"/>
      <c r="C115" s="249"/>
      <c r="D115" s="249"/>
      <c r="F115" s="258"/>
      <c r="G115" s="252"/>
      <c r="H115" s="249"/>
      <c r="J115" s="249"/>
    </row>
    <row r="116" spans="1:12" s="250" customFormat="1" ht="12.75">
      <c r="A116" s="270" t="s">
        <v>928</v>
      </c>
      <c r="B116" s="273"/>
      <c r="C116" s="273"/>
      <c r="D116" s="273"/>
      <c r="E116" s="290"/>
      <c r="F116" s="283"/>
      <c r="G116" s="291"/>
      <c r="H116" s="273"/>
      <c r="J116" s="249"/>
    </row>
    <row r="117" spans="1:12" s="251" customFormat="1" ht="12.75">
      <c r="A117" s="251" t="s">
        <v>929</v>
      </c>
      <c r="B117" s="286"/>
      <c r="C117" s="286"/>
      <c r="D117" s="286"/>
      <c r="F117" s="279"/>
      <c r="G117" s="292"/>
      <c r="H117" s="286"/>
      <c r="J117" s="286"/>
    </row>
    <row r="118" spans="1:12" s="250" customFormat="1" ht="12.75">
      <c r="A118" s="250" t="s">
        <v>930</v>
      </c>
      <c r="B118" s="249">
        <v>2.09</v>
      </c>
      <c r="C118" s="249"/>
      <c r="D118" s="249"/>
      <c r="F118" s="258">
        <f>B118*$H$2</f>
        <v>7.4270489494823733E-2</v>
      </c>
      <c r="G118" s="252"/>
      <c r="H118" s="249">
        <f t="shared" ref="H118:H119" si="18">B118+D118+F118</f>
        <v>2.1642704894948235</v>
      </c>
      <c r="J118" s="249"/>
    </row>
    <row r="119" spans="1:12" s="250" customFormat="1" ht="12.75">
      <c r="A119" s="250" t="s">
        <v>1334</v>
      </c>
      <c r="B119" s="249">
        <v>0.54</v>
      </c>
      <c r="C119" s="249"/>
      <c r="D119" s="249"/>
      <c r="F119" s="258">
        <f>B119*$H$2</f>
        <v>1.9189504462777427E-2</v>
      </c>
      <c r="G119" s="252"/>
      <c r="H119" s="249">
        <f t="shared" si="18"/>
        <v>0.55918950446277749</v>
      </c>
      <c r="J119" s="249"/>
    </row>
    <row r="120" spans="1:12">
      <c r="H120" s="294"/>
      <c r="I120" s="293"/>
      <c r="L120" s="293"/>
    </row>
    <row r="121" spans="1:12" s="250" customFormat="1" ht="12.75">
      <c r="A121" s="270" t="s">
        <v>931</v>
      </c>
      <c r="B121" s="273"/>
      <c r="C121" s="273"/>
      <c r="D121" s="273"/>
      <c r="E121" s="290"/>
      <c r="F121" s="283"/>
      <c r="G121" s="291"/>
      <c r="H121" s="273"/>
      <c r="J121" s="249"/>
    </row>
    <row r="122" spans="1:12" s="251" customFormat="1" ht="12.75">
      <c r="A122" s="251" t="s">
        <v>932</v>
      </c>
      <c r="B122" s="286"/>
      <c r="C122" s="286"/>
      <c r="D122" s="286"/>
      <c r="F122" s="279"/>
      <c r="G122" s="292"/>
      <c r="H122" s="286"/>
      <c r="J122" s="286"/>
    </row>
    <row r="123" spans="1:12" s="250" customFormat="1" ht="12.75">
      <c r="A123" s="250" t="s">
        <v>989</v>
      </c>
      <c r="B123" s="249">
        <v>2.4500000000000002</v>
      </c>
      <c r="C123" s="249"/>
      <c r="D123" s="249">
        <f>'[52]Proposed Rates'!D48</f>
        <v>0.11063244028652265</v>
      </c>
      <c r="F123" s="258">
        <f t="shared" ref="F123:F129" si="19">B123*$H$2</f>
        <v>8.7063492470008691E-2</v>
      </c>
      <c r="G123" s="252"/>
      <c r="H123" s="249">
        <f t="shared" ref="H123:H129" si="20">B123+D123+F123</f>
        <v>2.6476959327565317</v>
      </c>
      <c r="J123" s="249"/>
    </row>
    <row r="124" spans="1:12" s="250" customFormat="1" ht="12.75">
      <c r="A124" s="250" t="s">
        <v>933</v>
      </c>
      <c r="B124" s="249">
        <v>2.4500000000000002</v>
      </c>
      <c r="C124" s="249"/>
      <c r="D124" s="249">
        <f>'[52]Proposed Rates'!D49</f>
        <v>0.11063244028652265</v>
      </c>
      <c r="F124" s="258">
        <f t="shared" si="19"/>
        <v>8.7063492470008691E-2</v>
      </c>
      <c r="G124" s="252"/>
      <c r="H124" s="249">
        <f t="shared" si="20"/>
        <v>2.6476959327565317</v>
      </c>
      <c r="J124" s="249"/>
    </row>
    <row r="125" spans="1:12" s="250" customFormat="1" ht="12.75">
      <c r="A125" s="250" t="s">
        <v>934</v>
      </c>
      <c r="B125" s="249">
        <v>2.4500000000000002</v>
      </c>
      <c r="C125" s="249"/>
      <c r="D125" s="249">
        <f>'[52]Proposed Rates'!D50</f>
        <v>0.11063244028652265</v>
      </c>
      <c r="F125" s="258">
        <f t="shared" si="19"/>
        <v>8.7063492470008691E-2</v>
      </c>
      <c r="G125" s="252"/>
      <c r="H125" s="249">
        <f t="shared" si="20"/>
        <v>2.6476959327565317</v>
      </c>
      <c r="J125" s="249"/>
    </row>
    <row r="126" spans="1:12" s="250" customFormat="1" ht="12.75">
      <c r="A126" s="250" t="s">
        <v>935</v>
      </c>
      <c r="B126" s="249">
        <v>2.4500000000000002</v>
      </c>
      <c r="C126" s="249"/>
      <c r="D126" s="249">
        <f>'[52]Proposed Rates'!D51</f>
        <v>0.11063244028652265</v>
      </c>
      <c r="F126" s="258">
        <f t="shared" si="19"/>
        <v>8.7063492470008691E-2</v>
      </c>
      <c r="G126" s="252"/>
      <c r="H126" s="249">
        <f t="shared" si="20"/>
        <v>2.6476959327565317</v>
      </c>
      <c r="J126" s="249"/>
    </row>
    <row r="127" spans="1:12" s="250" customFormat="1" ht="12.75">
      <c r="A127" s="250" t="s">
        <v>990</v>
      </c>
      <c r="B127" s="249">
        <v>2.4500000000000002</v>
      </c>
      <c r="C127" s="249"/>
      <c r="D127" s="249">
        <f>'[52]Proposed Rates'!D52</f>
        <v>0.11063244028652265</v>
      </c>
      <c r="F127" s="258">
        <f t="shared" si="19"/>
        <v>8.7063492470008691E-2</v>
      </c>
      <c r="G127" s="252"/>
      <c r="H127" s="249">
        <f t="shared" si="20"/>
        <v>2.6476959327565317</v>
      </c>
      <c r="J127" s="249"/>
    </row>
    <row r="128" spans="1:12" s="250" customFormat="1" ht="12.75">
      <c r="A128" s="250" t="s">
        <v>936</v>
      </c>
      <c r="B128" s="249">
        <v>2.4500000000000002</v>
      </c>
      <c r="C128" s="249"/>
      <c r="D128" s="249">
        <f>'[52]Proposed Rates'!D53</f>
        <v>0.11063244028652265</v>
      </c>
      <c r="F128" s="258">
        <f t="shared" si="19"/>
        <v>8.7063492470008691E-2</v>
      </c>
      <c r="G128" s="252"/>
      <c r="H128" s="249">
        <f t="shared" si="20"/>
        <v>2.6476959327565317</v>
      </c>
      <c r="J128" s="249"/>
    </row>
    <row r="129" spans="1:12" s="250" customFormat="1" ht="12.75">
      <c r="A129" s="250" t="s">
        <v>937</v>
      </c>
      <c r="B129" s="249">
        <v>2.4500000000000002</v>
      </c>
      <c r="C129" s="249"/>
      <c r="D129" s="249">
        <f>'[52]Proposed Rates'!D54</f>
        <v>0.11063244028652265</v>
      </c>
      <c r="F129" s="258">
        <f t="shared" si="19"/>
        <v>8.7063492470008691E-2</v>
      </c>
      <c r="G129" s="252"/>
      <c r="H129" s="249">
        <f t="shared" si="20"/>
        <v>2.6476959327565317</v>
      </c>
      <c r="J129" s="249"/>
    </row>
    <row r="130" spans="1:12" s="250" customFormat="1" ht="12.75">
      <c r="B130" s="249"/>
      <c r="C130" s="249"/>
      <c r="D130" s="249"/>
      <c r="F130" s="258"/>
      <c r="G130" s="252"/>
      <c r="H130" s="249"/>
      <c r="J130" s="249"/>
    </row>
    <row r="131" spans="1:12" s="250" customFormat="1" ht="12.75">
      <c r="A131" s="250" t="s">
        <v>991</v>
      </c>
      <c r="B131" s="249">
        <v>22.5</v>
      </c>
      <c r="C131" s="249"/>
      <c r="D131" s="249"/>
      <c r="F131" s="258">
        <f t="shared" ref="F131:F136" si="21">B131*$H$2</f>
        <v>0.79956268594905933</v>
      </c>
      <c r="G131" s="252"/>
      <c r="H131" s="249">
        <f t="shared" ref="H131:H136" si="22">B131+D131+F131</f>
        <v>23.299562685949059</v>
      </c>
      <c r="J131" s="249"/>
    </row>
    <row r="132" spans="1:12" s="250" customFormat="1" ht="12.75">
      <c r="A132" s="250" t="s">
        <v>959</v>
      </c>
      <c r="B132" s="249">
        <v>22.5</v>
      </c>
      <c r="C132" s="249"/>
      <c r="D132" s="249"/>
      <c r="F132" s="258">
        <f t="shared" si="21"/>
        <v>0.79956268594905933</v>
      </c>
      <c r="G132" s="252"/>
      <c r="H132" s="249">
        <f t="shared" si="22"/>
        <v>23.299562685949059</v>
      </c>
      <c r="J132" s="249"/>
    </row>
    <row r="133" spans="1:12" s="250" customFormat="1" ht="12.75">
      <c r="A133" s="250" t="s">
        <v>969</v>
      </c>
      <c r="B133" s="249">
        <v>22.5</v>
      </c>
      <c r="C133" s="249"/>
      <c r="D133" s="249"/>
      <c r="F133" s="258">
        <f t="shared" si="21"/>
        <v>0.79956268594905933</v>
      </c>
      <c r="G133" s="252"/>
      <c r="H133" s="249">
        <f t="shared" si="22"/>
        <v>23.299562685949059</v>
      </c>
      <c r="J133" s="249"/>
    </row>
    <row r="134" spans="1:12" s="250" customFormat="1" ht="12.75">
      <c r="A134" s="250" t="s">
        <v>960</v>
      </c>
      <c r="B134" s="249">
        <v>22.5</v>
      </c>
      <c r="C134" s="249"/>
      <c r="D134" s="249"/>
      <c r="F134" s="258">
        <f t="shared" si="21"/>
        <v>0.79956268594905933</v>
      </c>
      <c r="G134" s="252"/>
      <c r="H134" s="249">
        <f t="shared" si="22"/>
        <v>23.299562685949059</v>
      </c>
      <c r="J134" s="249"/>
    </row>
    <row r="135" spans="1:12" s="250" customFormat="1" ht="12.75">
      <c r="A135" s="250" t="s">
        <v>970</v>
      </c>
      <c r="B135" s="249">
        <v>22.5</v>
      </c>
      <c r="C135" s="249"/>
      <c r="D135" s="249"/>
      <c r="F135" s="258">
        <f t="shared" si="21"/>
        <v>0.79956268594905933</v>
      </c>
      <c r="G135" s="252"/>
      <c r="H135" s="249">
        <f t="shared" si="22"/>
        <v>23.299562685949059</v>
      </c>
      <c r="J135" s="249"/>
    </row>
    <row r="136" spans="1:12" s="250" customFormat="1" ht="12.75">
      <c r="A136" s="250" t="s">
        <v>961</v>
      </c>
      <c r="B136" s="249">
        <v>22.5</v>
      </c>
      <c r="C136" s="249"/>
      <c r="D136" s="249"/>
      <c r="F136" s="258">
        <f t="shared" si="21"/>
        <v>0.79956268594905933</v>
      </c>
      <c r="G136" s="252"/>
      <c r="H136" s="249">
        <f t="shared" si="22"/>
        <v>23.299562685949059</v>
      </c>
      <c r="J136" s="249"/>
    </row>
    <row r="137" spans="1:12" s="250" customFormat="1" ht="12.75">
      <c r="B137" s="249"/>
      <c r="C137" s="249"/>
      <c r="D137" s="249"/>
      <c r="F137" s="258"/>
      <c r="G137" s="252"/>
      <c r="H137" s="249"/>
      <c r="J137" s="249"/>
    </row>
    <row r="138" spans="1:12" s="250" customFormat="1" ht="12.75">
      <c r="A138" s="250" t="s">
        <v>1243</v>
      </c>
      <c r="B138" s="249">
        <v>17.579999999999998</v>
      </c>
      <c r="C138" s="249"/>
      <c r="D138" s="249">
        <f>'[52]Proposed Rates'!$D$57</f>
        <v>0.21880777339205412</v>
      </c>
      <c r="F138" s="258">
        <f>B138*$H$2</f>
        <v>0.62472497862153165</v>
      </c>
      <c r="G138" s="252"/>
      <c r="H138" s="249">
        <f t="shared" ref="H138:H140" si="23">B138+D138+F138</f>
        <v>18.423532752013585</v>
      </c>
      <c r="J138" s="249"/>
    </row>
    <row r="139" spans="1:12" s="250" customFormat="1" ht="12.75">
      <c r="A139" s="250" t="s">
        <v>1244</v>
      </c>
      <c r="B139" s="249">
        <v>17.579999999999998</v>
      </c>
      <c r="C139" s="249"/>
      <c r="D139" s="249">
        <f>'[52]Proposed Rates'!$D$57</f>
        <v>0.21880777339205412</v>
      </c>
      <c r="F139" s="258">
        <f>B139*$H$2</f>
        <v>0.62472497862153165</v>
      </c>
      <c r="G139" s="252"/>
      <c r="H139" s="249">
        <f t="shared" si="23"/>
        <v>18.423532752013585</v>
      </c>
      <c r="J139" s="249"/>
    </row>
    <row r="140" spans="1:12" s="250" customFormat="1" ht="12.75">
      <c r="A140" s="250" t="s">
        <v>1335</v>
      </c>
      <c r="B140" s="249">
        <v>17.579999999999998</v>
      </c>
      <c r="C140" s="249"/>
      <c r="D140" s="249">
        <f>'[52]Proposed Rates'!$D$57</f>
        <v>0.21880777339205412</v>
      </c>
      <c r="F140" s="258">
        <f>B140*$H$2</f>
        <v>0.62472497862153165</v>
      </c>
      <c r="G140" s="252"/>
      <c r="H140" s="249">
        <f t="shared" si="23"/>
        <v>18.423532752013585</v>
      </c>
      <c r="J140" s="249"/>
    </row>
    <row r="141" spans="1:12">
      <c r="H141" s="294"/>
      <c r="I141" s="293"/>
      <c r="L141" s="293"/>
    </row>
    <row r="142" spans="1:12" s="250" customFormat="1" ht="12.75">
      <c r="A142" s="270" t="s">
        <v>938</v>
      </c>
      <c r="B142" s="273"/>
      <c r="C142" s="273"/>
      <c r="D142" s="273"/>
      <c r="E142" s="290"/>
      <c r="F142" s="283"/>
      <c r="G142" s="291"/>
      <c r="H142" s="273"/>
      <c r="J142" s="249"/>
    </row>
    <row r="143" spans="1:12" s="251" customFormat="1" ht="12.75">
      <c r="A143" s="251" t="s">
        <v>939</v>
      </c>
      <c r="B143" s="286"/>
      <c r="C143" s="286"/>
      <c r="D143" s="286"/>
      <c r="F143" s="279"/>
      <c r="G143" s="292"/>
      <c r="H143" s="286"/>
      <c r="J143" s="286"/>
    </row>
    <row r="144" spans="1:12" s="250" customFormat="1" ht="12.75">
      <c r="A144" s="250" t="s">
        <v>940</v>
      </c>
      <c r="B144" s="249">
        <v>5.0999999999999996</v>
      </c>
      <c r="C144" s="249"/>
      <c r="D144" s="249"/>
      <c r="F144" s="258">
        <f>B144*$H$2</f>
        <v>0.18123420881512012</v>
      </c>
      <c r="G144" s="252"/>
      <c r="H144" s="249">
        <f t="shared" ref="H144:H145" si="24">B144+D144+F144</f>
        <v>5.2812342088151194</v>
      </c>
      <c r="J144" s="249"/>
    </row>
    <row r="145" spans="1:10" s="250" customFormat="1" ht="12.75">
      <c r="A145" s="250" t="s">
        <v>889</v>
      </c>
      <c r="B145" s="249">
        <v>30</v>
      </c>
      <c r="C145" s="249"/>
      <c r="D145" s="249"/>
      <c r="F145" s="258">
        <f>B145*$H$2</f>
        <v>1.0660835812654126</v>
      </c>
      <c r="G145" s="252"/>
      <c r="H145" s="249">
        <f t="shared" si="24"/>
        <v>31.066083581265413</v>
      </c>
      <c r="J145" s="249"/>
    </row>
    <row r="146" spans="1:10" s="250" customFormat="1" ht="12.75">
      <c r="B146" s="249"/>
      <c r="C146" s="249"/>
      <c r="D146" s="249"/>
      <c r="F146" s="258"/>
      <c r="G146" s="252"/>
      <c r="H146" s="249"/>
      <c r="J146" s="249"/>
    </row>
    <row r="147" spans="1:10" s="250" customFormat="1" ht="12.75">
      <c r="A147" s="270" t="s">
        <v>941</v>
      </c>
      <c r="B147" s="273"/>
      <c r="C147" s="273"/>
      <c r="D147" s="273"/>
      <c r="E147" s="290"/>
      <c r="F147" s="283"/>
      <c r="G147" s="291"/>
      <c r="H147" s="273"/>
      <c r="J147" s="249"/>
    </row>
    <row r="148" spans="1:10" s="250" customFormat="1" ht="12.75">
      <c r="A148" s="251" t="s">
        <v>942</v>
      </c>
      <c r="B148" s="249"/>
      <c r="C148" s="249"/>
      <c r="D148" s="249"/>
      <c r="F148" s="258"/>
      <c r="G148" s="252"/>
      <c r="H148" s="249"/>
      <c r="J148" s="249"/>
    </row>
    <row r="149" spans="1:10" s="250" customFormat="1" ht="12.75">
      <c r="A149" s="250" t="s">
        <v>992</v>
      </c>
      <c r="B149" s="249">
        <v>78.760000000000005</v>
      </c>
      <c r="C149" s="249"/>
      <c r="D149" s="249">
        <f>'[52]Proposed Rates'!D62</f>
        <v>4.019999999999996</v>
      </c>
      <c r="F149" s="258"/>
      <c r="G149" s="252"/>
      <c r="H149" s="249">
        <f t="shared" ref="H149:H159" si="25">B149+D149+F149</f>
        <v>82.78</v>
      </c>
      <c r="J149" s="249"/>
    </row>
    <row r="150" spans="1:10" s="250" customFormat="1" ht="12.75">
      <c r="A150" s="250" t="s">
        <v>993</v>
      </c>
      <c r="B150" s="249">
        <v>88.88</v>
      </c>
      <c r="C150" s="249"/>
      <c r="D150" s="249">
        <f>'[52]Proposed Rates'!D63</f>
        <v>4.3400000000000034</v>
      </c>
      <c r="F150" s="258"/>
      <c r="G150" s="252"/>
      <c r="H150" s="249">
        <f t="shared" si="25"/>
        <v>93.22</v>
      </c>
      <c r="J150" s="249"/>
    </row>
    <row r="151" spans="1:10" s="250" customFormat="1" ht="12.75">
      <c r="A151" s="250" t="s">
        <v>994</v>
      </c>
      <c r="B151" s="249">
        <v>10</v>
      </c>
      <c r="C151" s="249"/>
      <c r="D151" s="249"/>
      <c r="F151" s="258"/>
      <c r="G151" s="252"/>
      <c r="H151" s="249">
        <f t="shared" si="25"/>
        <v>10</v>
      </c>
      <c r="J151" s="249"/>
    </row>
    <row r="152" spans="1:10" s="250" customFormat="1" ht="12.75">
      <c r="A152" s="250" t="s">
        <v>995</v>
      </c>
      <c r="B152" s="249">
        <v>5.75</v>
      </c>
      <c r="C152" s="249"/>
      <c r="D152" s="249"/>
      <c r="F152" s="258"/>
      <c r="G152" s="252"/>
      <c r="H152" s="249">
        <f t="shared" si="25"/>
        <v>5.75</v>
      </c>
      <c r="J152" s="249"/>
    </row>
    <row r="153" spans="1:10" s="250" customFormat="1" ht="12.75">
      <c r="A153" s="250" t="s">
        <v>996</v>
      </c>
      <c r="B153" s="249">
        <v>11.5</v>
      </c>
      <c r="C153" s="249"/>
      <c r="D153" s="249">
        <f>'[52]Proposed Rates'!D66</f>
        <v>8.5</v>
      </c>
      <c r="F153" s="258"/>
      <c r="G153" s="252"/>
      <c r="H153" s="249">
        <f t="shared" si="25"/>
        <v>20</v>
      </c>
      <c r="J153" s="249"/>
    </row>
    <row r="154" spans="1:10" s="250" customFormat="1" ht="12.75">
      <c r="A154" s="250" t="s">
        <v>997</v>
      </c>
      <c r="B154" s="249">
        <v>5.75</v>
      </c>
      <c r="C154" s="249"/>
      <c r="D154" s="249"/>
      <c r="F154" s="258"/>
      <c r="G154" s="252"/>
      <c r="H154" s="249">
        <f t="shared" si="25"/>
        <v>5.75</v>
      </c>
      <c r="J154" s="249"/>
    </row>
    <row r="155" spans="1:10" s="250" customFormat="1" ht="12.75">
      <c r="A155" s="250" t="s">
        <v>998</v>
      </c>
      <c r="B155" s="249">
        <v>2.35</v>
      </c>
      <c r="C155" s="249"/>
      <c r="D155" s="249"/>
      <c r="F155" s="258"/>
      <c r="G155" s="252"/>
      <c r="H155" s="249">
        <f t="shared" si="25"/>
        <v>2.35</v>
      </c>
      <c r="J155" s="249"/>
    </row>
    <row r="156" spans="1:10" s="250" customFormat="1" ht="12.75">
      <c r="A156" s="250" t="s">
        <v>999</v>
      </c>
      <c r="B156" s="249">
        <v>4.6900000000000004</v>
      </c>
      <c r="C156" s="249"/>
      <c r="D156" s="249"/>
      <c r="F156" s="258"/>
      <c r="G156" s="252"/>
      <c r="H156" s="249">
        <f t="shared" si="25"/>
        <v>4.6900000000000004</v>
      </c>
      <c r="J156" s="249"/>
    </row>
    <row r="157" spans="1:10" s="250" customFormat="1" ht="12.75">
      <c r="A157" s="250" t="s">
        <v>1000</v>
      </c>
      <c r="B157" s="249">
        <v>9.3800000000000008</v>
      </c>
      <c r="C157" s="249"/>
      <c r="D157" s="249"/>
      <c r="F157" s="258"/>
      <c r="G157" s="252"/>
      <c r="H157" s="249">
        <f t="shared" si="25"/>
        <v>9.3800000000000008</v>
      </c>
      <c r="J157" s="249"/>
    </row>
    <row r="158" spans="1:10" s="250" customFormat="1" ht="12.75">
      <c r="A158" s="250" t="s">
        <v>1001</v>
      </c>
      <c r="B158" s="249">
        <v>18.77</v>
      </c>
      <c r="C158" s="249"/>
      <c r="D158" s="249"/>
      <c r="F158" s="258"/>
      <c r="G158" s="252"/>
      <c r="H158" s="249">
        <f t="shared" si="25"/>
        <v>18.77</v>
      </c>
      <c r="J158" s="249"/>
    </row>
    <row r="159" spans="1:10" s="250" customFormat="1" ht="12.75">
      <c r="A159" s="250" t="s">
        <v>1002</v>
      </c>
      <c r="B159" s="249">
        <v>28.75</v>
      </c>
      <c r="C159" s="249"/>
      <c r="D159" s="249"/>
      <c r="F159" s="258"/>
      <c r="G159" s="252"/>
      <c r="H159" s="249">
        <f t="shared" si="25"/>
        <v>28.75</v>
      </c>
      <c r="J159" s="249"/>
    </row>
    <row r="160" spans="1:10" s="250" customFormat="1" ht="12.75">
      <c r="B160" s="249"/>
      <c r="C160" s="249"/>
      <c r="D160" s="249"/>
      <c r="F160" s="258"/>
      <c r="G160" s="252"/>
      <c r="H160" s="249"/>
      <c r="J160" s="249"/>
    </row>
    <row r="161" spans="1:18" s="250" customFormat="1" ht="12.75">
      <c r="A161" s="270" t="s">
        <v>943</v>
      </c>
      <c r="B161" s="273"/>
      <c r="C161" s="273"/>
      <c r="D161" s="273"/>
      <c r="E161" s="290"/>
      <c r="F161" s="283"/>
      <c r="G161" s="291"/>
      <c r="H161" s="273"/>
      <c r="J161" s="249"/>
    </row>
    <row r="162" spans="1:18" s="249" customFormat="1" ht="12.75">
      <c r="A162" s="277" t="s">
        <v>944</v>
      </c>
      <c r="E162" s="250"/>
      <c r="F162" s="258"/>
      <c r="G162" s="252"/>
      <c r="I162" s="250"/>
      <c r="K162" s="250"/>
      <c r="L162" s="250"/>
      <c r="M162" s="250"/>
      <c r="N162" s="250"/>
      <c r="O162" s="250"/>
      <c r="P162" s="250"/>
      <c r="Q162" s="250"/>
      <c r="R162" s="250"/>
    </row>
    <row r="163" spans="1:18" s="249" customFormat="1" ht="12.75">
      <c r="A163" s="250" t="s">
        <v>989</v>
      </c>
      <c r="B163" s="249">
        <v>12.03</v>
      </c>
      <c r="E163" s="250"/>
      <c r="F163" s="258">
        <f t="shared" ref="F163:F170" si="26">B163*$H$2</f>
        <v>0.42749951608743036</v>
      </c>
      <c r="G163" s="252"/>
      <c r="H163" s="249">
        <f t="shared" ref="H163:H170" si="27">B163+D163+F163</f>
        <v>12.457499516087429</v>
      </c>
      <c r="I163" s="250"/>
      <c r="K163" s="250"/>
      <c r="L163" s="250"/>
      <c r="M163" s="250"/>
      <c r="N163" s="250"/>
      <c r="O163" s="250"/>
      <c r="P163" s="250"/>
      <c r="Q163" s="250"/>
      <c r="R163" s="250"/>
    </row>
    <row r="164" spans="1:18" s="249" customFormat="1" ht="12.75">
      <c r="A164" s="250" t="s">
        <v>933</v>
      </c>
      <c r="B164" s="249">
        <v>13.6</v>
      </c>
      <c r="E164" s="250"/>
      <c r="F164" s="258">
        <f t="shared" si="26"/>
        <v>0.483291223506987</v>
      </c>
      <c r="G164" s="252"/>
      <c r="H164" s="249">
        <f t="shared" si="27"/>
        <v>14.083291223506986</v>
      </c>
      <c r="I164" s="250"/>
      <c r="K164" s="250"/>
      <c r="L164" s="250"/>
      <c r="M164" s="250"/>
      <c r="N164" s="250"/>
      <c r="O164" s="250"/>
      <c r="P164" s="250"/>
      <c r="Q164" s="250"/>
      <c r="R164" s="250"/>
    </row>
    <row r="165" spans="1:18" s="249" customFormat="1" ht="12.75">
      <c r="A165" s="250" t="s">
        <v>1003</v>
      </c>
      <c r="B165" s="249">
        <v>14.64</v>
      </c>
      <c r="E165" s="250"/>
      <c r="F165" s="258">
        <f t="shared" si="26"/>
        <v>0.52024878765752136</v>
      </c>
      <c r="G165" s="252"/>
      <c r="H165" s="249">
        <f t="shared" si="27"/>
        <v>15.160248787657522</v>
      </c>
      <c r="I165" s="250"/>
      <c r="K165" s="250"/>
      <c r="L165" s="250"/>
      <c r="M165" s="250"/>
      <c r="N165" s="250"/>
      <c r="O165" s="250"/>
      <c r="P165" s="250"/>
      <c r="Q165" s="250"/>
      <c r="R165" s="250"/>
    </row>
    <row r="166" spans="1:18" s="249" customFormat="1" ht="12.75">
      <c r="A166" s="250" t="s">
        <v>934</v>
      </c>
      <c r="B166" s="249">
        <v>15.69</v>
      </c>
      <c r="E166" s="250"/>
      <c r="F166" s="258">
        <f t="shared" si="26"/>
        <v>0.55756171300181068</v>
      </c>
      <c r="G166" s="252"/>
      <c r="H166" s="249">
        <f t="shared" si="27"/>
        <v>16.247561713001812</v>
      </c>
      <c r="I166" s="250"/>
      <c r="K166" s="250"/>
      <c r="L166" s="250"/>
      <c r="M166" s="250"/>
      <c r="N166" s="250"/>
      <c r="O166" s="250"/>
      <c r="P166" s="250"/>
      <c r="Q166" s="250"/>
      <c r="R166" s="250"/>
    </row>
    <row r="167" spans="1:18" s="249" customFormat="1" ht="12.75">
      <c r="A167" s="250" t="s">
        <v>935</v>
      </c>
      <c r="B167" s="249">
        <v>16.73</v>
      </c>
      <c r="E167" s="250"/>
      <c r="F167" s="258">
        <f t="shared" si="26"/>
        <v>0.59451927715234509</v>
      </c>
      <c r="G167" s="252"/>
      <c r="H167" s="249">
        <f t="shared" si="27"/>
        <v>17.324519277152344</v>
      </c>
      <c r="I167" s="250"/>
      <c r="K167" s="250"/>
      <c r="L167" s="250"/>
      <c r="M167" s="250"/>
      <c r="N167" s="250"/>
      <c r="O167" s="250"/>
      <c r="P167" s="250"/>
      <c r="Q167" s="250"/>
      <c r="R167" s="250"/>
    </row>
    <row r="168" spans="1:18" s="249" customFormat="1" ht="12.75">
      <c r="A168" s="250" t="s">
        <v>990</v>
      </c>
      <c r="B168" s="249">
        <v>17.78</v>
      </c>
      <c r="E168" s="250"/>
      <c r="F168" s="258">
        <f t="shared" si="26"/>
        <v>0.63183220249663452</v>
      </c>
      <c r="G168" s="252"/>
      <c r="H168" s="249">
        <f t="shared" si="27"/>
        <v>18.411832202496637</v>
      </c>
      <c r="I168" s="250"/>
      <c r="K168" s="250"/>
      <c r="L168" s="250"/>
      <c r="M168" s="250"/>
      <c r="N168" s="250"/>
      <c r="O168" s="250"/>
      <c r="P168" s="250"/>
      <c r="Q168" s="250"/>
      <c r="R168" s="250"/>
    </row>
    <row r="169" spans="1:18" s="249" customFormat="1" ht="12.75">
      <c r="A169" s="250" t="s">
        <v>936</v>
      </c>
      <c r="B169" s="249">
        <v>18.82</v>
      </c>
      <c r="E169" s="250"/>
      <c r="F169" s="258">
        <f t="shared" si="26"/>
        <v>0.66878976664716883</v>
      </c>
      <c r="G169" s="252"/>
      <c r="H169" s="249">
        <f t="shared" si="27"/>
        <v>19.488789766647169</v>
      </c>
      <c r="I169" s="250"/>
      <c r="K169" s="250"/>
      <c r="L169" s="250"/>
      <c r="M169" s="250"/>
      <c r="N169" s="250"/>
      <c r="O169" s="250"/>
      <c r="P169" s="250"/>
      <c r="Q169" s="250"/>
      <c r="R169" s="250"/>
    </row>
    <row r="170" spans="1:18" s="249" customFormat="1" ht="12.75">
      <c r="A170" s="250" t="s">
        <v>937</v>
      </c>
      <c r="B170" s="249">
        <v>21.96</v>
      </c>
      <c r="E170" s="250"/>
      <c r="F170" s="258">
        <f t="shared" si="26"/>
        <v>0.78037318148628199</v>
      </c>
      <c r="G170" s="252"/>
      <c r="H170" s="249">
        <f t="shared" si="27"/>
        <v>22.740373181486284</v>
      </c>
      <c r="I170" s="250"/>
      <c r="K170" s="250"/>
      <c r="L170" s="250"/>
      <c r="M170" s="250"/>
      <c r="N170" s="250"/>
      <c r="O170" s="250"/>
      <c r="P170" s="250"/>
      <c r="Q170" s="250"/>
      <c r="R170" s="250"/>
    </row>
    <row r="171" spans="1:18" s="249" customFormat="1" ht="12.75">
      <c r="A171" s="277"/>
      <c r="E171" s="250"/>
      <c r="F171" s="258"/>
      <c r="G171" s="252"/>
      <c r="I171" s="250"/>
      <c r="K171" s="250"/>
      <c r="L171" s="250"/>
      <c r="M171" s="250"/>
      <c r="N171" s="250"/>
      <c r="O171" s="250"/>
      <c r="P171" s="250"/>
      <c r="Q171" s="250"/>
      <c r="R171" s="250"/>
    </row>
    <row r="172" spans="1:18" s="249" customFormat="1" ht="12.75">
      <c r="A172" s="277" t="s">
        <v>945</v>
      </c>
      <c r="E172" s="250"/>
      <c r="F172" s="258"/>
      <c r="G172" s="252"/>
      <c r="I172" s="250"/>
      <c r="K172" s="250"/>
      <c r="L172" s="250"/>
      <c r="M172" s="250"/>
      <c r="N172" s="250"/>
      <c r="O172" s="250"/>
      <c r="P172" s="250"/>
      <c r="Q172" s="250"/>
      <c r="R172" s="250"/>
    </row>
    <row r="173" spans="1:18" s="249" customFormat="1" ht="12.75">
      <c r="A173" s="250" t="s">
        <v>989</v>
      </c>
      <c r="B173" s="249">
        <v>16.899999999999999</v>
      </c>
      <c r="D173" s="249">
        <f>'[52]Proposed Rates'!D77</f>
        <v>0.30633088274887577</v>
      </c>
      <c r="E173" s="250"/>
      <c r="F173" s="258">
        <f t="shared" ref="F173:F180" si="28">B173*$H$2</f>
        <v>0.60056041744618227</v>
      </c>
      <c r="G173" s="252"/>
      <c r="H173" s="249">
        <f t="shared" ref="H173:H180" si="29">B173+D173+F173</f>
        <v>17.806891300195055</v>
      </c>
      <c r="I173" s="250"/>
      <c r="K173" s="250"/>
      <c r="L173" s="250"/>
      <c r="M173" s="250"/>
      <c r="N173" s="250"/>
      <c r="O173" s="250"/>
      <c r="P173" s="250"/>
      <c r="Q173" s="250"/>
      <c r="R173" s="250"/>
    </row>
    <row r="174" spans="1:18" s="249" customFormat="1" ht="12.75">
      <c r="A174" s="250" t="s">
        <v>933</v>
      </c>
      <c r="B174" s="249">
        <v>22.77</v>
      </c>
      <c r="D174" s="249">
        <f>'[52]Proposed Rates'!D78</f>
        <v>0.4376155467841083</v>
      </c>
      <c r="E174" s="250"/>
      <c r="F174" s="258">
        <f t="shared" si="28"/>
        <v>0.80915743818044805</v>
      </c>
      <c r="G174" s="252"/>
      <c r="H174" s="249">
        <f t="shared" si="29"/>
        <v>24.016772984964557</v>
      </c>
      <c r="I174" s="250"/>
      <c r="K174" s="250"/>
      <c r="L174" s="250"/>
      <c r="M174" s="250"/>
      <c r="N174" s="250"/>
      <c r="O174" s="250"/>
      <c r="P174" s="250"/>
      <c r="Q174" s="250"/>
      <c r="R174" s="250"/>
    </row>
    <row r="175" spans="1:18" s="249" customFormat="1" ht="12.75">
      <c r="A175" s="250" t="s">
        <v>1003</v>
      </c>
      <c r="B175" s="249">
        <v>27.06</v>
      </c>
      <c r="D175" s="249">
        <f>'[52]Proposed Rates'!D79</f>
        <v>0.56714974863220435</v>
      </c>
      <c r="E175" s="250"/>
      <c r="F175" s="258">
        <f t="shared" si="28"/>
        <v>0.96160739030140208</v>
      </c>
      <c r="G175" s="252"/>
      <c r="H175" s="249">
        <f t="shared" si="29"/>
        <v>28.588757138933605</v>
      </c>
      <c r="I175" s="250"/>
      <c r="K175" s="250"/>
      <c r="L175" s="250"/>
      <c r="M175" s="250"/>
      <c r="N175" s="250"/>
      <c r="O175" s="250"/>
      <c r="P175" s="250"/>
      <c r="Q175" s="250"/>
      <c r="R175" s="250"/>
    </row>
    <row r="176" spans="1:18" s="249" customFormat="1" ht="12.75">
      <c r="A176" s="250" t="s">
        <v>934</v>
      </c>
      <c r="B176" s="249">
        <v>37.72</v>
      </c>
      <c r="D176" s="249">
        <f>'[52]Proposed Rates'!D80</f>
        <v>0.82796861451553283</v>
      </c>
      <c r="E176" s="250"/>
      <c r="F176" s="258">
        <f t="shared" si="28"/>
        <v>1.3404224228443786</v>
      </c>
      <c r="G176" s="252"/>
      <c r="H176" s="249">
        <f t="shared" si="29"/>
        <v>39.888391037359909</v>
      </c>
      <c r="I176" s="250"/>
      <c r="K176" s="250"/>
      <c r="L176" s="250"/>
      <c r="M176" s="250"/>
      <c r="N176" s="250"/>
      <c r="O176" s="250"/>
      <c r="P176" s="250"/>
      <c r="Q176" s="250"/>
      <c r="R176" s="250"/>
    </row>
    <row r="177" spans="1:18" s="249" customFormat="1" ht="12.75">
      <c r="A177" s="250" t="s">
        <v>935</v>
      </c>
      <c r="B177" s="249">
        <v>48.82</v>
      </c>
      <c r="D177" s="249">
        <f>'[52]Proposed Rates'!D81</f>
        <v>1.0730333207146334</v>
      </c>
      <c r="E177" s="250"/>
      <c r="F177" s="258">
        <f t="shared" si="28"/>
        <v>1.7348733479125813</v>
      </c>
      <c r="G177" s="252"/>
      <c r="H177" s="249">
        <f t="shared" si="29"/>
        <v>51.627906668627219</v>
      </c>
      <c r="I177" s="250"/>
      <c r="K177" s="250"/>
      <c r="L177" s="250"/>
      <c r="M177" s="250"/>
      <c r="N177" s="250"/>
      <c r="O177" s="250"/>
      <c r="P177" s="250"/>
      <c r="Q177" s="250"/>
      <c r="R177" s="250"/>
    </row>
    <row r="178" spans="1:18" s="249" customFormat="1" ht="12.75">
      <c r="A178" s="250" t="s">
        <v>990</v>
      </c>
      <c r="B178" s="249">
        <v>59.96</v>
      </c>
      <c r="D178" s="249">
        <f>'[52]Proposed Rates'!D82</f>
        <v>1.2743364722353234</v>
      </c>
      <c r="E178" s="250"/>
      <c r="F178" s="258">
        <f t="shared" si="28"/>
        <v>2.1307457177558047</v>
      </c>
      <c r="G178" s="252"/>
      <c r="H178" s="249">
        <f t="shared" si="29"/>
        <v>63.365082189991135</v>
      </c>
      <c r="I178" s="250"/>
      <c r="K178" s="250"/>
      <c r="L178" s="250"/>
      <c r="M178" s="250"/>
      <c r="N178" s="250"/>
      <c r="O178" s="250"/>
      <c r="P178" s="250"/>
      <c r="Q178" s="250"/>
      <c r="R178" s="250"/>
    </row>
    <row r="179" spans="1:18" s="249" customFormat="1" ht="12.75">
      <c r="A179" s="250" t="s">
        <v>936</v>
      </c>
      <c r="B179" s="249">
        <v>71.010000000000005</v>
      </c>
      <c r="D179" s="249">
        <f>'[52]Proposed Rates'!D83</f>
        <v>1.4703882371946038</v>
      </c>
      <c r="E179" s="250"/>
      <c r="F179" s="258">
        <f t="shared" si="28"/>
        <v>2.5234198368552314</v>
      </c>
      <c r="G179" s="252"/>
      <c r="H179" s="249">
        <f t="shared" si="29"/>
        <v>75.003808074049829</v>
      </c>
      <c r="I179" s="250"/>
      <c r="K179" s="250"/>
      <c r="L179" s="250"/>
      <c r="M179" s="250"/>
      <c r="N179" s="250"/>
      <c r="O179" s="250"/>
      <c r="P179" s="250"/>
      <c r="Q179" s="250"/>
      <c r="R179" s="250"/>
    </row>
    <row r="180" spans="1:18" s="249" customFormat="1" ht="12.75">
      <c r="A180" s="250" t="s">
        <v>937</v>
      </c>
      <c r="B180" s="249">
        <v>92.97</v>
      </c>
      <c r="D180" s="249">
        <f>'[52]Proposed Rates'!D84</f>
        <v>1.7154529433937047</v>
      </c>
      <c r="E180" s="250"/>
      <c r="F180" s="258">
        <f t="shared" si="28"/>
        <v>3.3037930183415134</v>
      </c>
      <c r="G180" s="252"/>
      <c r="H180" s="249">
        <f t="shared" si="29"/>
        <v>97.989245961735207</v>
      </c>
      <c r="I180" s="250"/>
      <c r="K180" s="250"/>
      <c r="L180" s="250"/>
      <c r="M180" s="250"/>
      <c r="N180" s="250"/>
      <c r="O180" s="250"/>
      <c r="P180" s="250"/>
      <c r="Q180" s="250"/>
      <c r="R180" s="250"/>
    </row>
    <row r="181" spans="1:18" s="249" customFormat="1" ht="12.75">
      <c r="A181" s="274"/>
      <c r="B181" s="249" t="s">
        <v>401</v>
      </c>
      <c r="E181" s="250"/>
      <c r="F181" s="258"/>
      <c r="G181" s="252"/>
      <c r="I181" s="250"/>
      <c r="K181" s="250"/>
      <c r="L181" s="250"/>
      <c r="M181" s="250"/>
      <c r="N181" s="250"/>
      <c r="O181" s="250"/>
      <c r="P181" s="250"/>
      <c r="Q181" s="250"/>
      <c r="R181" s="250"/>
    </row>
    <row r="182" spans="1:18" s="249" customFormat="1" ht="12.75">
      <c r="A182" s="251" t="s">
        <v>946</v>
      </c>
      <c r="E182" s="250"/>
      <c r="F182" s="258"/>
      <c r="G182" s="252"/>
      <c r="I182" s="250"/>
      <c r="K182" s="250"/>
      <c r="L182" s="250"/>
      <c r="M182" s="250"/>
      <c r="N182" s="250"/>
      <c r="O182" s="250"/>
      <c r="P182" s="250"/>
      <c r="Q182" s="250"/>
      <c r="R182" s="250"/>
    </row>
    <row r="183" spans="1:18" s="249" customFormat="1" ht="12.75">
      <c r="A183" s="250" t="s">
        <v>989</v>
      </c>
      <c r="B183" s="249">
        <v>17.899999999999999</v>
      </c>
      <c r="D183" s="249">
        <f>'[52]Proposed Rates'!D87</f>
        <v>0.30633088274887582</v>
      </c>
      <c r="E183" s="250"/>
      <c r="F183" s="258">
        <f t="shared" ref="F183:F190" si="30">B183*$H$2</f>
        <v>0.63609653682169609</v>
      </c>
      <c r="G183" s="252"/>
      <c r="H183" s="249">
        <f t="shared" ref="H183:H190" si="31">B183+D183+F183</f>
        <v>18.842427419570573</v>
      </c>
      <c r="I183" s="250"/>
      <c r="K183" s="250"/>
      <c r="L183" s="250"/>
      <c r="M183" s="250"/>
      <c r="N183" s="250"/>
      <c r="O183" s="250"/>
      <c r="P183" s="250"/>
      <c r="Q183" s="250"/>
      <c r="R183" s="250"/>
    </row>
    <row r="184" spans="1:18" s="249" customFormat="1" ht="12.75">
      <c r="A184" s="250" t="s">
        <v>933</v>
      </c>
      <c r="B184" s="249">
        <v>23.77</v>
      </c>
      <c r="D184" s="249">
        <f>'[52]Proposed Rates'!D88</f>
        <v>0.43761554678410824</v>
      </c>
      <c r="E184" s="250"/>
      <c r="F184" s="258">
        <f t="shared" si="30"/>
        <v>0.84469355755596187</v>
      </c>
      <c r="G184" s="252"/>
      <c r="H184" s="249">
        <f t="shared" si="31"/>
        <v>25.052309104340072</v>
      </c>
      <c r="I184" s="250"/>
      <c r="K184" s="250"/>
      <c r="L184" s="250"/>
      <c r="M184" s="250"/>
      <c r="N184" s="250"/>
      <c r="O184" s="250"/>
      <c r="P184" s="250"/>
      <c r="Q184" s="250"/>
      <c r="R184" s="250"/>
    </row>
    <row r="185" spans="1:18" s="249" customFormat="1" ht="12.75">
      <c r="A185" s="250" t="s">
        <v>1003</v>
      </c>
      <c r="B185" s="249">
        <v>28.06</v>
      </c>
      <c r="D185" s="249">
        <f>'[52]Proposed Rates'!D89</f>
        <v>0.56714974863220435</v>
      </c>
      <c r="E185" s="250"/>
      <c r="F185" s="258">
        <f t="shared" si="30"/>
        <v>0.99714350967691578</v>
      </c>
      <c r="G185" s="252"/>
      <c r="H185" s="249">
        <f t="shared" si="31"/>
        <v>29.62429325830912</v>
      </c>
      <c r="I185" s="250"/>
      <c r="K185" s="250"/>
      <c r="L185" s="250"/>
      <c r="M185" s="250"/>
      <c r="N185" s="250"/>
      <c r="O185" s="250"/>
      <c r="P185" s="250"/>
      <c r="Q185" s="250"/>
      <c r="R185" s="250"/>
    </row>
    <row r="186" spans="1:18" s="249" customFormat="1" ht="12.75">
      <c r="A186" s="250" t="s">
        <v>934</v>
      </c>
      <c r="B186" s="249">
        <v>38.72</v>
      </c>
      <c r="D186" s="249">
        <f>'[52]Proposed Rates'!D90</f>
        <v>0.82796861451553283</v>
      </c>
      <c r="E186" s="250"/>
      <c r="F186" s="258">
        <f t="shared" si="30"/>
        <v>1.3759585422198923</v>
      </c>
      <c r="G186" s="252"/>
      <c r="H186" s="249">
        <f t="shared" si="31"/>
        <v>40.923927156735424</v>
      </c>
      <c r="I186" s="250"/>
      <c r="K186" s="250"/>
      <c r="L186" s="250"/>
      <c r="M186" s="250"/>
      <c r="N186" s="250"/>
      <c r="O186" s="250"/>
      <c r="P186" s="250"/>
      <c r="Q186" s="250"/>
      <c r="R186" s="250"/>
    </row>
    <row r="187" spans="1:18" s="249" customFormat="1" ht="12.75">
      <c r="A187" s="250" t="s">
        <v>935</v>
      </c>
      <c r="B187" s="249">
        <v>49.82</v>
      </c>
      <c r="D187" s="249">
        <f>'[52]Proposed Rates'!D91</f>
        <v>1.0730333207146336</v>
      </c>
      <c r="E187" s="250"/>
      <c r="F187" s="258">
        <f t="shared" si="30"/>
        <v>1.770409467288095</v>
      </c>
      <c r="G187" s="252"/>
      <c r="H187" s="249">
        <f t="shared" si="31"/>
        <v>52.663442788002733</v>
      </c>
      <c r="I187" s="250"/>
      <c r="K187" s="250"/>
      <c r="L187" s="250"/>
      <c r="M187" s="250"/>
      <c r="N187" s="250"/>
      <c r="O187" s="250"/>
      <c r="P187" s="250"/>
      <c r="Q187" s="250"/>
      <c r="R187" s="250"/>
    </row>
    <row r="188" spans="1:18" s="249" customFormat="1" ht="12.75">
      <c r="A188" s="250" t="s">
        <v>990</v>
      </c>
      <c r="B188" s="249">
        <v>60.96</v>
      </c>
      <c r="D188" s="249">
        <f>'[52]Proposed Rates'!D92</f>
        <v>1.2743364722353232</v>
      </c>
      <c r="E188" s="250"/>
      <c r="F188" s="258">
        <f t="shared" si="30"/>
        <v>2.1662818371313182</v>
      </c>
      <c r="G188" s="252"/>
      <c r="H188" s="249">
        <f t="shared" si="31"/>
        <v>64.400618309366649</v>
      </c>
      <c r="I188" s="250"/>
      <c r="K188" s="250"/>
      <c r="L188" s="250"/>
      <c r="M188" s="250"/>
      <c r="N188" s="250"/>
      <c r="O188" s="250"/>
      <c r="P188" s="250"/>
      <c r="Q188" s="250"/>
      <c r="R188" s="250"/>
    </row>
    <row r="189" spans="1:18" s="249" customFormat="1" ht="12.75">
      <c r="A189" s="250" t="s">
        <v>936</v>
      </c>
      <c r="B189" s="249">
        <v>72.010000000000005</v>
      </c>
      <c r="D189" s="249">
        <f>'[52]Proposed Rates'!D93</f>
        <v>1.470388237194604</v>
      </c>
      <c r="E189" s="250"/>
      <c r="F189" s="258">
        <f t="shared" si="30"/>
        <v>2.5589559562307453</v>
      </c>
      <c r="G189" s="252"/>
      <c r="H189" s="249">
        <f t="shared" si="31"/>
        <v>76.03934419342535</v>
      </c>
      <c r="I189" s="250"/>
      <c r="K189" s="250"/>
      <c r="L189" s="250"/>
      <c r="M189" s="250"/>
      <c r="N189" s="250"/>
      <c r="O189" s="250"/>
      <c r="P189" s="250"/>
      <c r="Q189" s="250"/>
      <c r="R189" s="250"/>
    </row>
    <row r="190" spans="1:18" s="249" customFormat="1" ht="12.75">
      <c r="A190" s="250" t="s">
        <v>937</v>
      </c>
      <c r="B190" s="249">
        <v>93.97</v>
      </c>
      <c r="D190" s="249">
        <f>'[52]Proposed Rates'!D94</f>
        <v>1.7154529433937045</v>
      </c>
      <c r="E190" s="250"/>
      <c r="F190" s="258">
        <f t="shared" si="30"/>
        <v>3.3393291377170269</v>
      </c>
      <c r="G190" s="252"/>
      <c r="H190" s="249">
        <f t="shared" si="31"/>
        <v>99.024782081110729</v>
      </c>
      <c r="I190" s="250"/>
      <c r="K190" s="250"/>
      <c r="L190" s="250"/>
      <c r="M190" s="250"/>
      <c r="N190" s="250"/>
      <c r="O190" s="250"/>
      <c r="P190" s="250"/>
      <c r="Q190" s="250"/>
      <c r="R190" s="250"/>
    </row>
    <row r="191" spans="1:18" s="249" customFormat="1" ht="12.75">
      <c r="A191" s="274"/>
      <c r="B191" s="249" t="s">
        <v>401</v>
      </c>
      <c r="E191" s="250"/>
      <c r="F191" s="258"/>
      <c r="G191" s="252"/>
      <c r="I191" s="250"/>
      <c r="K191" s="250"/>
      <c r="L191" s="250"/>
      <c r="M191" s="250"/>
      <c r="N191" s="250"/>
      <c r="O191" s="250"/>
      <c r="P191" s="250"/>
      <c r="Q191" s="250"/>
      <c r="R191" s="250"/>
    </row>
    <row r="192" spans="1:18" s="249" customFormat="1" ht="12.75">
      <c r="A192" s="277" t="s">
        <v>947</v>
      </c>
      <c r="E192" s="250"/>
      <c r="F192" s="258"/>
      <c r="G192" s="252"/>
      <c r="I192" s="250"/>
      <c r="K192" s="250"/>
      <c r="L192" s="250"/>
      <c r="M192" s="250"/>
      <c r="N192" s="250"/>
      <c r="O192" s="250"/>
      <c r="P192" s="250"/>
      <c r="Q192" s="250"/>
      <c r="R192" s="250"/>
    </row>
    <row r="193" spans="1:18" s="249" customFormat="1" ht="12.75">
      <c r="A193" s="277" t="s">
        <v>948</v>
      </c>
      <c r="E193" s="250"/>
      <c r="F193" s="258"/>
      <c r="G193" s="252"/>
      <c r="I193" s="250"/>
      <c r="K193" s="250"/>
      <c r="L193" s="250"/>
      <c r="M193" s="250"/>
      <c r="N193" s="250"/>
      <c r="O193" s="250"/>
      <c r="P193" s="250"/>
      <c r="Q193" s="250"/>
      <c r="R193" s="250"/>
    </row>
    <row r="194" spans="1:18" s="249" customFormat="1" ht="12.75">
      <c r="A194" s="250" t="s">
        <v>989</v>
      </c>
      <c r="B194" s="249">
        <v>31.4</v>
      </c>
      <c r="E194" s="250"/>
      <c r="F194" s="258">
        <f t="shared" ref="F194:F201" si="32">B194*$H$2</f>
        <v>1.1158341483911316</v>
      </c>
      <c r="G194" s="252"/>
      <c r="H194" s="249">
        <f t="shared" ref="H194:H201" si="33">B194+D194+F194</f>
        <v>32.515834148391129</v>
      </c>
      <c r="I194" s="250"/>
      <c r="K194" s="250"/>
      <c r="L194" s="250"/>
      <c r="M194" s="250"/>
      <c r="N194" s="250"/>
      <c r="O194" s="250"/>
      <c r="P194" s="250"/>
      <c r="Q194" s="250"/>
      <c r="R194" s="250"/>
    </row>
    <row r="195" spans="1:18" s="249" customFormat="1" ht="12.75">
      <c r="A195" s="250" t="s">
        <v>933</v>
      </c>
      <c r="B195" s="249">
        <v>31.4</v>
      </c>
      <c r="E195" s="250"/>
      <c r="F195" s="258">
        <f t="shared" si="32"/>
        <v>1.1158341483911316</v>
      </c>
      <c r="G195" s="252"/>
      <c r="H195" s="249">
        <f t="shared" si="33"/>
        <v>32.515834148391129</v>
      </c>
      <c r="I195" s="250"/>
      <c r="K195" s="250"/>
      <c r="L195" s="250"/>
      <c r="M195" s="250"/>
      <c r="N195" s="250"/>
      <c r="O195" s="250"/>
      <c r="P195" s="250"/>
      <c r="Q195" s="250"/>
      <c r="R195" s="250"/>
    </row>
    <row r="196" spans="1:18" s="249" customFormat="1" ht="12.75">
      <c r="A196" s="250" t="s">
        <v>1003</v>
      </c>
      <c r="B196" s="249">
        <v>31.4</v>
      </c>
      <c r="E196" s="250"/>
      <c r="F196" s="258">
        <f t="shared" si="32"/>
        <v>1.1158341483911316</v>
      </c>
      <c r="G196" s="252"/>
      <c r="H196" s="249">
        <f t="shared" si="33"/>
        <v>32.515834148391129</v>
      </c>
      <c r="I196" s="250"/>
      <c r="K196" s="250"/>
      <c r="L196" s="250"/>
      <c r="M196" s="250"/>
      <c r="N196" s="250"/>
      <c r="O196" s="250"/>
      <c r="P196" s="250"/>
      <c r="Q196" s="250"/>
      <c r="R196" s="250"/>
    </row>
    <row r="197" spans="1:18" s="249" customFormat="1" ht="12.75">
      <c r="A197" s="250" t="s">
        <v>934</v>
      </c>
      <c r="B197" s="249">
        <v>31.4</v>
      </c>
      <c r="E197" s="250"/>
      <c r="F197" s="258">
        <f t="shared" si="32"/>
        <v>1.1158341483911316</v>
      </c>
      <c r="G197" s="252"/>
      <c r="H197" s="249">
        <f t="shared" si="33"/>
        <v>32.515834148391129</v>
      </c>
      <c r="I197" s="250"/>
      <c r="K197" s="250"/>
      <c r="L197" s="250"/>
      <c r="M197" s="250"/>
      <c r="N197" s="250"/>
      <c r="O197" s="250"/>
      <c r="P197" s="250"/>
      <c r="Q197" s="250"/>
      <c r="R197" s="250"/>
    </row>
    <row r="198" spans="1:18" s="249" customFormat="1" ht="12.75">
      <c r="A198" s="250" t="s">
        <v>935</v>
      </c>
      <c r="B198" s="249">
        <v>31.4</v>
      </c>
      <c r="E198" s="250"/>
      <c r="F198" s="258">
        <f t="shared" si="32"/>
        <v>1.1158341483911316</v>
      </c>
      <c r="G198" s="252"/>
      <c r="H198" s="249">
        <f t="shared" si="33"/>
        <v>32.515834148391129</v>
      </c>
      <c r="I198" s="250"/>
      <c r="K198" s="250"/>
      <c r="L198" s="250"/>
      <c r="M198" s="250"/>
      <c r="N198" s="250"/>
      <c r="O198" s="250"/>
      <c r="P198" s="250"/>
      <c r="Q198" s="250"/>
      <c r="R198" s="250"/>
    </row>
    <row r="199" spans="1:18" s="249" customFormat="1" ht="12.75">
      <c r="A199" s="250" t="s">
        <v>990</v>
      </c>
      <c r="B199" s="249">
        <v>31.4</v>
      </c>
      <c r="E199" s="250"/>
      <c r="F199" s="258">
        <f t="shared" si="32"/>
        <v>1.1158341483911316</v>
      </c>
      <c r="G199" s="252"/>
      <c r="H199" s="249">
        <f t="shared" si="33"/>
        <v>32.515834148391129</v>
      </c>
      <c r="I199" s="250"/>
      <c r="K199" s="250"/>
      <c r="L199" s="250"/>
      <c r="M199" s="250"/>
      <c r="N199" s="250"/>
      <c r="O199" s="250"/>
      <c r="P199" s="250"/>
      <c r="Q199" s="250"/>
      <c r="R199" s="250"/>
    </row>
    <row r="200" spans="1:18" s="249" customFormat="1" ht="12.75">
      <c r="A200" s="250" t="s">
        <v>936</v>
      </c>
      <c r="B200" s="249">
        <v>31.4</v>
      </c>
      <c r="E200" s="250"/>
      <c r="F200" s="258">
        <f t="shared" si="32"/>
        <v>1.1158341483911316</v>
      </c>
      <c r="G200" s="252"/>
      <c r="H200" s="249">
        <f t="shared" si="33"/>
        <v>32.515834148391129</v>
      </c>
      <c r="I200" s="250"/>
      <c r="K200" s="250"/>
      <c r="L200" s="250"/>
      <c r="M200" s="250"/>
      <c r="N200" s="250"/>
      <c r="O200" s="250"/>
      <c r="P200" s="250"/>
      <c r="Q200" s="250"/>
      <c r="R200" s="250"/>
    </row>
    <row r="201" spans="1:18" s="249" customFormat="1" ht="12.75">
      <c r="A201" s="250" t="s">
        <v>937</v>
      </c>
      <c r="B201" s="249">
        <v>31.4</v>
      </c>
      <c r="E201" s="250"/>
      <c r="F201" s="258">
        <f t="shared" si="32"/>
        <v>1.1158341483911316</v>
      </c>
      <c r="G201" s="252"/>
      <c r="H201" s="249">
        <f t="shared" si="33"/>
        <v>32.515834148391129</v>
      </c>
      <c r="I201" s="250"/>
      <c r="K201" s="250"/>
      <c r="L201" s="250"/>
      <c r="M201" s="250"/>
      <c r="N201" s="250"/>
      <c r="O201" s="250"/>
      <c r="P201" s="250"/>
      <c r="Q201" s="250"/>
      <c r="R201" s="250"/>
    </row>
    <row r="202" spans="1:18" s="249" customFormat="1" ht="12.75">
      <c r="A202" s="250"/>
      <c r="E202" s="250"/>
      <c r="F202" s="258"/>
      <c r="G202" s="252"/>
      <c r="I202" s="250"/>
      <c r="K202" s="250"/>
      <c r="L202" s="250"/>
      <c r="M202" s="250"/>
      <c r="N202" s="250"/>
      <c r="O202" s="250"/>
      <c r="P202" s="250"/>
      <c r="Q202" s="250"/>
      <c r="R202" s="250"/>
    </row>
    <row r="203" spans="1:18" s="249" customFormat="1" ht="12.75">
      <c r="A203" s="251" t="s">
        <v>945</v>
      </c>
      <c r="E203" s="250"/>
      <c r="F203" s="258"/>
      <c r="G203" s="252"/>
      <c r="I203" s="250"/>
      <c r="K203" s="250"/>
      <c r="L203" s="250"/>
      <c r="M203" s="250"/>
      <c r="N203" s="250"/>
      <c r="O203" s="250"/>
      <c r="P203" s="250"/>
      <c r="Q203" s="250"/>
      <c r="R203" s="250"/>
    </row>
    <row r="204" spans="1:18" s="249" customFormat="1" ht="12.75">
      <c r="A204" s="250" t="s">
        <v>989</v>
      </c>
      <c r="B204" s="249">
        <v>16.899999999999999</v>
      </c>
      <c r="D204" s="249">
        <f>'[52]Proposed Rates'!D98</f>
        <v>0.30633088274887577</v>
      </c>
      <c r="E204" s="250"/>
      <c r="F204" s="258">
        <f t="shared" ref="F204:F211" si="34">B204*$H$2</f>
        <v>0.60056041744618227</v>
      </c>
      <c r="G204" s="252"/>
      <c r="H204" s="249">
        <f t="shared" ref="H204:H211" si="35">B204+D204+F204</f>
        <v>17.806891300195055</v>
      </c>
      <c r="I204" s="250"/>
      <c r="K204" s="250"/>
      <c r="L204" s="250"/>
      <c r="M204" s="250"/>
      <c r="N204" s="250"/>
      <c r="O204" s="250"/>
      <c r="P204" s="250"/>
      <c r="Q204" s="250"/>
      <c r="R204" s="250"/>
    </row>
    <row r="205" spans="1:18" s="249" customFormat="1" ht="12.75">
      <c r="A205" s="250" t="s">
        <v>933</v>
      </c>
      <c r="B205" s="249">
        <v>22.77</v>
      </c>
      <c r="D205" s="249">
        <f>'[52]Proposed Rates'!D99</f>
        <v>0.4376155467841083</v>
      </c>
      <c r="E205" s="250"/>
      <c r="F205" s="258">
        <f t="shared" si="34"/>
        <v>0.80915743818044805</v>
      </c>
      <c r="G205" s="252"/>
      <c r="H205" s="249">
        <f t="shared" si="35"/>
        <v>24.016772984964557</v>
      </c>
      <c r="I205" s="250"/>
      <c r="K205" s="250"/>
      <c r="L205" s="250"/>
      <c r="M205" s="250"/>
      <c r="N205" s="250"/>
      <c r="O205" s="250"/>
      <c r="P205" s="250"/>
      <c r="Q205" s="250"/>
      <c r="R205" s="250"/>
    </row>
    <row r="206" spans="1:18" s="249" customFormat="1" ht="12.75">
      <c r="A206" s="250" t="s">
        <v>1003</v>
      </c>
      <c r="B206" s="249">
        <v>27.06</v>
      </c>
      <c r="D206" s="249">
        <f>'[52]Proposed Rates'!D100</f>
        <v>0.56714974863220435</v>
      </c>
      <c r="E206" s="250"/>
      <c r="F206" s="258">
        <f t="shared" si="34"/>
        <v>0.96160739030140208</v>
      </c>
      <c r="G206" s="252"/>
      <c r="H206" s="249">
        <f t="shared" si="35"/>
        <v>28.588757138933605</v>
      </c>
      <c r="I206" s="250"/>
      <c r="K206" s="250"/>
      <c r="L206" s="250"/>
      <c r="M206" s="250"/>
      <c r="N206" s="250"/>
      <c r="O206" s="250"/>
      <c r="P206" s="250"/>
      <c r="Q206" s="250"/>
      <c r="R206" s="250"/>
    </row>
    <row r="207" spans="1:18" s="249" customFormat="1" ht="12.75">
      <c r="A207" s="250" t="s">
        <v>934</v>
      </c>
      <c r="B207" s="249">
        <v>37.72</v>
      </c>
      <c r="D207" s="249">
        <f>'[52]Proposed Rates'!D101</f>
        <v>0.82796861451553283</v>
      </c>
      <c r="E207" s="250"/>
      <c r="F207" s="258">
        <f t="shared" si="34"/>
        <v>1.3404224228443786</v>
      </c>
      <c r="G207" s="252"/>
      <c r="H207" s="249">
        <f t="shared" si="35"/>
        <v>39.888391037359909</v>
      </c>
      <c r="I207" s="250"/>
      <c r="K207" s="250"/>
      <c r="L207" s="250"/>
      <c r="M207" s="250"/>
      <c r="N207" s="250"/>
      <c r="O207" s="250"/>
      <c r="P207" s="250"/>
      <c r="Q207" s="250"/>
      <c r="R207" s="250"/>
    </row>
    <row r="208" spans="1:18" s="249" customFormat="1" ht="12.75">
      <c r="A208" s="250" t="s">
        <v>935</v>
      </c>
      <c r="B208" s="249">
        <v>48.82</v>
      </c>
      <c r="D208" s="249">
        <f>'[52]Proposed Rates'!D102</f>
        <v>1.0730333207146334</v>
      </c>
      <c r="E208" s="250"/>
      <c r="F208" s="258">
        <f t="shared" si="34"/>
        <v>1.7348733479125813</v>
      </c>
      <c r="G208" s="252"/>
      <c r="H208" s="249">
        <f t="shared" si="35"/>
        <v>51.627906668627219</v>
      </c>
      <c r="I208" s="250"/>
      <c r="K208" s="250"/>
      <c r="L208" s="250"/>
      <c r="M208" s="250"/>
      <c r="N208" s="250"/>
      <c r="O208" s="250"/>
      <c r="P208" s="250"/>
      <c r="Q208" s="250"/>
      <c r="R208" s="250"/>
    </row>
    <row r="209" spans="1:18" s="249" customFormat="1" ht="12.75">
      <c r="A209" s="250" t="s">
        <v>990</v>
      </c>
      <c r="B209" s="249">
        <v>59.96</v>
      </c>
      <c r="D209" s="249">
        <f>'[52]Proposed Rates'!D103</f>
        <v>1.2743364722353232</v>
      </c>
      <c r="E209" s="250"/>
      <c r="F209" s="258">
        <f t="shared" si="34"/>
        <v>2.1307457177558047</v>
      </c>
      <c r="G209" s="252"/>
      <c r="H209" s="249">
        <f t="shared" si="35"/>
        <v>63.365082189991135</v>
      </c>
      <c r="I209" s="250"/>
      <c r="K209" s="250"/>
      <c r="L209" s="250"/>
      <c r="M209" s="250"/>
      <c r="N209" s="250"/>
      <c r="O209" s="250"/>
      <c r="P209" s="250"/>
      <c r="Q209" s="250"/>
      <c r="R209" s="250"/>
    </row>
    <row r="210" spans="1:18" s="249" customFormat="1" ht="12.75">
      <c r="A210" s="250" t="s">
        <v>936</v>
      </c>
      <c r="B210" s="249">
        <v>71.010000000000005</v>
      </c>
      <c r="D210" s="249">
        <f>'[52]Proposed Rates'!D104</f>
        <v>1.470388237194604</v>
      </c>
      <c r="E210" s="250"/>
      <c r="F210" s="258">
        <f t="shared" si="34"/>
        <v>2.5234198368552314</v>
      </c>
      <c r="G210" s="252"/>
      <c r="H210" s="249">
        <f t="shared" si="35"/>
        <v>75.003808074049829</v>
      </c>
      <c r="I210" s="250"/>
      <c r="K210" s="250"/>
      <c r="L210" s="250"/>
      <c r="M210" s="250"/>
      <c r="N210" s="250"/>
      <c r="O210" s="250"/>
      <c r="P210" s="250"/>
      <c r="Q210" s="250"/>
      <c r="R210" s="250"/>
    </row>
    <row r="211" spans="1:18" s="250" customFormat="1" ht="12.75">
      <c r="A211" s="250" t="s">
        <v>937</v>
      </c>
      <c r="B211" s="249">
        <v>92.97</v>
      </c>
      <c r="C211" s="249"/>
      <c r="D211" s="249">
        <f>'[52]Proposed Rates'!D105</f>
        <v>1.7154529433937047</v>
      </c>
      <c r="F211" s="258">
        <f t="shared" si="34"/>
        <v>3.3037930183415134</v>
      </c>
      <c r="G211" s="252"/>
      <c r="H211" s="249">
        <f t="shared" si="35"/>
        <v>97.989245961735207</v>
      </c>
      <c r="J211" s="249"/>
    </row>
    <row r="212" spans="1:18" s="250" customFormat="1" ht="12.75">
      <c r="A212" s="274"/>
      <c r="B212" s="249" t="s">
        <v>401</v>
      </c>
      <c r="C212" s="249"/>
      <c r="D212" s="249"/>
      <c r="F212" s="258"/>
      <c r="G212" s="252"/>
      <c r="H212" s="249"/>
      <c r="J212" s="249"/>
    </row>
    <row r="213" spans="1:18" s="250" customFormat="1" ht="12.75">
      <c r="A213" s="251" t="s">
        <v>949</v>
      </c>
      <c r="B213" s="249"/>
      <c r="C213" s="249"/>
      <c r="D213" s="249"/>
      <c r="F213" s="258"/>
      <c r="G213" s="252"/>
      <c r="H213" s="249"/>
      <c r="J213" s="249"/>
    </row>
    <row r="214" spans="1:18" s="250" customFormat="1" ht="12.75">
      <c r="A214" s="250" t="s">
        <v>989</v>
      </c>
      <c r="B214" s="249">
        <v>0.4</v>
      </c>
      <c r="C214" s="249"/>
      <c r="D214" s="249"/>
      <c r="F214" s="258">
        <f t="shared" ref="F214:F221" si="36">B214*$H$2</f>
        <v>1.42144477502055E-2</v>
      </c>
      <c r="G214" s="252"/>
      <c r="H214" s="249">
        <f t="shared" ref="H214:H221" si="37">B214+D214+F214</f>
        <v>0.41421444775020555</v>
      </c>
      <c r="J214" s="249"/>
    </row>
    <row r="215" spans="1:18" s="250" customFormat="1" ht="12.75">
      <c r="A215" s="250" t="s">
        <v>933</v>
      </c>
      <c r="B215" s="249">
        <v>0.46</v>
      </c>
      <c r="C215" s="249"/>
      <c r="D215" s="249"/>
      <c r="F215" s="258">
        <f t="shared" si="36"/>
        <v>1.6346614912736326E-2</v>
      </c>
      <c r="G215" s="252"/>
      <c r="H215" s="249">
        <f t="shared" si="37"/>
        <v>0.47634661491273633</v>
      </c>
      <c r="J215" s="249"/>
    </row>
    <row r="216" spans="1:18" s="250" customFormat="1" ht="12.75">
      <c r="A216" s="250" t="s">
        <v>1003</v>
      </c>
      <c r="B216" s="249">
        <v>0.49</v>
      </c>
      <c r="C216" s="249"/>
      <c r="D216" s="249"/>
      <c r="F216" s="258">
        <f t="shared" si="36"/>
        <v>1.7412698494001736E-2</v>
      </c>
      <c r="G216" s="252"/>
      <c r="H216" s="249">
        <f t="shared" si="37"/>
        <v>0.50741269849400172</v>
      </c>
      <c r="J216" s="249"/>
    </row>
    <row r="217" spans="1:18" s="250" customFormat="1" ht="12.75">
      <c r="A217" s="250" t="s">
        <v>934</v>
      </c>
      <c r="B217" s="249">
        <v>0.53</v>
      </c>
      <c r="C217" s="249"/>
      <c r="D217" s="249"/>
      <c r="F217" s="258">
        <f t="shared" si="36"/>
        <v>1.8834143269022288E-2</v>
      </c>
      <c r="G217" s="252"/>
      <c r="H217" s="249">
        <f t="shared" si="37"/>
        <v>0.54883414326902236</v>
      </c>
      <c r="J217" s="249"/>
    </row>
    <row r="218" spans="1:18" s="250" customFormat="1" ht="12.75">
      <c r="A218" s="250" t="s">
        <v>935</v>
      </c>
      <c r="B218" s="249">
        <v>0.56000000000000005</v>
      </c>
      <c r="C218" s="249"/>
      <c r="D218" s="249"/>
      <c r="F218" s="258">
        <f t="shared" si="36"/>
        <v>1.9900226850287701E-2</v>
      </c>
      <c r="G218" s="252"/>
      <c r="H218" s="249">
        <f t="shared" si="37"/>
        <v>0.57990022685028775</v>
      </c>
      <c r="J218" s="249"/>
    </row>
    <row r="219" spans="1:18" s="250" customFormat="1" ht="12.75">
      <c r="A219" s="250" t="s">
        <v>990</v>
      </c>
      <c r="B219" s="249">
        <v>0.6</v>
      </c>
      <c r="C219" s="249"/>
      <c r="D219" s="249"/>
      <c r="F219" s="258">
        <f t="shared" si="36"/>
        <v>2.132167162530825E-2</v>
      </c>
      <c r="G219" s="252"/>
      <c r="H219" s="249">
        <f t="shared" si="37"/>
        <v>0.62132167162530827</v>
      </c>
      <c r="J219" s="249"/>
    </row>
    <row r="220" spans="1:18" s="250" customFormat="1" ht="12.75">
      <c r="A220" s="250" t="s">
        <v>936</v>
      </c>
      <c r="B220" s="249">
        <v>0.63</v>
      </c>
      <c r="C220" s="249"/>
      <c r="D220" s="249"/>
      <c r="F220" s="258">
        <f t="shared" si="36"/>
        <v>2.2387755206573663E-2</v>
      </c>
      <c r="G220" s="252"/>
      <c r="H220" s="249">
        <f t="shared" si="37"/>
        <v>0.65238775520657366</v>
      </c>
      <c r="J220" s="249"/>
    </row>
    <row r="221" spans="1:18" s="250" customFormat="1" ht="12.75">
      <c r="A221" s="250" t="s">
        <v>937</v>
      </c>
      <c r="B221" s="249">
        <v>0.74</v>
      </c>
      <c r="C221" s="249"/>
      <c r="D221" s="249"/>
      <c r="F221" s="258">
        <f t="shared" si="36"/>
        <v>2.6296728337880174E-2</v>
      </c>
      <c r="G221" s="252"/>
      <c r="H221" s="249">
        <f t="shared" si="37"/>
        <v>0.76629672833788021</v>
      </c>
      <c r="J221" s="249"/>
    </row>
    <row r="222" spans="1:18" s="250" customFormat="1" ht="12.75">
      <c r="B222" s="249"/>
      <c r="C222" s="249"/>
      <c r="D222" s="249"/>
      <c r="F222" s="258"/>
      <c r="G222" s="252"/>
      <c r="H222" s="249"/>
      <c r="J222" s="249"/>
    </row>
    <row r="223" spans="1:18" s="250" customFormat="1" ht="12.75">
      <c r="A223" s="251" t="s">
        <v>1004</v>
      </c>
      <c r="B223" s="249"/>
      <c r="C223" s="249"/>
      <c r="D223" s="249"/>
      <c r="F223" s="258"/>
      <c r="G223" s="252"/>
      <c r="H223" s="249"/>
      <c r="J223" s="249"/>
    </row>
    <row r="224" spans="1:18" s="250" customFormat="1" ht="12.75">
      <c r="A224" s="250" t="s">
        <v>989</v>
      </c>
      <c r="B224" s="249">
        <v>12.03</v>
      </c>
      <c r="C224" s="249"/>
      <c r="D224" s="249"/>
      <c r="F224" s="258">
        <f t="shared" ref="F224:F231" si="38">B224*$H$2</f>
        <v>0.42749951608743036</v>
      </c>
      <c r="G224" s="252"/>
      <c r="H224" s="249">
        <f t="shared" ref="H224:H231" si="39">B224+D224+F224</f>
        <v>12.457499516087429</v>
      </c>
      <c r="J224" s="249"/>
    </row>
    <row r="225" spans="1:10" s="250" customFormat="1" ht="12.75">
      <c r="A225" s="250" t="s">
        <v>933</v>
      </c>
      <c r="B225" s="249">
        <v>13.6</v>
      </c>
      <c r="C225" s="249"/>
      <c r="D225" s="249"/>
      <c r="F225" s="258">
        <f t="shared" si="38"/>
        <v>0.483291223506987</v>
      </c>
      <c r="G225" s="252"/>
      <c r="H225" s="249">
        <f t="shared" si="39"/>
        <v>14.083291223506986</v>
      </c>
      <c r="J225" s="249"/>
    </row>
    <row r="226" spans="1:10" s="250" customFormat="1" ht="12.75">
      <c r="A226" s="250" t="s">
        <v>1003</v>
      </c>
      <c r="B226" s="249">
        <v>14.64</v>
      </c>
      <c r="C226" s="249"/>
      <c r="D226" s="249"/>
      <c r="F226" s="258">
        <f t="shared" si="38"/>
        <v>0.52024878765752136</v>
      </c>
      <c r="G226" s="252"/>
      <c r="H226" s="249">
        <f t="shared" si="39"/>
        <v>15.160248787657522</v>
      </c>
      <c r="J226" s="249"/>
    </row>
    <row r="227" spans="1:10" s="250" customFormat="1" ht="12.75">
      <c r="A227" s="250" t="s">
        <v>934</v>
      </c>
      <c r="B227" s="249">
        <v>15.69</v>
      </c>
      <c r="C227" s="249"/>
      <c r="D227" s="249"/>
      <c r="F227" s="258">
        <f t="shared" si="38"/>
        <v>0.55756171300181068</v>
      </c>
      <c r="G227" s="252"/>
      <c r="H227" s="249">
        <f t="shared" si="39"/>
        <v>16.247561713001812</v>
      </c>
      <c r="J227" s="249"/>
    </row>
    <row r="228" spans="1:10" s="250" customFormat="1" ht="12.75">
      <c r="A228" s="250" t="s">
        <v>935</v>
      </c>
      <c r="B228" s="249">
        <v>16.73</v>
      </c>
      <c r="C228" s="249"/>
      <c r="D228" s="249"/>
      <c r="F228" s="258">
        <f t="shared" si="38"/>
        <v>0.59451927715234509</v>
      </c>
      <c r="G228" s="252"/>
      <c r="H228" s="249">
        <f t="shared" si="39"/>
        <v>17.324519277152344</v>
      </c>
      <c r="J228" s="249"/>
    </row>
    <row r="229" spans="1:10" s="250" customFormat="1" ht="12.75">
      <c r="A229" s="250" t="s">
        <v>990</v>
      </c>
      <c r="B229" s="249">
        <v>17.78</v>
      </c>
      <c r="C229" s="249"/>
      <c r="D229" s="249"/>
      <c r="F229" s="258">
        <f t="shared" si="38"/>
        <v>0.63183220249663452</v>
      </c>
      <c r="G229" s="252"/>
      <c r="H229" s="249">
        <f t="shared" si="39"/>
        <v>18.411832202496637</v>
      </c>
      <c r="J229" s="249"/>
    </row>
    <row r="230" spans="1:10" s="250" customFormat="1" ht="12.75">
      <c r="A230" s="250" t="s">
        <v>936</v>
      </c>
      <c r="B230" s="249">
        <v>18.82</v>
      </c>
      <c r="C230" s="249"/>
      <c r="D230" s="249"/>
      <c r="F230" s="258">
        <f t="shared" si="38"/>
        <v>0.66878976664716883</v>
      </c>
      <c r="G230" s="252"/>
      <c r="H230" s="249">
        <f t="shared" si="39"/>
        <v>19.488789766647169</v>
      </c>
      <c r="J230" s="249"/>
    </row>
    <row r="231" spans="1:10" s="250" customFormat="1" ht="12.75">
      <c r="A231" s="250" t="s">
        <v>937</v>
      </c>
      <c r="B231" s="249">
        <v>21.96</v>
      </c>
      <c r="C231" s="249"/>
      <c r="D231" s="249"/>
      <c r="F231" s="258">
        <f t="shared" si="38"/>
        <v>0.78037318148628199</v>
      </c>
      <c r="G231" s="252"/>
      <c r="H231" s="249">
        <f t="shared" si="39"/>
        <v>22.740373181486284</v>
      </c>
      <c r="J231" s="249"/>
    </row>
    <row r="232" spans="1:10" s="250" customFormat="1" ht="12.75">
      <c r="B232" s="249"/>
      <c r="C232" s="249"/>
      <c r="D232" s="249"/>
      <c r="F232" s="258"/>
      <c r="G232" s="252"/>
      <c r="H232" s="249"/>
      <c r="J232" s="249"/>
    </row>
    <row r="233" spans="1:10" s="251" customFormat="1" ht="12.75">
      <c r="A233" s="251" t="s">
        <v>950</v>
      </c>
      <c r="B233" s="286"/>
      <c r="C233" s="286"/>
      <c r="D233" s="286"/>
      <c r="F233" s="279"/>
      <c r="G233" s="292"/>
      <c r="H233" s="286"/>
      <c r="J233" s="286"/>
    </row>
    <row r="234" spans="1:10" s="250" customFormat="1" ht="12.75">
      <c r="A234" s="250" t="s">
        <v>951</v>
      </c>
      <c r="B234" s="249">
        <v>1.46</v>
      </c>
      <c r="C234" s="249"/>
      <c r="D234" s="249"/>
      <c r="F234" s="258">
        <f>B234*$H$2</f>
        <v>5.1882734288250076E-2</v>
      </c>
      <c r="G234" s="252"/>
      <c r="H234" s="249">
        <f>B234+D234+F234</f>
        <v>1.5118827342882502</v>
      </c>
      <c r="J234" s="249"/>
    </row>
    <row r="235" spans="1:10" s="250" customFormat="1" ht="12.75">
      <c r="B235" s="249"/>
      <c r="C235" s="249"/>
      <c r="D235" s="249"/>
      <c r="F235" s="258"/>
      <c r="G235" s="252"/>
      <c r="H235" s="249"/>
      <c r="J235" s="249"/>
    </row>
    <row r="236" spans="1:10" s="250" customFormat="1" ht="12.75">
      <c r="B236" s="249"/>
      <c r="C236" s="249"/>
      <c r="D236" s="249"/>
      <c r="F236" s="258"/>
      <c r="G236" s="252"/>
      <c r="H236" s="249"/>
      <c r="J236" s="249"/>
    </row>
    <row r="237" spans="1:10" s="250" customFormat="1" ht="12.75">
      <c r="A237" s="270" t="s">
        <v>2600</v>
      </c>
      <c r="B237" s="273"/>
      <c r="C237" s="273"/>
      <c r="D237" s="273"/>
      <c r="E237" s="290"/>
      <c r="F237" s="283"/>
      <c r="G237" s="291"/>
      <c r="H237" s="273"/>
      <c r="J237" s="249"/>
    </row>
    <row r="238" spans="1:10" s="250" customFormat="1" ht="12.75">
      <c r="A238" s="277" t="s">
        <v>1241</v>
      </c>
      <c r="B238" s="249"/>
      <c r="C238" s="249"/>
      <c r="D238" s="249"/>
      <c r="F238" s="258"/>
      <c r="G238" s="252"/>
      <c r="H238" s="249"/>
      <c r="J238" s="249"/>
    </row>
    <row r="239" spans="1:10" s="250" customFormat="1" ht="12.75">
      <c r="A239" s="274" t="s">
        <v>2601</v>
      </c>
      <c r="B239" s="249">
        <f>B335</f>
        <v>55.5</v>
      </c>
      <c r="C239" s="249"/>
      <c r="D239" s="249"/>
      <c r="F239" s="258">
        <f>B239*$H$2</f>
        <v>1.9722546253410131</v>
      </c>
      <c r="G239" s="252"/>
      <c r="H239" s="249">
        <f>B239+D239+F239</f>
        <v>57.472254625341016</v>
      </c>
      <c r="J239" s="249"/>
    </row>
    <row r="240" spans="1:10" s="250" customFormat="1" ht="12.75">
      <c r="A240" s="274"/>
      <c r="B240" s="249"/>
      <c r="C240" s="249"/>
      <c r="D240" s="249"/>
      <c r="F240" s="258"/>
      <c r="G240" s="252"/>
      <c r="H240" s="249"/>
      <c r="J240" s="249"/>
    </row>
    <row r="241" spans="1:18" s="250" customFormat="1" ht="12.75">
      <c r="A241" s="277" t="s">
        <v>1008</v>
      </c>
      <c r="B241" s="249"/>
      <c r="C241" s="249"/>
      <c r="D241" s="249"/>
      <c r="F241" s="258"/>
      <c r="G241" s="252"/>
      <c r="H241" s="249"/>
      <c r="J241" s="249"/>
    </row>
    <row r="242" spans="1:18" s="250" customFormat="1" ht="12.75">
      <c r="A242" s="274" t="s">
        <v>2601</v>
      </c>
      <c r="B242" s="249">
        <f>B322</f>
        <v>60.3</v>
      </c>
      <c r="C242" s="249"/>
      <c r="D242" s="249"/>
      <c r="F242" s="258">
        <f>B242*$H$2</f>
        <v>2.142827998343479</v>
      </c>
      <c r="G242" s="252"/>
      <c r="H242" s="249">
        <f>B242+D242+F242</f>
        <v>62.442827998343475</v>
      </c>
      <c r="J242" s="249"/>
    </row>
    <row r="243" spans="1:18" s="250" customFormat="1" ht="12.75">
      <c r="B243" s="249"/>
      <c r="C243" s="249"/>
      <c r="D243" s="249"/>
      <c r="F243" s="258"/>
      <c r="G243" s="252"/>
      <c r="H243" s="249"/>
      <c r="J243" s="249"/>
    </row>
    <row r="244" spans="1:18" s="250" customFormat="1" ht="12.75">
      <c r="A244" s="277" t="s">
        <v>2602</v>
      </c>
      <c r="B244" s="249"/>
      <c r="C244" s="249"/>
      <c r="D244" s="249"/>
      <c r="F244" s="258"/>
      <c r="G244" s="252"/>
      <c r="H244" s="249"/>
      <c r="J244" s="249"/>
    </row>
    <row r="245" spans="1:18" s="250" customFormat="1" ht="12.75">
      <c r="A245" s="274" t="s">
        <v>2601</v>
      </c>
      <c r="B245" s="249">
        <f>B348</f>
        <v>2.0099999999999998</v>
      </c>
      <c r="C245" s="249"/>
      <c r="D245" s="249"/>
      <c r="F245" s="258">
        <f>B245*$H$2</f>
        <v>7.1427599944782635E-2</v>
      </c>
      <c r="G245" s="252"/>
      <c r="H245" s="249">
        <f>B245+D245+F245</f>
        <v>2.0814275999447824</v>
      </c>
      <c r="J245" s="249"/>
    </row>
    <row r="246" spans="1:18" s="250" customFormat="1" ht="12.75">
      <c r="B246" s="249"/>
      <c r="C246" s="249"/>
      <c r="D246" s="249"/>
      <c r="F246" s="258"/>
      <c r="G246" s="252"/>
      <c r="H246" s="249"/>
      <c r="J246" s="249"/>
    </row>
    <row r="247" spans="1:18" s="250" customFormat="1" ht="12.75">
      <c r="A247" s="277" t="s">
        <v>2603</v>
      </c>
      <c r="B247" s="249"/>
      <c r="C247" s="249"/>
      <c r="D247" s="249"/>
      <c r="F247" s="258"/>
      <c r="G247" s="252"/>
      <c r="H247" s="249"/>
      <c r="J247" s="249"/>
    </row>
    <row r="248" spans="1:18" s="250" customFormat="1" ht="12.75">
      <c r="A248" s="274" t="s">
        <v>2601</v>
      </c>
      <c r="B248" s="249">
        <f>B342</f>
        <v>104.26</v>
      </c>
      <c r="C248" s="249"/>
      <c r="D248" s="249"/>
      <c r="F248" s="258">
        <f>B248*$H$2</f>
        <v>3.7049958060910639</v>
      </c>
      <c r="G248" s="252"/>
      <c r="H248" s="249">
        <f>B248+D248+F248</f>
        <v>107.96499580609107</v>
      </c>
      <c r="J248" s="249"/>
    </row>
    <row r="249" spans="1:18" s="250" customFormat="1" ht="12.75">
      <c r="B249" s="249"/>
      <c r="C249" s="249"/>
      <c r="D249" s="249"/>
      <c r="F249" s="258"/>
      <c r="G249" s="252"/>
      <c r="H249" s="249"/>
      <c r="J249" s="249"/>
    </row>
    <row r="250" spans="1:18" s="250" customFormat="1" ht="12.75">
      <c r="A250" s="277" t="s">
        <v>2604</v>
      </c>
      <c r="B250" s="249"/>
      <c r="C250" s="249"/>
      <c r="D250" s="249"/>
      <c r="F250" s="258"/>
      <c r="G250" s="252"/>
      <c r="H250" s="249"/>
      <c r="J250" s="249"/>
    </row>
    <row r="251" spans="1:18" s="250" customFormat="1" ht="12.75">
      <c r="A251" s="274" t="s">
        <v>2601</v>
      </c>
      <c r="B251" s="249">
        <f>B239</f>
        <v>55.5</v>
      </c>
      <c r="C251" s="249"/>
      <c r="D251" s="249"/>
      <c r="F251" s="258">
        <f>B251*$H$2</f>
        <v>1.9722546253410131</v>
      </c>
      <c r="G251" s="252"/>
      <c r="H251" s="249">
        <f>B251+D251+F251</f>
        <v>57.472254625341016</v>
      </c>
      <c r="J251" s="249"/>
    </row>
    <row r="252" spans="1:18" s="250" customFormat="1" ht="12.75">
      <c r="B252" s="249"/>
      <c r="C252" s="249"/>
      <c r="D252" s="249"/>
      <c r="F252" s="258"/>
      <c r="G252" s="252"/>
      <c r="H252" s="249"/>
      <c r="J252" s="249"/>
    </row>
    <row r="253" spans="1:18" s="250" customFormat="1" ht="12.75">
      <c r="A253" s="270" t="s">
        <v>2595</v>
      </c>
      <c r="B253" s="273"/>
      <c r="C253" s="273"/>
      <c r="D253" s="273"/>
      <c r="E253" s="290"/>
      <c r="F253" s="283"/>
      <c r="G253" s="291"/>
      <c r="H253" s="273"/>
      <c r="J253" s="249"/>
    </row>
    <row r="254" spans="1:18" s="250" customFormat="1" ht="12.75">
      <c r="A254" s="250" t="s">
        <v>914</v>
      </c>
      <c r="B254" s="249">
        <v>2.72</v>
      </c>
      <c r="C254" s="249"/>
      <c r="D254" s="249">
        <f>'[52]Proposed Rates'!$D$108</f>
        <v>5.0763403426956566E-2</v>
      </c>
      <c r="F254" s="258">
        <f>B254*$H$2</f>
        <v>9.6658244701397403E-2</v>
      </c>
      <c r="G254" s="252"/>
      <c r="H254" s="249">
        <f>B254+D254+F254</f>
        <v>2.8674216481283543</v>
      </c>
      <c r="I254" s="289"/>
      <c r="J254" s="249"/>
    </row>
    <row r="255" spans="1:18" s="249" customFormat="1" ht="12.75">
      <c r="A255" s="274"/>
      <c r="E255" s="250"/>
      <c r="F255" s="258"/>
      <c r="G255" s="252"/>
      <c r="I255" s="250"/>
      <c r="K255" s="250"/>
      <c r="L255" s="250"/>
      <c r="M255" s="250"/>
      <c r="N255" s="250"/>
      <c r="O255" s="250"/>
      <c r="P255" s="250"/>
      <c r="Q255" s="250"/>
      <c r="R255" s="250"/>
    </row>
    <row r="256" spans="1:18" s="286" customFormat="1" ht="12.75">
      <c r="A256" s="251" t="s">
        <v>952</v>
      </c>
      <c r="E256" s="251"/>
      <c r="F256" s="279"/>
      <c r="G256" s="292"/>
      <c r="I256" s="251"/>
      <c r="K256" s="251"/>
      <c r="L256" s="251"/>
      <c r="M256" s="251"/>
      <c r="N256" s="251"/>
      <c r="O256" s="251"/>
      <c r="P256" s="251"/>
      <c r="Q256" s="251"/>
      <c r="R256" s="251"/>
    </row>
    <row r="257" spans="1:18" s="249" customFormat="1" ht="12.75">
      <c r="A257" s="250" t="s">
        <v>914</v>
      </c>
      <c r="B257" s="249">
        <v>11.45</v>
      </c>
      <c r="D257" s="249">
        <f>'[52]Proposed Rates'!$D$111</f>
        <v>5.0763403426956566E-2</v>
      </c>
      <c r="E257" s="250"/>
      <c r="F257" s="258">
        <f>B257*$H$2</f>
        <v>0.40688856684963243</v>
      </c>
      <c r="G257" s="252"/>
      <c r="H257" s="249">
        <f>B257+D257+F257</f>
        <v>11.907651970276588</v>
      </c>
      <c r="I257" s="250"/>
      <c r="K257" s="250"/>
      <c r="L257" s="250"/>
      <c r="M257" s="250"/>
      <c r="N257" s="250"/>
      <c r="O257" s="250"/>
      <c r="P257" s="250"/>
      <c r="Q257" s="250"/>
      <c r="R257" s="250"/>
    </row>
    <row r="258" spans="1:18" s="249" customFormat="1" ht="12.75">
      <c r="A258" s="250"/>
      <c r="E258" s="250"/>
      <c r="F258" s="258"/>
      <c r="G258" s="252"/>
      <c r="I258" s="250"/>
      <c r="K258" s="250"/>
      <c r="L258" s="250"/>
      <c r="M258" s="250"/>
      <c r="N258" s="250"/>
      <c r="O258" s="250"/>
      <c r="P258" s="250"/>
      <c r="Q258" s="250"/>
      <c r="R258" s="250"/>
    </row>
    <row r="259" spans="1:18" s="249" customFormat="1" ht="12.75">
      <c r="A259" s="250" t="s">
        <v>953</v>
      </c>
      <c r="B259" s="249">
        <v>12.28</v>
      </c>
      <c r="D259" s="249">
        <f>'[52]Proposed Rates'!$D$113</f>
        <v>0.21980553683872192</v>
      </c>
      <c r="E259" s="250"/>
      <c r="F259" s="258">
        <f>+H259-B259-D259</f>
        <v>-8.3869800442947423E-2</v>
      </c>
      <c r="G259" s="252"/>
      <c r="H259" s="249">
        <f>+H254*References!C11</f>
        <v>12.415935736395774</v>
      </c>
      <c r="I259" s="250"/>
      <c r="K259" s="250"/>
      <c r="L259" s="250"/>
      <c r="M259" s="250"/>
      <c r="N259" s="250"/>
      <c r="O259" s="250"/>
      <c r="P259" s="250"/>
      <c r="Q259" s="250"/>
      <c r="R259" s="250"/>
    </row>
    <row r="260" spans="1:18" s="249" customFormat="1" ht="12.75">
      <c r="A260" s="250" t="s">
        <v>954</v>
      </c>
      <c r="B260" s="249">
        <v>3.85</v>
      </c>
      <c r="D260" s="249">
        <f>'[52]Proposed Rates'!$D$114</f>
        <v>5.0763403426956566E-2</v>
      </c>
      <c r="E260" s="250"/>
      <c r="F260" s="258">
        <f t="shared" ref="F260:F261" si="40">B260*$H$2</f>
        <v>0.13681405959572793</v>
      </c>
      <c r="G260" s="252"/>
      <c r="H260" s="249">
        <f t="shared" ref="H260:H261" si="41">B260+D260+F260</f>
        <v>4.0375774630226848</v>
      </c>
      <c r="I260" s="250"/>
      <c r="K260" s="250"/>
      <c r="L260" s="250"/>
      <c r="M260" s="250"/>
      <c r="N260" s="250"/>
      <c r="O260" s="250"/>
      <c r="P260" s="250"/>
      <c r="Q260" s="250"/>
      <c r="R260" s="250"/>
    </row>
    <row r="261" spans="1:18" s="249" customFormat="1" ht="12.75">
      <c r="A261" s="250" t="s">
        <v>955</v>
      </c>
      <c r="B261" s="249">
        <v>1.46</v>
      </c>
      <c r="E261" s="250"/>
      <c r="F261" s="258">
        <f t="shared" si="40"/>
        <v>5.1882734288250076E-2</v>
      </c>
      <c r="G261" s="252"/>
      <c r="H261" s="249">
        <f t="shared" si="41"/>
        <v>1.5118827342882502</v>
      </c>
      <c r="I261" s="250"/>
      <c r="K261" s="250"/>
      <c r="L261" s="250"/>
      <c r="M261" s="250"/>
      <c r="N261" s="250"/>
      <c r="O261" s="250"/>
      <c r="P261" s="250"/>
      <c r="Q261" s="250"/>
      <c r="R261" s="250"/>
    </row>
    <row r="262" spans="1:18" s="249" customFormat="1" ht="12.75">
      <c r="A262" s="274"/>
      <c r="E262" s="250"/>
      <c r="F262" s="258"/>
      <c r="G262" s="252"/>
      <c r="I262" s="250"/>
      <c r="K262" s="250"/>
      <c r="L262" s="250"/>
      <c r="M262" s="250"/>
      <c r="N262" s="250"/>
      <c r="O262" s="250"/>
      <c r="P262" s="250"/>
      <c r="Q262" s="250"/>
      <c r="R262" s="250"/>
    </row>
    <row r="263" spans="1:18" s="249" customFormat="1" ht="12.75">
      <c r="A263" s="270" t="s">
        <v>2596</v>
      </c>
      <c r="B263" s="273"/>
      <c r="C263" s="273"/>
      <c r="D263" s="273"/>
      <c r="E263" s="290"/>
      <c r="F263" s="283"/>
      <c r="G263" s="291"/>
      <c r="H263" s="273"/>
      <c r="I263" s="250"/>
      <c r="K263" s="250"/>
      <c r="L263" s="250"/>
      <c r="M263" s="250"/>
      <c r="N263" s="250"/>
      <c r="O263" s="250"/>
      <c r="P263" s="250"/>
      <c r="Q263" s="250"/>
      <c r="R263" s="250"/>
    </row>
    <row r="264" spans="1:18" s="249" customFormat="1" ht="12.75">
      <c r="A264" s="277" t="s">
        <v>1008</v>
      </c>
      <c r="E264" s="250"/>
      <c r="F264" s="258"/>
      <c r="G264" s="252"/>
      <c r="I264" s="250"/>
      <c r="K264" s="250"/>
      <c r="L264" s="250"/>
      <c r="M264" s="250"/>
      <c r="N264" s="250"/>
      <c r="O264" s="250"/>
      <c r="P264" s="250"/>
      <c r="Q264" s="250"/>
      <c r="R264" s="250"/>
    </row>
    <row r="265" spans="1:18" s="249" customFormat="1" ht="12.75">
      <c r="A265" s="274" t="s">
        <v>1003</v>
      </c>
      <c r="B265" s="249">
        <v>14.75</v>
      </c>
      <c r="E265" s="250"/>
      <c r="F265" s="258">
        <f>B265*$H$2</f>
        <v>0.52415776078882781</v>
      </c>
      <c r="G265" s="252"/>
      <c r="H265" s="249">
        <f t="shared" ref="H265:H268" si="42">B265+D265+F265</f>
        <v>15.274157760788828</v>
      </c>
      <c r="I265" s="250"/>
      <c r="K265" s="250"/>
      <c r="L265" s="250"/>
      <c r="M265" s="250"/>
      <c r="N265" s="250"/>
      <c r="O265" s="250"/>
      <c r="P265" s="250"/>
      <c r="Q265" s="250"/>
      <c r="R265" s="250"/>
    </row>
    <row r="266" spans="1:18" s="249" customFormat="1" ht="12.75">
      <c r="A266" s="274" t="s">
        <v>1009</v>
      </c>
      <c r="B266" s="249">
        <v>15.8</v>
      </c>
      <c r="E266" s="250"/>
      <c r="F266" s="258">
        <f>B266*$H$2</f>
        <v>0.56147068613311724</v>
      </c>
      <c r="G266" s="252"/>
      <c r="H266" s="249">
        <f t="shared" si="42"/>
        <v>16.361470686133117</v>
      </c>
      <c r="I266" s="250"/>
      <c r="K266" s="250"/>
      <c r="L266" s="250"/>
      <c r="M266" s="250"/>
      <c r="N266" s="250"/>
      <c r="O266" s="250"/>
      <c r="P266" s="250"/>
      <c r="Q266" s="250"/>
      <c r="R266" s="250"/>
    </row>
    <row r="267" spans="1:18" s="249" customFormat="1" ht="12.75">
      <c r="A267" s="274" t="s">
        <v>1010</v>
      </c>
      <c r="B267" s="249">
        <v>16.850000000000001</v>
      </c>
      <c r="E267" s="250"/>
      <c r="F267" s="258">
        <f>B267*$H$2</f>
        <v>0.59878361147740677</v>
      </c>
      <c r="G267" s="252"/>
      <c r="H267" s="249">
        <f t="shared" si="42"/>
        <v>17.44878361147741</v>
      </c>
      <c r="I267" s="250"/>
      <c r="K267" s="250"/>
      <c r="L267" s="250"/>
      <c r="M267" s="250"/>
      <c r="N267" s="250"/>
      <c r="O267" s="250"/>
      <c r="P267" s="250"/>
      <c r="Q267" s="250"/>
      <c r="R267" s="250"/>
    </row>
    <row r="268" spans="1:18" s="249" customFormat="1" ht="12.75">
      <c r="A268" s="274" t="s">
        <v>1011</v>
      </c>
      <c r="B268" s="249">
        <v>18.95</v>
      </c>
      <c r="E268" s="250"/>
      <c r="F268" s="258">
        <f>B268*$H$2</f>
        <v>0.67340946216598552</v>
      </c>
      <c r="G268" s="252"/>
      <c r="H268" s="249">
        <f t="shared" si="42"/>
        <v>19.623409462165984</v>
      </c>
      <c r="I268" s="250"/>
      <c r="K268" s="250"/>
      <c r="L268" s="250"/>
      <c r="M268" s="250"/>
      <c r="N268" s="250"/>
      <c r="O268" s="250"/>
      <c r="P268" s="250"/>
      <c r="Q268" s="250"/>
      <c r="R268" s="250"/>
    </row>
    <row r="269" spans="1:18" s="249" customFormat="1" ht="12.75">
      <c r="A269" s="274"/>
      <c r="E269" s="250"/>
      <c r="F269" s="258"/>
      <c r="G269" s="252"/>
      <c r="I269" s="250"/>
      <c r="K269" s="250"/>
      <c r="L269" s="250"/>
      <c r="M269" s="250"/>
      <c r="N269" s="250"/>
      <c r="O269" s="250"/>
      <c r="P269" s="250"/>
      <c r="Q269" s="250"/>
      <c r="R269" s="250"/>
    </row>
    <row r="270" spans="1:18" s="249" customFormat="1" ht="12.75">
      <c r="A270" s="277" t="s">
        <v>1012</v>
      </c>
      <c r="E270" s="250"/>
      <c r="F270" s="258"/>
      <c r="G270" s="252"/>
      <c r="I270" s="250"/>
      <c r="K270" s="250"/>
      <c r="L270" s="250"/>
      <c r="M270" s="250"/>
      <c r="N270" s="250"/>
      <c r="O270" s="250"/>
      <c r="P270" s="250"/>
      <c r="Q270" s="250"/>
      <c r="R270" s="250"/>
    </row>
    <row r="271" spans="1:18" s="249" customFormat="1" ht="12.75">
      <c r="A271" s="274" t="s">
        <v>1003</v>
      </c>
      <c r="B271" s="249">
        <v>56.53</v>
      </c>
      <c r="D271" s="249">
        <f>'[52]Proposed Rates'!D118</f>
        <v>2.2685989945288174</v>
      </c>
      <c r="E271" s="250"/>
      <c r="F271" s="258">
        <f>B271*$H$2</f>
        <v>2.0088568282977923</v>
      </c>
      <c r="G271" s="252"/>
      <c r="H271" s="249">
        <f t="shared" ref="H271:H274" si="43">B271+D271+F271</f>
        <v>60.807455822826611</v>
      </c>
      <c r="I271" s="250"/>
      <c r="K271" s="250"/>
      <c r="L271" s="250"/>
      <c r="M271" s="250"/>
      <c r="N271" s="250"/>
      <c r="O271" s="250"/>
      <c r="P271" s="250"/>
      <c r="Q271" s="250"/>
      <c r="R271" s="250"/>
    </row>
    <row r="272" spans="1:18" s="249" customFormat="1" ht="12.75">
      <c r="A272" s="274" t="s">
        <v>1009</v>
      </c>
      <c r="B272" s="249">
        <v>77.31</v>
      </c>
      <c r="D272" s="249">
        <f>'[52]Proposed Rates'!D119</f>
        <v>3.3118744580621318</v>
      </c>
      <c r="E272" s="250"/>
      <c r="F272" s="258">
        <f>B272*$H$2</f>
        <v>2.747297388920968</v>
      </c>
      <c r="G272" s="252"/>
      <c r="H272" s="249">
        <f t="shared" si="43"/>
        <v>83.369171846983107</v>
      </c>
      <c r="I272" s="250"/>
      <c r="K272" s="250"/>
      <c r="L272" s="250"/>
      <c r="M272" s="250"/>
      <c r="N272" s="250"/>
      <c r="O272" s="250"/>
      <c r="P272" s="250"/>
      <c r="Q272" s="250"/>
      <c r="R272" s="250"/>
    </row>
    <row r="273" spans="1:18" s="249" customFormat="1" ht="12.75">
      <c r="A273" s="274" t="s">
        <v>1010</v>
      </c>
      <c r="B273" s="249">
        <v>100.5</v>
      </c>
      <c r="D273" s="249">
        <f>'[52]Proposed Rates'!D120</f>
        <v>4.2921332828585337</v>
      </c>
      <c r="E273" s="250"/>
      <c r="F273" s="258">
        <f>B273*$H$2</f>
        <v>3.571379997239132</v>
      </c>
      <c r="G273" s="252"/>
      <c r="H273" s="249">
        <f t="shared" si="43"/>
        <v>108.36351328009766</v>
      </c>
      <c r="I273" s="250"/>
      <c r="K273" s="250"/>
      <c r="L273" s="250"/>
      <c r="M273" s="250"/>
      <c r="N273" s="250"/>
      <c r="O273" s="250"/>
      <c r="P273" s="250"/>
      <c r="Q273" s="250"/>
      <c r="R273" s="250"/>
    </row>
    <row r="274" spans="1:18" s="249" customFormat="1" ht="12.75">
      <c r="A274" s="274" t="s">
        <v>1011</v>
      </c>
      <c r="B274" s="249">
        <v>134.47999999999999</v>
      </c>
      <c r="D274" s="249">
        <f>'[52]Proposed Rates'!D121</f>
        <v>6.8057969835864522</v>
      </c>
      <c r="E274" s="250"/>
      <c r="F274" s="258">
        <f>B274*$H$2</f>
        <v>4.7788973336190885</v>
      </c>
      <c r="G274" s="252"/>
      <c r="H274" s="249">
        <f t="shared" si="43"/>
        <v>146.06469431720552</v>
      </c>
      <c r="I274" s="250"/>
      <c r="K274" s="250"/>
      <c r="L274" s="250"/>
      <c r="M274" s="250"/>
      <c r="N274" s="250"/>
      <c r="O274" s="250"/>
      <c r="P274" s="250"/>
      <c r="Q274" s="250"/>
      <c r="R274" s="250"/>
    </row>
    <row r="275" spans="1:18" s="249" customFormat="1" ht="12.75">
      <c r="A275" s="274"/>
      <c r="E275" s="250"/>
      <c r="F275" s="258"/>
      <c r="G275" s="252"/>
      <c r="I275" s="250"/>
      <c r="K275" s="250"/>
      <c r="L275" s="250"/>
      <c r="M275" s="250"/>
      <c r="N275" s="250"/>
      <c r="O275" s="250"/>
      <c r="P275" s="250"/>
      <c r="Q275" s="250"/>
      <c r="R275" s="250"/>
    </row>
    <row r="276" spans="1:18" s="249" customFormat="1" ht="12.75">
      <c r="A276" s="277" t="s">
        <v>1013</v>
      </c>
      <c r="E276" s="250"/>
      <c r="F276" s="258"/>
      <c r="G276" s="252"/>
      <c r="I276" s="250"/>
      <c r="K276" s="250"/>
      <c r="L276" s="250"/>
      <c r="M276" s="250"/>
      <c r="N276" s="250"/>
      <c r="O276" s="250"/>
      <c r="P276" s="250"/>
      <c r="Q276" s="250"/>
      <c r="R276" s="250"/>
    </row>
    <row r="277" spans="1:18" s="249" customFormat="1" ht="12.75">
      <c r="A277" s="274" t="s">
        <v>1003</v>
      </c>
      <c r="B277" s="249">
        <v>57.53</v>
      </c>
      <c r="D277" s="249">
        <f>'[52]Proposed Rates'!D124</f>
        <v>2.2685989945288174</v>
      </c>
      <c r="E277" s="250"/>
      <c r="F277" s="258">
        <f>B277*$H$2</f>
        <v>2.0443929476733063</v>
      </c>
      <c r="G277" s="252"/>
      <c r="H277" s="249">
        <f t="shared" ref="H277:H280" si="44">B277+D277+F277</f>
        <v>61.842991942202126</v>
      </c>
      <c r="I277" s="250"/>
      <c r="K277" s="250"/>
      <c r="L277" s="250"/>
      <c r="M277" s="250"/>
      <c r="N277" s="250"/>
      <c r="O277" s="250"/>
      <c r="P277" s="250"/>
      <c r="Q277" s="250"/>
      <c r="R277" s="250"/>
    </row>
    <row r="278" spans="1:18" s="249" customFormat="1" ht="12.75">
      <c r="A278" s="274" t="s">
        <v>1009</v>
      </c>
      <c r="B278" s="249">
        <v>78.31</v>
      </c>
      <c r="D278" s="249">
        <f>'[52]Proposed Rates'!D125</f>
        <v>3.3118744580621318</v>
      </c>
      <c r="E278" s="250"/>
      <c r="F278" s="258">
        <f>B278*$H$2</f>
        <v>2.7828335082964819</v>
      </c>
      <c r="G278" s="252"/>
      <c r="H278" s="249">
        <f t="shared" si="44"/>
        <v>84.404707966358615</v>
      </c>
      <c r="I278" s="250"/>
      <c r="K278" s="250"/>
      <c r="L278" s="250"/>
      <c r="M278" s="250"/>
      <c r="N278" s="250"/>
      <c r="O278" s="250"/>
      <c r="P278" s="250"/>
      <c r="Q278" s="250"/>
      <c r="R278" s="250"/>
    </row>
    <row r="279" spans="1:18" s="249" customFormat="1" ht="12.75">
      <c r="A279" s="274" t="s">
        <v>1010</v>
      </c>
      <c r="B279" s="249">
        <v>101.5</v>
      </c>
      <c r="D279" s="249">
        <f>'[52]Proposed Rates'!D126</f>
        <v>4.2921332828585337</v>
      </c>
      <c r="E279" s="250"/>
      <c r="F279" s="258">
        <f>B279*$H$2</f>
        <v>3.6069161166146455</v>
      </c>
      <c r="G279" s="252"/>
      <c r="H279" s="249">
        <f t="shared" si="44"/>
        <v>109.39904939947317</v>
      </c>
      <c r="I279" s="250"/>
      <c r="K279" s="250"/>
      <c r="L279" s="250"/>
      <c r="M279" s="250"/>
      <c r="N279" s="250"/>
      <c r="O279" s="250"/>
      <c r="P279" s="250"/>
      <c r="Q279" s="250"/>
      <c r="R279" s="250"/>
    </row>
    <row r="280" spans="1:18" s="249" customFormat="1" ht="12.75">
      <c r="A280" s="274" t="s">
        <v>1011</v>
      </c>
      <c r="B280" s="249">
        <v>135.47999999999999</v>
      </c>
      <c r="D280" s="249">
        <f>'[52]Proposed Rates'!D127</f>
        <v>6.8057969835864522</v>
      </c>
      <c r="E280" s="250"/>
      <c r="F280" s="258">
        <f>B280*$H$2</f>
        <v>4.8144334529946029</v>
      </c>
      <c r="G280" s="252"/>
      <c r="H280" s="249">
        <f t="shared" si="44"/>
        <v>147.10023043658103</v>
      </c>
      <c r="I280" s="250"/>
      <c r="K280" s="250"/>
      <c r="L280" s="250"/>
      <c r="M280" s="250"/>
      <c r="N280" s="250"/>
      <c r="O280" s="250"/>
      <c r="P280" s="250"/>
      <c r="Q280" s="250"/>
      <c r="R280" s="250"/>
    </row>
    <row r="281" spans="1:18" s="249" customFormat="1" ht="12.75">
      <c r="A281" s="274"/>
      <c r="E281" s="250"/>
      <c r="F281" s="258"/>
      <c r="G281" s="252"/>
      <c r="I281" s="250"/>
      <c r="K281" s="250"/>
      <c r="L281" s="250"/>
      <c r="M281" s="250"/>
      <c r="N281" s="250"/>
      <c r="O281" s="250"/>
      <c r="P281" s="250"/>
      <c r="Q281" s="250"/>
      <c r="R281" s="250"/>
    </row>
    <row r="282" spans="1:18" s="249" customFormat="1" ht="12.75">
      <c r="A282" s="277" t="s">
        <v>1014</v>
      </c>
      <c r="E282" s="250"/>
      <c r="F282" s="258"/>
      <c r="G282" s="252"/>
      <c r="I282" s="250"/>
      <c r="K282" s="250"/>
      <c r="L282" s="250"/>
      <c r="M282" s="250"/>
      <c r="N282" s="250"/>
      <c r="O282" s="250"/>
      <c r="P282" s="250"/>
      <c r="Q282" s="250"/>
      <c r="R282" s="250"/>
    </row>
    <row r="283" spans="1:18" s="249" customFormat="1" ht="12.75">
      <c r="A283" s="277" t="s">
        <v>1015</v>
      </c>
      <c r="E283" s="250"/>
      <c r="F283" s="258"/>
      <c r="G283" s="252"/>
      <c r="I283" s="250"/>
      <c r="K283" s="250"/>
      <c r="L283" s="250"/>
      <c r="M283" s="250"/>
      <c r="N283" s="250"/>
      <c r="O283" s="250"/>
      <c r="P283" s="250"/>
      <c r="Q283" s="250"/>
      <c r="R283" s="250"/>
    </row>
    <row r="284" spans="1:18" s="249" customFormat="1" ht="12.75">
      <c r="A284" s="274" t="s">
        <v>1003</v>
      </c>
      <c r="B284" s="249">
        <v>31.4</v>
      </c>
      <c r="E284" s="250"/>
      <c r="F284" s="258">
        <f>B284*$H$2</f>
        <v>1.1158341483911316</v>
      </c>
      <c r="G284" s="252"/>
      <c r="H284" s="249">
        <f t="shared" ref="H284:H287" si="45">B284+D284+F284</f>
        <v>32.515834148391129</v>
      </c>
      <c r="I284" s="250"/>
      <c r="K284" s="250"/>
      <c r="L284" s="250"/>
      <c r="M284" s="250"/>
      <c r="N284" s="250"/>
      <c r="O284" s="250"/>
      <c r="P284" s="250"/>
      <c r="Q284" s="250"/>
      <c r="R284" s="250"/>
    </row>
    <row r="285" spans="1:18" s="249" customFormat="1" ht="12.75">
      <c r="A285" s="274" t="s">
        <v>1009</v>
      </c>
      <c r="B285" s="249">
        <v>31.4</v>
      </c>
      <c r="E285" s="250"/>
      <c r="F285" s="258">
        <f>B285*$H$2</f>
        <v>1.1158341483911316</v>
      </c>
      <c r="G285" s="252"/>
      <c r="H285" s="249">
        <f t="shared" si="45"/>
        <v>32.515834148391129</v>
      </c>
      <c r="I285" s="250"/>
      <c r="K285" s="250"/>
      <c r="L285" s="250"/>
      <c r="M285" s="250"/>
      <c r="N285" s="250"/>
      <c r="O285" s="250"/>
      <c r="P285" s="250"/>
      <c r="Q285" s="250"/>
      <c r="R285" s="250"/>
    </row>
    <row r="286" spans="1:18" s="249" customFormat="1" ht="12.75">
      <c r="A286" s="274" t="s">
        <v>1010</v>
      </c>
      <c r="B286" s="249">
        <v>31.4</v>
      </c>
      <c r="E286" s="250"/>
      <c r="F286" s="258">
        <f>B286*$H$2</f>
        <v>1.1158341483911316</v>
      </c>
      <c r="G286" s="252"/>
      <c r="H286" s="249">
        <f t="shared" si="45"/>
        <v>32.515834148391129</v>
      </c>
      <c r="I286" s="250"/>
      <c r="K286" s="250"/>
      <c r="L286" s="250"/>
      <c r="M286" s="250"/>
      <c r="N286" s="250"/>
      <c r="O286" s="250"/>
      <c r="P286" s="250"/>
      <c r="Q286" s="250"/>
      <c r="R286" s="250"/>
    </row>
    <row r="287" spans="1:18" s="249" customFormat="1" ht="12.75">
      <c r="A287" s="274" t="s">
        <v>1011</v>
      </c>
      <c r="B287" s="249">
        <v>31.4</v>
      </c>
      <c r="E287" s="250"/>
      <c r="F287" s="258">
        <f>B287*$H$2</f>
        <v>1.1158341483911316</v>
      </c>
      <c r="G287" s="252"/>
      <c r="H287" s="249">
        <f t="shared" si="45"/>
        <v>32.515834148391129</v>
      </c>
      <c r="I287" s="250"/>
      <c r="K287" s="250"/>
      <c r="L287" s="250"/>
      <c r="M287" s="250"/>
      <c r="N287" s="250"/>
      <c r="O287" s="250"/>
      <c r="P287" s="250"/>
      <c r="Q287" s="250"/>
      <c r="R287" s="250"/>
    </row>
    <row r="288" spans="1:18" s="249" customFormat="1" ht="12.75">
      <c r="A288" s="274"/>
      <c r="E288" s="250"/>
      <c r="F288" s="258"/>
      <c r="G288" s="252"/>
      <c r="I288" s="250"/>
      <c r="K288" s="250"/>
      <c r="L288" s="250"/>
      <c r="M288" s="250"/>
      <c r="N288" s="250"/>
      <c r="O288" s="250"/>
      <c r="P288" s="250"/>
      <c r="Q288" s="250"/>
      <c r="R288" s="250"/>
    </row>
    <row r="289" spans="1:18" s="249" customFormat="1" ht="12.75">
      <c r="A289" s="277" t="s">
        <v>1016</v>
      </c>
      <c r="E289" s="250"/>
      <c r="F289" s="258"/>
      <c r="G289" s="252"/>
      <c r="I289" s="250"/>
      <c r="K289" s="250"/>
      <c r="L289" s="250"/>
      <c r="M289" s="250"/>
      <c r="N289" s="250"/>
      <c r="O289" s="250"/>
      <c r="P289" s="250"/>
      <c r="Q289" s="250"/>
      <c r="R289" s="250"/>
    </row>
    <row r="290" spans="1:18" s="249" customFormat="1" ht="12.75">
      <c r="A290" s="274" t="s">
        <v>1003</v>
      </c>
      <c r="B290" s="249">
        <v>56.53</v>
      </c>
      <c r="D290" s="249">
        <f>'[52]Proposed Rates'!D131</f>
        <v>2.2685989945288174</v>
      </c>
      <c r="E290" s="250"/>
      <c r="F290" s="258">
        <f>B290*$H$2</f>
        <v>2.0088568282977923</v>
      </c>
      <c r="G290" s="252"/>
      <c r="H290" s="249">
        <f t="shared" ref="H290:H293" si="46">B290+D290+F290</f>
        <v>60.807455822826611</v>
      </c>
      <c r="I290" s="250"/>
      <c r="K290" s="250"/>
      <c r="L290" s="250"/>
      <c r="M290" s="250"/>
      <c r="N290" s="250"/>
      <c r="O290" s="250"/>
      <c r="P290" s="250"/>
      <c r="Q290" s="250"/>
      <c r="R290" s="250"/>
    </row>
    <row r="291" spans="1:18" s="249" customFormat="1" ht="12.75">
      <c r="A291" s="274" t="s">
        <v>1009</v>
      </c>
      <c r="B291" s="249">
        <v>77.31</v>
      </c>
      <c r="D291" s="249">
        <f>'[52]Proposed Rates'!D132</f>
        <v>3.3118744580621318</v>
      </c>
      <c r="E291" s="250"/>
      <c r="F291" s="258">
        <f>B291*$H$2</f>
        <v>2.747297388920968</v>
      </c>
      <c r="G291" s="252"/>
      <c r="H291" s="249">
        <f t="shared" si="46"/>
        <v>83.369171846983107</v>
      </c>
      <c r="I291" s="250"/>
      <c r="K291" s="250"/>
      <c r="L291" s="250"/>
      <c r="M291" s="250"/>
      <c r="N291" s="250"/>
      <c r="O291" s="250"/>
      <c r="P291" s="250"/>
      <c r="Q291" s="250"/>
      <c r="R291" s="250"/>
    </row>
    <row r="292" spans="1:18" s="249" customFormat="1" ht="12.75">
      <c r="A292" s="274" t="s">
        <v>1010</v>
      </c>
      <c r="B292" s="249">
        <v>100.5</v>
      </c>
      <c r="D292" s="249">
        <f>'[52]Proposed Rates'!D133</f>
        <v>4.2921332828585337</v>
      </c>
      <c r="E292" s="250"/>
      <c r="F292" s="258">
        <f>B292*$H$2</f>
        <v>3.571379997239132</v>
      </c>
      <c r="G292" s="252"/>
      <c r="H292" s="249">
        <f t="shared" si="46"/>
        <v>108.36351328009766</v>
      </c>
      <c r="I292" s="250"/>
      <c r="K292" s="250"/>
      <c r="L292" s="250"/>
      <c r="M292" s="250"/>
      <c r="N292" s="250"/>
      <c r="O292" s="250"/>
      <c r="P292" s="250"/>
      <c r="Q292" s="250"/>
      <c r="R292" s="250"/>
    </row>
    <row r="293" spans="1:18" s="249" customFormat="1" ht="12.75">
      <c r="A293" s="274" t="s">
        <v>1011</v>
      </c>
      <c r="B293" s="249">
        <v>134.47999999999999</v>
      </c>
      <c r="D293" s="249">
        <f>'[52]Proposed Rates'!D134</f>
        <v>6.8057969835864522</v>
      </c>
      <c r="E293" s="250"/>
      <c r="F293" s="258">
        <f>B293*$H$2</f>
        <v>4.7788973336190885</v>
      </c>
      <c r="G293" s="252"/>
      <c r="H293" s="249">
        <f t="shared" si="46"/>
        <v>146.06469431720552</v>
      </c>
      <c r="I293" s="250"/>
      <c r="K293" s="250"/>
      <c r="L293" s="250"/>
      <c r="M293" s="250"/>
      <c r="N293" s="250"/>
      <c r="O293" s="250"/>
      <c r="P293" s="250"/>
      <c r="Q293" s="250"/>
      <c r="R293" s="250"/>
    </row>
    <row r="294" spans="1:18" s="249" customFormat="1" ht="12.75">
      <c r="A294" s="274"/>
      <c r="E294" s="250"/>
      <c r="F294" s="258"/>
      <c r="G294" s="252"/>
      <c r="I294" s="250"/>
      <c r="K294" s="250"/>
      <c r="L294" s="250"/>
      <c r="M294" s="250"/>
      <c r="N294" s="250"/>
      <c r="O294" s="250"/>
      <c r="P294" s="250"/>
      <c r="Q294" s="250"/>
      <c r="R294" s="250"/>
    </row>
    <row r="295" spans="1:18" s="249" customFormat="1" ht="12.75">
      <c r="A295" s="277" t="s">
        <v>1017</v>
      </c>
      <c r="E295" s="250"/>
      <c r="F295" s="258"/>
      <c r="G295" s="252"/>
      <c r="I295" s="250"/>
      <c r="K295" s="250"/>
      <c r="L295" s="250"/>
      <c r="M295" s="250"/>
      <c r="N295" s="250"/>
      <c r="O295" s="250"/>
      <c r="P295" s="250"/>
      <c r="Q295" s="250"/>
      <c r="R295" s="250"/>
    </row>
    <row r="296" spans="1:18" s="249" customFormat="1" ht="12.75">
      <c r="A296" s="274" t="s">
        <v>1003</v>
      </c>
      <c r="B296" s="249">
        <v>0.5</v>
      </c>
      <c r="E296" s="250"/>
      <c r="F296" s="258">
        <f>B296*$H$2</f>
        <v>1.7768059687756875E-2</v>
      </c>
      <c r="G296" s="252"/>
      <c r="H296" s="249">
        <f t="shared" ref="H296:H299" si="47">B296+D296+F296</f>
        <v>0.51776805968775685</v>
      </c>
      <c r="I296" s="250"/>
      <c r="K296" s="250"/>
      <c r="L296" s="250"/>
      <c r="M296" s="250"/>
      <c r="N296" s="250"/>
      <c r="O296" s="250"/>
      <c r="P296" s="250"/>
      <c r="Q296" s="250"/>
      <c r="R296" s="250"/>
    </row>
    <row r="297" spans="1:18" s="249" customFormat="1" ht="12.75">
      <c r="A297" s="274" t="s">
        <v>1009</v>
      </c>
      <c r="B297" s="249">
        <v>0.54</v>
      </c>
      <c r="E297" s="250"/>
      <c r="F297" s="258">
        <f>B297*$H$2</f>
        <v>1.9189504462777427E-2</v>
      </c>
      <c r="G297" s="252"/>
      <c r="H297" s="249">
        <f t="shared" si="47"/>
        <v>0.55918950446277749</v>
      </c>
      <c r="I297" s="250"/>
      <c r="K297" s="250"/>
      <c r="L297" s="250"/>
      <c r="M297" s="250"/>
      <c r="N297" s="250"/>
      <c r="O297" s="250"/>
      <c r="P297" s="250"/>
      <c r="Q297" s="250"/>
      <c r="R297" s="250"/>
    </row>
    <row r="298" spans="1:18" s="249" customFormat="1" ht="12.75">
      <c r="A298" s="274" t="s">
        <v>1010</v>
      </c>
      <c r="B298" s="249">
        <v>0.56000000000000005</v>
      </c>
      <c r="E298" s="250"/>
      <c r="F298" s="258">
        <f>B298*$H$2</f>
        <v>1.9900226850287701E-2</v>
      </c>
      <c r="G298" s="252"/>
      <c r="H298" s="249">
        <f t="shared" si="47"/>
        <v>0.57990022685028775</v>
      </c>
      <c r="I298" s="250"/>
      <c r="K298" s="250"/>
      <c r="L298" s="250"/>
      <c r="M298" s="250"/>
      <c r="N298" s="250"/>
      <c r="O298" s="250"/>
      <c r="P298" s="250"/>
      <c r="Q298" s="250"/>
      <c r="R298" s="250"/>
    </row>
    <row r="299" spans="1:18" s="249" customFormat="1" ht="12.75">
      <c r="A299" s="274" t="s">
        <v>1011</v>
      </c>
      <c r="B299" s="249">
        <v>0.63</v>
      </c>
      <c r="E299" s="250"/>
      <c r="F299" s="258">
        <f>B299*$H$2</f>
        <v>2.2387755206573663E-2</v>
      </c>
      <c r="G299" s="252"/>
      <c r="H299" s="249">
        <f t="shared" si="47"/>
        <v>0.65238775520657366</v>
      </c>
      <c r="I299" s="250"/>
      <c r="K299" s="250"/>
      <c r="L299" s="250"/>
      <c r="M299" s="250"/>
      <c r="N299" s="250"/>
      <c r="O299" s="250"/>
      <c r="P299" s="250"/>
      <c r="Q299" s="250"/>
      <c r="R299" s="250"/>
    </row>
    <row r="300" spans="1:18" s="249" customFormat="1" ht="12.75">
      <c r="A300" s="274"/>
      <c r="E300" s="250"/>
      <c r="F300" s="258"/>
      <c r="G300" s="252"/>
      <c r="I300" s="250"/>
      <c r="K300" s="250"/>
      <c r="L300" s="250"/>
      <c r="M300" s="250"/>
      <c r="N300" s="250"/>
      <c r="O300" s="250"/>
      <c r="P300" s="250"/>
      <c r="Q300" s="250"/>
      <c r="R300" s="250"/>
    </row>
    <row r="301" spans="1:18" s="249" customFormat="1" ht="12.75">
      <c r="A301" s="277" t="s">
        <v>1018</v>
      </c>
      <c r="E301" s="250"/>
      <c r="F301" s="258"/>
      <c r="G301" s="252"/>
      <c r="I301" s="250"/>
      <c r="K301" s="250"/>
      <c r="L301" s="250"/>
      <c r="M301" s="250"/>
      <c r="N301" s="250"/>
      <c r="O301" s="250"/>
      <c r="P301" s="250"/>
      <c r="Q301" s="250"/>
      <c r="R301" s="250"/>
    </row>
    <row r="302" spans="1:18" s="249" customFormat="1" ht="12.75">
      <c r="A302" s="274" t="s">
        <v>1003</v>
      </c>
      <c r="B302" s="249">
        <v>14.75</v>
      </c>
      <c r="E302" s="250"/>
      <c r="F302" s="258">
        <f>B302*$H$2</f>
        <v>0.52415776078882781</v>
      </c>
      <c r="G302" s="252"/>
      <c r="H302" s="249">
        <f t="shared" ref="H302:H305" si="48">B302+D302+F302</f>
        <v>15.274157760788828</v>
      </c>
      <c r="I302" s="250"/>
      <c r="K302" s="250"/>
      <c r="L302" s="250"/>
      <c r="M302" s="250"/>
      <c r="N302" s="250"/>
      <c r="O302" s="250"/>
      <c r="P302" s="250"/>
      <c r="Q302" s="250"/>
      <c r="R302" s="250"/>
    </row>
    <row r="303" spans="1:18" s="249" customFormat="1" ht="12.75">
      <c r="A303" s="274" t="s">
        <v>1009</v>
      </c>
      <c r="B303" s="249">
        <v>15.8</v>
      </c>
      <c r="E303" s="250"/>
      <c r="F303" s="258">
        <f>B303*$H$2</f>
        <v>0.56147068613311724</v>
      </c>
      <c r="G303" s="252"/>
      <c r="H303" s="249">
        <f t="shared" si="48"/>
        <v>16.361470686133117</v>
      </c>
      <c r="I303" s="250"/>
      <c r="K303" s="250"/>
      <c r="L303" s="250"/>
      <c r="M303" s="250"/>
      <c r="N303" s="250"/>
      <c r="O303" s="250"/>
      <c r="P303" s="250"/>
      <c r="Q303" s="250"/>
      <c r="R303" s="250"/>
    </row>
    <row r="304" spans="1:18" s="249" customFormat="1" ht="12.75">
      <c r="A304" s="274" t="s">
        <v>1010</v>
      </c>
      <c r="B304" s="249">
        <v>16.850000000000001</v>
      </c>
      <c r="E304" s="250"/>
      <c r="F304" s="258">
        <f>B304*$H$2</f>
        <v>0.59878361147740677</v>
      </c>
      <c r="G304" s="252"/>
      <c r="H304" s="249">
        <f t="shared" si="48"/>
        <v>17.44878361147741</v>
      </c>
      <c r="I304" s="250"/>
      <c r="K304" s="250"/>
      <c r="L304" s="250"/>
      <c r="M304" s="250"/>
      <c r="N304" s="250"/>
      <c r="O304" s="250"/>
      <c r="P304" s="250"/>
      <c r="Q304" s="250"/>
      <c r="R304" s="250"/>
    </row>
    <row r="305" spans="1:18" s="249" customFormat="1" ht="12.75">
      <c r="A305" s="274" t="s">
        <v>1011</v>
      </c>
      <c r="B305" s="249">
        <v>18.95</v>
      </c>
      <c r="E305" s="250"/>
      <c r="F305" s="258">
        <f>B305*$H$2</f>
        <v>0.67340946216598552</v>
      </c>
      <c r="G305" s="252"/>
      <c r="H305" s="249">
        <f t="shared" si="48"/>
        <v>19.623409462165984</v>
      </c>
      <c r="I305" s="250"/>
      <c r="K305" s="250"/>
      <c r="L305" s="250"/>
      <c r="M305" s="250"/>
      <c r="N305" s="250"/>
      <c r="O305" s="250"/>
      <c r="P305" s="250"/>
      <c r="Q305" s="250"/>
      <c r="R305" s="250"/>
    </row>
    <row r="306" spans="1:18" s="249" customFormat="1" ht="12.75">
      <c r="A306" s="274"/>
      <c r="E306" s="250"/>
      <c r="F306" s="258"/>
      <c r="G306" s="252"/>
      <c r="I306" s="250"/>
      <c r="K306" s="250"/>
      <c r="L306" s="250"/>
      <c r="M306" s="250"/>
      <c r="N306" s="250"/>
      <c r="O306" s="250"/>
      <c r="P306" s="250"/>
      <c r="Q306" s="250"/>
      <c r="R306" s="250"/>
    </row>
    <row r="307" spans="1:18" s="249" customFormat="1" ht="12.75">
      <c r="A307" s="250" t="s">
        <v>955</v>
      </c>
      <c r="B307" s="249">
        <v>1.46</v>
      </c>
      <c r="E307" s="250"/>
      <c r="F307" s="258">
        <f>B307*$H$2</f>
        <v>5.1882734288250076E-2</v>
      </c>
      <c r="G307" s="252"/>
      <c r="H307" s="249">
        <f t="shared" ref="H307:H308" si="49">B307+D307+F307</f>
        <v>1.5118827342882502</v>
      </c>
      <c r="I307" s="250"/>
      <c r="K307" s="250"/>
      <c r="L307" s="250"/>
      <c r="M307" s="250"/>
      <c r="N307" s="250"/>
      <c r="O307" s="250"/>
      <c r="P307" s="250"/>
      <c r="Q307" s="250"/>
      <c r="R307" s="250"/>
    </row>
    <row r="308" spans="1:18" s="249" customFormat="1" ht="12.75">
      <c r="A308" s="274" t="s">
        <v>1005</v>
      </c>
      <c r="B308" s="249">
        <v>8.6999999999999993</v>
      </c>
      <c r="E308" s="250"/>
      <c r="F308" s="258">
        <f>B308*$H$2</f>
        <v>0.30916423856696962</v>
      </c>
      <c r="G308" s="252"/>
      <c r="H308" s="249">
        <f t="shared" si="49"/>
        <v>9.009164238566969</v>
      </c>
      <c r="I308" s="250"/>
      <c r="K308" s="250"/>
      <c r="L308" s="250"/>
      <c r="M308" s="250"/>
      <c r="N308" s="250"/>
      <c r="O308" s="250"/>
      <c r="P308" s="250"/>
      <c r="Q308" s="250"/>
      <c r="R308" s="250"/>
    </row>
    <row r="309" spans="1:18" s="249" customFormat="1" ht="12.75">
      <c r="A309" s="274"/>
      <c r="E309" s="250"/>
      <c r="F309" s="258"/>
      <c r="G309" s="252"/>
      <c r="I309" s="250"/>
      <c r="K309" s="250"/>
      <c r="L309" s="250"/>
      <c r="M309" s="250"/>
      <c r="N309" s="250"/>
      <c r="O309" s="250"/>
      <c r="P309" s="250"/>
      <c r="Q309" s="250"/>
      <c r="R309" s="250"/>
    </row>
    <row r="310" spans="1:18" s="249" customFormat="1" ht="12.75">
      <c r="A310" s="270" t="s">
        <v>2597</v>
      </c>
      <c r="B310" s="273"/>
      <c r="C310" s="273"/>
      <c r="D310" s="273"/>
      <c r="E310" s="290"/>
      <c r="F310" s="283"/>
      <c r="G310" s="291"/>
      <c r="H310" s="273"/>
      <c r="I310" s="250"/>
      <c r="K310" s="250"/>
      <c r="L310" s="250"/>
      <c r="M310" s="250"/>
      <c r="N310" s="250"/>
      <c r="O310" s="250"/>
      <c r="P310" s="250"/>
      <c r="Q310" s="250"/>
      <c r="R310" s="250"/>
    </row>
    <row r="311" spans="1:18" s="286" customFormat="1" ht="12.75">
      <c r="A311" s="251" t="s">
        <v>956</v>
      </c>
      <c r="E311" s="251"/>
      <c r="F311" s="279"/>
      <c r="G311" s="292"/>
      <c r="I311" s="251"/>
      <c r="K311" s="251"/>
      <c r="L311" s="251"/>
      <c r="M311" s="251"/>
      <c r="N311" s="251"/>
      <c r="O311" s="251"/>
      <c r="P311" s="251"/>
      <c r="Q311" s="251"/>
      <c r="R311" s="251"/>
    </row>
    <row r="312" spans="1:18" s="250" customFormat="1" ht="12.75">
      <c r="A312" s="250" t="s">
        <v>1019</v>
      </c>
      <c r="B312" s="249">
        <v>100.85</v>
      </c>
      <c r="C312" s="249"/>
      <c r="D312" s="249">
        <f>'[52]Proposed Rates'!$D$138</f>
        <v>4.2921332828585337</v>
      </c>
      <c r="F312" s="258">
        <f>B312*$H$2</f>
        <v>3.5838176390205616</v>
      </c>
      <c r="G312" s="252"/>
      <c r="H312" s="249">
        <f>B312+D312+F312</f>
        <v>108.72595092187909</v>
      </c>
      <c r="J312" s="249"/>
    </row>
    <row r="313" spans="1:18">
      <c r="H313" s="294"/>
      <c r="I313" s="293"/>
      <c r="L313" s="293"/>
    </row>
    <row r="314" spans="1:18" s="251" customFormat="1" ht="12.75">
      <c r="A314" s="251" t="s">
        <v>957</v>
      </c>
      <c r="B314" s="286"/>
      <c r="C314" s="286"/>
      <c r="D314" s="286"/>
      <c r="F314" s="279"/>
      <c r="G314" s="292"/>
      <c r="H314" s="286"/>
      <c r="J314" s="286"/>
    </row>
    <row r="315" spans="1:18" s="250" customFormat="1" ht="12.75">
      <c r="A315" s="250" t="s">
        <v>1020</v>
      </c>
      <c r="B315" s="249">
        <v>100.85</v>
      </c>
      <c r="C315" s="249"/>
      <c r="D315" s="249">
        <f>'[52]Proposed Rates'!$D$141</f>
        <v>4.2921332828585337</v>
      </c>
      <c r="F315" s="258">
        <f>B315*$H$2</f>
        <v>3.5838176390205616</v>
      </c>
      <c r="G315" s="252"/>
      <c r="H315" s="249">
        <f>B315+D315+F315</f>
        <v>108.72595092187909</v>
      </c>
      <c r="J315" s="249"/>
    </row>
    <row r="316" spans="1:18" s="250" customFormat="1" ht="12.75">
      <c r="B316" s="249"/>
      <c r="C316" s="249"/>
      <c r="D316" s="249"/>
      <c r="F316" s="258"/>
      <c r="G316" s="252"/>
      <c r="H316" s="249"/>
      <c r="J316" s="249"/>
    </row>
    <row r="317" spans="1:18" s="250" customFormat="1" ht="12.75">
      <c r="A317" s="250" t="s">
        <v>1005</v>
      </c>
      <c r="B317" s="249">
        <v>8.6999999999999993</v>
      </c>
      <c r="C317" s="249"/>
      <c r="D317" s="249"/>
      <c r="F317" s="258">
        <f>B317*$H$2</f>
        <v>0.30916423856696962</v>
      </c>
      <c r="G317" s="252"/>
      <c r="H317" s="249">
        <f t="shared" ref="H317:H318" si="50">B317+D317+F317</f>
        <v>9.009164238566969</v>
      </c>
      <c r="J317" s="249"/>
    </row>
    <row r="318" spans="1:18" s="249" customFormat="1" ht="12.75">
      <c r="A318" s="250" t="s">
        <v>955</v>
      </c>
      <c r="B318" s="249">
        <v>1.46</v>
      </c>
      <c r="E318" s="250"/>
      <c r="F318" s="258">
        <f>B318*$H$2</f>
        <v>5.1882734288250076E-2</v>
      </c>
      <c r="G318" s="252"/>
      <c r="H318" s="249">
        <f t="shared" si="50"/>
        <v>1.5118827342882502</v>
      </c>
      <c r="I318" s="250"/>
      <c r="K318" s="250"/>
      <c r="L318" s="250"/>
      <c r="M318" s="250"/>
      <c r="N318" s="250"/>
      <c r="O318" s="250"/>
      <c r="P318" s="250"/>
      <c r="Q318" s="250"/>
      <c r="R318" s="250"/>
    </row>
    <row r="319" spans="1:18" s="250" customFormat="1" ht="12.75">
      <c r="B319" s="249"/>
      <c r="C319" s="249"/>
      <c r="D319" s="249"/>
      <c r="F319" s="258"/>
      <c r="G319" s="252"/>
      <c r="H319" s="249"/>
      <c r="J319" s="249"/>
    </row>
    <row r="320" spans="1:18" s="249" customFormat="1" ht="12.75">
      <c r="A320" s="268" t="s">
        <v>2598</v>
      </c>
      <c r="B320" s="273"/>
      <c r="C320" s="273"/>
      <c r="D320" s="273"/>
      <c r="E320" s="290"/>
      <c r="F320" s="283"/>
      <c r="G320" s="298"/>
      <c r="H320" s="273"/>
      <c r="I320" s="250"/>
      <c r="K320" s="250"/>
      <c r="L320" s="250"/>
      <c r="M320" s="250"/>
      <c r="N320" s="250"/>
      <c r="O320" s="250"/>
      <c r="P320" s="250"/>
      <c r="Q320" s="250"/>
      <c r="R320" s="250"/>
    </row>
    <row r="321" spans="1:18" s="286" customFormat="1" ht="12.75">
      <c r="A321" s="251" t="s">
        <v>958</v>
      </c>
      <c r="E321" s="251"/>
      <c r="F321" s="279"/>
      <c r="G321" s="276"/>
      <c r="I321" s="251"/>
      <c r="K321" s="251"/>
      <c r="L321" s="251"/>
      <c r="M321" s="251"/>
      <c r="N321" s="251"/>
      <c r="O321" s="251"/>
      <c r="P321" s="251"/>
      <c r="Q321" s="251"/>
      <c r="R321" s="251"/>
    </row>
    <row r="322" spans="1:18" s="249" customFormat="1" ht="12.75">
      <c r="A322" s="250" t="s">
        <v>991</v>
      </c>
      <c r="B322" s="249">
        <v>60.3</v>
      </c>
      <c r="E322" s="250"/>
      <c r="F322" s="258">
        <f>B322*$H$2</f>
        <v>2.142827998343479</v>
      </c>
      <c r="G322" s="299"/>
      <c r="H322" s="249">
        <f>+B322+F322</f>
        <v>62.442827998343475</v>
      </c>
      <c r="I322" s="250"/>
      <c r="K322" s="250"/>
      <c r="L322" s="250"/>
      <c r="M322" s="250"/>
      <c r="N322" s="250"/>
      <c r="O322" s="250"/>
      <c r="P322" s="250"/>
      <c r="Q322" s="250"/>
      <c r="R322" s="250"/>
    </row>
    <row r="323" spans="1:18" s="249" customFormat="1" ht="12.75">
      <c r="A323" s="250" t="s">
        <v>959</v>
      </c>
      <c r="B323" s="249">
        <v>60.3</v>
      </c>
      <c r="E323" s="250"/>
      <c r="F323" s="258">
        <f>B323*$H$2</f>
        <v>2.142827998343479</v>
      </c>
      <c r="G323" s="299"/>
      <c r="H323" s="249">
        <f>+B323+F323</f>
        <v>62.442827998343475</v>
      </c>
      <c r="I323" s="250"/>
      <c r="K323" s="250"/>
      <c r="L323" s="250"/>
      <c r="M323" s="250"/>
      <c r="N323" s="250"/>
      <c r="O323" s="250"/>
      <c r="P323" s="250"/>
      <c r="Q323" s="250"/>
      <c r="R323" s="250"/>
    </row>
    <row r="324" spans="1:18" s="249" customFormat="1" ht="12.75">
      <c r="A324" s="250" t="s">
        <v>960</v>
      </c>
      <c r="B324" s="249">
        <v>60.3</v>
      </c>
      <c r="E324" s="250"/>
      <c r="F324" s="258">
        <f>B324*$H$2</f>
        <v>2.142827998343479</v>
      </c>
      <c r="G324" s="299"/>
      <c r="H324" s="249">
        <f>+B324+F324</f>
        <v>62.442827998343475</v>
      </c>
      <c r="I324" s="250"/>
      <c r="K324" s="250"/>
      <c r="L324" s="250"/>
      <c r="M324" s="250"/>
      <c r="N324" s="250"/>
      <c r="O324" s="250"/>
      <c r="P324" s="250"/>
      <c r="Q324" s="250"/>
      <c r="R324" s="250"/>
    </row>
    <row r="325" spans="1:18" s="249" customFormat="1" ht="12.75">
      <c r="A325" s="250" t="s">
        <v>961</v>
      </c>
      <c r="B325" s="249">
        <v>60.3</v>
      </c>
      <c r="E325" s="250"/>
      <c r="F325" s="258">
        <f>B325*$H$2</f>
        <v>2.142827998343479</v>
      </c>
      <c r="G325" s="299"/>
      <c r="H325" s="249">
        <f>+B325+F325</f>
        <v>62.442827998343475</v>
      </c>
      <c r="I325" s="250"/>
      <c r="K325" s="250"/>
      <c r="L325" s="250"/>
      <c r="M325" s="250"/>
      <c r="N325" s="250"/>
      <c r="O325" s="250"/>
      <c r="P325" s="250"/>
      <c r="Q325" s="250"/>
      <c r="R325" s="250"/>
    </row>
    <row r="326" spans="1:18" s="249" customFormat="1" ht="12.75">
      <c r="A326" s="251"/>
      <c r="E326" s="250"/>
      <c r="F326" s="258"/>
      <c r="G326" s="299"/>
      <c r="I326" s="250"/>
      <c r="K326" s="250"/>
      <c r="L326" s="250"/>
      <c r="M326" s="250"/>
      <c r="N326" s="250"/>
      <c r="O326" s="250"/>
      <c r="P326" s="250"/>
      <c r="Q326" s="250"/>
      <c r="R326" s="250"/>
    </row>
    <row r="327" spans="1:18" s="286" customFormat="1" ht="12.75">
      <c r="A327" s="251" t="s">
        <v>962</v>
      </c>
      <c r="E327" s="251"/>
      <c r="F327" s="279"/>
      <c r="G327" s="276"/>
      <c r="I327" s="251"/>
      <c r="K327" s="251"/>
      <c r="L327" s="251"/>
      <c r="M327" s="251"/>
      <c r="N327" s="251"/>
      <c r="O327" s="251"/>
      <c r="P327" s="251"/>
      <c r="Q327" s="251"/>
      <c r="R327" s="251"/>
    </row>
    <row r="328" spans="1:18" s="286" customFormat="1" ht="12.75">
      <c r="A328" s="251" t="s">
        <v>963</v>
      </c>
      <c r="E328" s="251"/>
      <c r="F328" s="279"/>
      <c r="G328" s="276"/>
      <c r="I328" s="251"/>
      <c r="K328" s="251"/>
      <c r="L328" s="251"/>
      <c r="M328" s="251"/>
      <c r="N328" s="251"/>
      <c r="O328" s="251"/>
      <c r="P328" s="251"/>
      <c r="Q328" s="251"/>
      <c r="R328" s="251"/>
    </row>
    <row r="329" spans="1:18" s="249" customFormat="1" ht="12.75">
      <c r="A329" s="250" t="s">
        <v>991</v>
      </c>
      <c r="B329" s="249">
        <v>104.26</v>
      </c>
      <c r="E329" s="250"/>
      <c r="F329" s="258">
        <f>B329*$H$2</f>
        <v>3.7049958060910639</v>
      </c>
      <c r="G329" s="299"/>
      <c r="H329" s="249">
        <f>+B329+F329</f>
        <v>107.96499580609107</v>
      </c>
      <c r="I329" s="250"/>
      <c r="K329" s="250"/>
      <c r="L329" s="250"/>
      <c r="M329" s="250"/>
      <c r="N329" s="250"/>
      <c r="O329" s="250"/>
      <c r="P329" s="250"/>
      <c r="Q329" s="250"/>
      <c r="R329" s="250"/>
    </row>
    <row r="330" spans="1:18" s="249" customFormat="1" ht="12.75">
      <c r="A330" s="250" t="s">
        <v>959</v>
      </c>
      <c r="B330" s="249">
        <v>104.26</v>
      </c>
      <c r="E330" s="250"/>
      <c r="F330" s="258">
        <f>B330*$H$2</f>
        <v>3.7049958060910639</v>
      </c>
      <c r="G330" s="299"/>
      <c r="H330" s="249">
        <f>+B330+F330</f>
        <v>107.96499580609107</v>
      </c>
      <c r="I330" s="250"/>
      <c r="K330" s="250"/>
      <c r="L330" s="250"/>
      <c r="M330" s="250"/>
      <c r="N330" s="250"/>
      <c r="O330" s="250"/>
      <c r="P330" s="250"/>
      <c r="Q330" s="250"/>
      <c r="R330" s="250"/>
    </row>
    <row r="331" spans="1:18" s="249" customFormat="1" ht="12.75">
      <c r="A331" s="250" t="s">
        <v>960</v>
      </c>
      <c r="B331" s="249">
        <v>108.6</v>
      </c>
      <c r="E331" s="250"/>
      <c r="F331" s="258">
        <f>B331*$H$2</f>
        <v>3.8592225641807931</v>
      </c>
      <c r="G331" s="299"/>
      <c r="H331" s="249">
        <f>+B331+F331</f>
        <v>112.45922256418079</v>
      </c>
      <c r="I331" s="250"/>
      <c r="K331" s="250"/>
      <c r="L331" s="250"/>
      <c r="M331" s="250"/>
      <c r="N331" s="250"/>
      <c r="O331" s="250"/>
      <c r="P331" s="250"/>
      <c r="Q331" s="250"/>
      <c r="R331" s="250"/>
    </row>
    <row r="332" spans="1:18" s="249" customFormat="1" ht="12.75">
      <c r="A332" s="250" t="s">
        <v>961</v>
      </c>
      <c r="B332" s="249">
        <v>108.6</v>
      </c>
      <c r="E332" s="250"/>
      <c r="F332" s="258">
        <f>B332*$H$2</f>
        <v>3.8592225641807931</v>
      </c>
      <c r="G332" s="299"/>
      <c r="H332" s="249">
        <f>+B332+F332</f>
        <v>112.45922256418079</v>
      </c>
      <c r="I332" s="250"/>
      <c r="K332" s="250"/>
      <c r="L332" s="250"/>
      <c r="M332" s="250"/>
      <c r="N332" s="250"/>
      <c r="O332" s="250"/>
      <c r="P332" s="250"/>
      <c r="Q332" s="250"/>
      <c r="R332" s="250"/>
    </row>
    <row r="333" spans="1:18" s="249" customFormat="1" ht="12.75">
      <c r="A333" s="251"/>
      <c r="E333" s="250"/>
      <c r="F333" s="258"/>
      <c r="G333" s="299"/>
      <c r="I333" s="250"/>
      <c r="K333" s="250"/>
      <c r="L333" s="250"/>
      <c r="M333" s="250"/>
      <c r="N333" s="250"/>
      <c r="O333" s="250"/>
      <c r="P333" s="250"/>
      <c r="Q333" s="250"/>
      <c r="R333" s="250"/>
    </row>
    <row r="334" spans="1:18" s="286" customFormat="1" ht="12.75">
      <c r="A334" s="251" t="s">
        <v>964</v>
      </c>
      <c r="E334" s="251"/>
      <c r="F334" s="279"/>
      <c r="G334" s="276"/>
      <c r="I334" s="251"/>
      <c r="K334" s="251"/>
      <c r="L334" s="251"/>
      <c r="M334" s="251"/>
      <c r="N334" s="251"/>
      <c r="O334" s="251"/>
      <c r="P334" s="251"/>
      <c r="Q334" s="251"/>
      <c r="R334" s="251"/>
    </row>
    <row r="335" spans="1:18" s="249" customFormat="1" ht="12.75">
      <c r="A335" s="250" t="s">
        <v>991</v>
      </c>
      <c r="B335" s="249">
        <v>55.5</v>
      </c>
      <c r="E335" s="250"/>
      <c r="F335" s="258">
        <f>B335*$H$2</f>
        <v>1.9722546253410131</v>
      </c>
      <c r="G335" s="299"/>
      <c r="H335" s="249">
        <f>+B335+F335</f>
        <v>57.472254625341016</v>
      </c>
      <c r="I335" s="250"/>
      <c r="K335" s="250"/>
      <c r="L335" s="250"/>
      <c r="M335" s="250"/>
      <c r="N335" s="250"/>
      <c r="O335" s="250"/>
      <c r="P335" s="250"/>
      <c r="Q335" s="250"/>
      <c r="R335" s="250"/>
    </row>
    <row r="336" spans="1:18" s="249" customFormat="1" ht="12.75">
      <c r="A336" s="250" t="s">
        <v>959</v>
      </c>
      <c r="B336" s="249">
        <v>55.5</v>
      </c>
      <c r="E336" s="250"/>
      <c r="F336" s="258">
        <f>B336*$H$2</f>
        <v>1.9722546253410131</v>
      </c>
      <c r="G336" s="299"/>
      <c r="H336" s="249">
        <f>+B336+F336</f>
        <v>57.472254625341016</v>
      </c>
      <c r="I336" s="250"/>
      <c r="K336" s="250"/>
      <c r="L336" s="250"/>
      <c r="M336" s="250"/>
      <c r="N336" s="250"/>
      <c r="O336" s="250"/>
      <c r="P336" s="250"/>
      <c r="Q336" s="250"/>
      <c r="R336" s="250"/>
    </row>
    <row r="337" spans="1:18" s="249" customFormat="1" ht="12.75">
      <c r="A337" s="250" t="s">
        <v>960</v>
      </c>
      <c r="B337" s="249">
        <v>55.5</v>
      </c>
      <c r="E337" s="250"/>
      <c r="F337" s="258">
        <f>B337*$H$2</f>
        <v>1.9722546253410131</v>
      </c>
      <c r="G337" s="299"/>
      <c r="H337" s="249">
        <f>+B337+F337</f>
        <v>57.472254625341016</v>
      </c>
      <c r="I337" s="250"/>
      <c r="K337" s="250"/>
      <c r="L337" s="250"/>
      <c r="M337" s="250"/>
      <c r="N337" s="250"/>
      <c r="O337" s="250"/>
      <c r="P337" s="250"/>
      <c r="Q337" s="250"/>
      <c r="R337" s="250"/>
    </row>
    <row r="338" spans="1:18" s="249" customFormat="1" ht="12.75">
      <c r="A338" s="250" t="s">
        <v>961</v>
      </c>
      <c r="B338" s="249">
        <v>55.5</v>
      </c>
      <c r="E338" s="250"/>
      <c r="F338" s="258">
        <f>B338*$H$2</f>
        <v>1.9722546253410131</v>
      </c>
      <c r="G338" s="299"/>
      <c r="H338" s="249">
        <f>+B338+F338</f>
        <v>57.472254625341016</v>
      </c>
      <c r="I338" s="250"/>
      <c r="K338" s="250"/>
      <c r="L338" s="250"/>
      <c r="M338" s="250"/>
      <c r="N338" s="250"/>
      <c r="O338" s="250"/>
      <c r="P338" s="250"/>
      <c r="Q338" s="250"/>
      <c r="R338" s="250"/>
    </row>
    <row r="339" spans="1:18" s="249" customFormat="1" ht="12.75">
      <c r="A339" s="251"/>
      <c r="E339" s="250"/>
      <c r="F339" s="258"/>
      <c r="G339" s="299"/>
      <c r="I339" s="250"/>
      <c r="K339" s="250"/>
      <c r="L339" s="250"/>
      <c r="M339" s="250"/>
      <c r="N339" s="250"/>
      <c r="O339" s="250"/>
      <c r="P339" s="250"/>
      <c r="Q339" s="250"/>
      <c r="R339" s="250"/>
    </row>
    <row r="340" spans="1:18" s="249" customFormat="1" ht="12.75">
      <c r="A340" s="251"/>
      <c r="B340" s="252"/>
      <c r="C340" s="252"/>
      <c r="D340" s="252"/>
      <c r="E340" s="250"/>
      <c r="F340" s="258"/>
      <c r="G340" s="252"/>
      <c r="I340" s="250"/>
      <c r="K340" s="250"/>
      <c r="L340" s="250"/>
      <c r="M340" s="250"/>
      <c r="N340" s="250"/>
      <c r="O340" s="250"/>
      <c r="P340" s="250"/>
      <c r="Q340" s="250"/>
      <c r="R340" s="250"/>
    </row>
    <row r="341" spans="1:18" s="286" customFormat="1" ht="12.75">
      <c r="A341" s="251" t="s">
        <v>965</v>
      </c>
      <c r="B341" s="292"/>
      <c r="C341" s="292"/>
      <c r="D341" s="292"/>
      <c r="E341" s="251"/>
      <c r="F341" s="279"/>
      <c r="G341" s="292"/>
      <c r="I341" s="251"/>
      <c r="K341" s="251"/>
      <c r="L341" s="251"/>
      <c r="M341" s="251"/>
      <c r="N341" s="251"/>
      <c r="O341" s="251"/>
      <c r="P341" s="251"/>
      <c r="Q341" s="251"/>
      <c r="R341" s="251"/>
    </row>
    <row r="342" spans="1:18" s="249" customFormat="1" ht="12.75">
      <c r="A342" s="250" t="s">
        <v>991</v>
      </c>
      <c r="B342" s="249">
        <f>B329</f>
        <v>104.26</v>
      </c>
      <c r="E342" s="250"/>
      <c r="F342" s="258">
        <f>B342*$H$2</f>
        <v>3.7049958060910639</v>
      </c>
      <c r="G342" s="252"/>
      <c r="H342" s="249">
        <f>+B342+F342</f>
        <v>107.96499580609107</v>
      </c>
      <c r="I342" s="250"/>
      <c r="K342" s="250"/>
      <c r="L342" s="250"/>
      <c r="M342" s="250"/>
      <c r="N342" s="250"/>
      <c r="O342" s="250"/>
      <c r="P342" s="250"/>
      <c r="Q342" s="250"/>
      <c r="R342" s="250"/>
    </row>
    <row r="343" spans="1:18" s="249" customFormat="1" ht="12.75">
      <c r="A343" s="250" t="s">
        <v>959</v>
      </c>
      <c r="B343" s="249">
        <f t="shared" ref="B343:B345" si="51">B330</f>
        <v>104.26</v>
      </c>
      <c r="E343" s="250"/>
      <c r="F343" s="258">
        <f>B343*$H$2</f>
        <v>3.7049958060910639</v>
      </c>
      <c r="G343" s="252"/>
      <c r="H343" s="249">
        <f>+B343+F343</f>
        <v>107.96499580609107</v>
      </c>
      <c r="I343" s="250"/>
      <c r="K343" s="250"/>
      <c r="L343" s="250"/>
      <c r="M343" s="250"/>
      <c r="N343" s="250"/>
      <c r="O343" s="250"/>
      <c r="P343" s="250"/>
      <c r="Q343" s="250"/>
      <c r="R343" s="250"/>
    </row>
    <row r="344" spans="1:18" s="249" customFormat="1" ht="12.75">
      <c r="A344" s="250" t="s">
        <v>960</v>
      </c>
      <c r="B344" s="249">
        <f t="shared" si="51"/>
        <v>108.6</v>
      </c>
      <c r="E344" s="250"/>
      <c r="F344" s="258">
        <f>B344*$H$2</f>
        <v>3.8592225641807931</v>
      </c>
      <c r="G344" s="252"/>
      <c r="H344" s="249">
        <f>+B344+F344</f>
        <v>112.45922256418079</v>
      </c>
      <c r="I344" s="250"/>
      <c r="K344" s="250"/>
      <c r="L344" s="250"/>
      <c r="M344" s="250"/>
      <c r="N344" s="250"/>
      <c r="O344" s="250"/>
      <c r="P344" s="250"/>
      <c r="Q344" s="250"/>
      <c r="R344" s="250"/>
    </row>
    <row r="345" spans="1:18" s="249" customFormat="1" ht="12.75">
      <c r="A345" s="250" t="s">
        <v>961</v>
      </c>
      <c r="B345" s="249">
        <f t="shared" si="51"/>
        <v>108.6</v>
      </c>
      <c r="E345" s="250"/>
      <c r="F345" s="258">
        <f>B345*$H$2</f>
        <v>3.8592225641807931</v>
      </c>
      <c r="G345" s="252"/>
      <c r="H345" s="249">
        <f>+B345+F345</f>
        <v>112.45922256418079</v>
      </c>
      <c r="I345" s="250"/>
      <c r="K345" s="250"/>
      <c r="L345" s="250"/>
      <c r="M345" s="250"/>
      <c r="N345" s="250"/>
      <c r="O345" s="250"/>
      <c r="P345" s="250"/>
      <c r="Q345" s="250"/>
      <c r="R345" s="250"/>
    </row>
    <row r="346" spans="1:18" s="249" customFormat="1" ht="12.75">
      <c r="A346" s="250"/>
      <c r="B346" s="252"/>
      <c r="C346" s="252"/>
      <c r="D346" s="252"/>
      <c r="E346" s="250"/>
      <c r="F346" s="258"/>
      <c r="G346" s="252"/>
      <c r="I346" s="250"/>
      <c r="K346" s="250"/>
      <c r="L346" s="250"/>
      <c r="M346" s="250"/>
      <c r="N346" s="250"/>
      <c r="O346" s="250"/>
      <c r="P346" s="250"/>
      <c r="Q346" s="250"/>
      <c r="R346" s="250"/>
    </row>
    <row r="347" spans="1:18" s="286" customFormat="1" ht="12.75">
      <c r="A347" s="251" t="s">
        <v>1021</v>
      </c>
      <c r="B347" s="292"/>
      <c r="C347" s="292"/>
      <c r="D347" s="292"/>
      <c r="E347" s="251"/>
      <c r="F347" s="279"/>
      <c r="G347" s="292"/>
      <c r="I347" s="251"/>
      <c r="K347" s="251"/>
      <c r="L347" s="251"/>
      <c r="M347" s="251"/>
      <c r="N347" s="251"/>
      <c r="O347" s="251"/>
      <c r="P347" s="251"/>
      <c r="Q347" s="251"/>
      <c r="R347" s="251"/>
    </row>
    <row r="348" spans="1:18" s="249" customFormat="1" ht="12.75">
      <c r="A348" s="250" t="s">
        <v>991</v>
      </c>
      <c r="B348" s="252">
        <v>2.0099999999999998</v>
      </c>
      <c r="C348" s="252"/>
      <c r="D348" s="252"/>
      <c r="E348" s="250"/>
      <c r="F348" s="258">
        <f>B348*$H$2</f>
        <v>7.1427599944782635E-2</v>
      </c>
      <c r="G348" s="252"/>
      <c r="H348" s="249">
        <f>+B348+F348</f>
        <v>2.0814275999447824</v>
      </c>
      <c r="I348" s="250"/>
      <c r="K348" s="250"/>
      <c r="L348" s="250"/>
      <c r="M348" s="250"/>
      <c r="N348" s="250"/>
      <c r="O348" s="250"/>
      <c r="P348" s="250"/>
      <c r="Q348" s="250"/>
      <c r="R348" s="250"/>
    </row>
    <row r="349" spans="1:18" s="249" customFormat="1" ht="12.75">
      <c r="A349" s="250" t="s">
        <v>959</v>
      </c>
      <c r="B349" s="252">
        <v>2.0099999999999998</v>
      </c>
      <c r="C349" s="252"/>
      <c r="D349" s="252"/>
      <c r="E349" s="250"/>
      <c r="F349" s="258">
        <f>B349*$H$2</f>
        <v>7.1427599944782635E-2</v>
      </c>
      <c r="G349" s="252"/>
      <c r="H349" s="249">
        <f>+B349+F349</f>
        <v>2.0814275999447824</v>
      </c>
      <c r="I349" s="250"/>
      <c r="K349" s="250"/>
      <c r="L349" s="250"/>
      <c r="M349" s="250"/>
      <c r="N349" s="250"/>
      <c r="O349" s="250"/>
      <c r="P349" s="250"/>
      <c r="Q349" s="250"/>
      <c r="R349" s="250"/>
    </row>
    <row r="350" spans="1:18" s="249" customFormat="1" ht="12.75">
      <c r="A350" s="250" t="s">
        <v>960</v>
      </c>
      <c r="B350" s="252">
        <v>2.0099999999999998</v>
      </c>
      <c r="C350" s="252"/>
      <c r="D350" s="252"/>
      <c r="E350" s="250"/>
      <c r="F350" s="258">
        <f>B350*$H$2</f>
        <v>7.1427599944782635E-2</v>
      </c>
      <c r="G350" s="252"/>
      <c r="H350" s="249">
        <f>+B350+F350</f>
        <v>2.0814275999447824</v>
      </c>
      <c r="I350" s="250"/>
      <c r="K350" s="250"/>
      <c r="L350" s="250"/>
      <c r="M350" s="250"/>
      <c r="N350" s="250"/>
      <c r="O350" s="250"/>
      <c r="P350" s="250"/>
      <c r="Q350" s="250"/>
      <c r="R350" s="250"/>
    </row>
    <row r="351" spans="1:18" s="249" customFormat="1" ht="12.75">
      <c r="A351" s="250" t="s">
        <v>961</v>
      </c>
      <c r="B351" s="252">
        <v>2.0099999999999998</v>
      </c>
      <c r="C351" s="252"/>
      <c r="D351" s="252"/>
      <c r="E351" s="250"/>
      <c r="F351" s="258">
        <f>B351*$H$2</f>
        <v>7.1427599944782635E-2</v>
      </c>
      <c r="G351" s="252"/>
      <c r="H351" s="249">
        <f>+B351+F351</f>
        <v>2.0814275999447824</v>
      </c>
      <c r="I351" s="250"/>
      <c r="K351" s="250"/>
      <c r="L351" s="250"/>
      <c r="M351" s="250"/>
      <c r="N351" s="250"/>
      <c r="O351" s="250"/>
      <c r="P351" s="250"/>
      <c r="Q351" s="250"/>
      <c r="R351" s="250"/>
    </row>
    <row r="352" spans="1:18" s="249" customFormat="1" ht="12.75">
      <c r="A352" s="250"/>
      <c r="B352" s="252"/>
      <c r="C352" s="252"/>
      <c r="D352" s="252"/>
      <c r="E352" s="250"/>
      <c r="F352" s="258"/>
      <c r="G352" s="252"/>
      <c r="I352" s="250"/>
      <c r="K352" s="250"/>
      <c r="L352" s="250"/>
      <c r="M352" s="250"/>
      <c r="N352" s="250"/>
      <c r="O352" s="250"/>
      <c r="P352" s="250"/>
      <c r="Q352" s="250"/>
      <c r="R352" s="250"/>
    </row>
    <row r="353" spans="1:18" s="249" customFormat="1" ht="12.75">
      <c r="A353" s="251" t="s">
        <v>1022</v>
      </c>
      <c r="B353" s="252"/>
      <c r="C353" s="252"/>
      <c r="D353" s="252"/>
      <c r="E353" s="250"/>
      <c r="F353" s="258"/>
      <c r="G353" s="252"/>
      <c r="I353" s="250"/>
      <c r="K353" s="250"/>
      <c r="L353" s="250"/>
      <c r="M353" s="250"/>
      <c r="N353" s="250"/>
      <c r="O353" s="250"/>
      <c r="P353" s="250"/>
      <c r="Q353" s="250"/>
      <c r="R353" s="250"/>
    </row>
    <row r="354" spans="1:18" s="249" customFormat="1" ht="12.75">
      <c r="A354" s="250" t="s">
        <v>991</v>
      </c>
      <c r="B354" s="252">
        <v>60.3</v>
      </c>
      <c r="C354" s="252"/>
      <c r="D354" s="252"/>
      <c r="E354" s="250"/>
      <c r="F354" s="258">
        <f>B354*$H$2</f>
        <v>2.142827998343479</v>
      </c>
      <c r="G354" s="252"/>
      <c r="H354" s="249">
        <f>+B354+F354</f>
        <v>62.442827998343475</v>
      </c>
      <c r="I354" s="250"/>
      <c r="K354" s="250"/>
      <c r="L354" s="250"/>
      <c r="M354" s="250"/>
      <c r="N354" s="250"/>
      <c r="O354" s="250"/>
      <c r="P354" s="250"/>
      <c r="Q354" s="250"/>
      <c r="R354" s="250"/>
    </row>
    <row r="355" spans="1:18" s="249" customFormat="1" ht="12.75">
      <c r="A355" s="250" t="s">
        <v>959</v>
      </c>
      <c r="B355" s="252">
        <v>60.3</v>
      </c>
      <c r="C355" s="252"/>
      <c r="D355" s="252"/>
      <c r="E355" s="250"/>
      <c r="F355" s="258">
        <f>B355*$H$2</f>
        <v>2.142827998343479</v>
      </c>
      <c r="G355" s="252"/>
      <c r="H355" s="249">
        <f>+B355+F355</f>
        <v>62.442827998343475</v>
      </c>
      <c r="I355" s="250"/>
      <c r="K355" s="250"/>
      <c r="L355" s="250"/>
      <c r="M355" s="250"/>
      <c r="N355" s="250"/>
      <c r="O355" s="250"/>
      <c r="P355" s="250"/>
      <c r="Q355" s="250"/>
      <c r="R355" s="250"/>
    </row>
    <row r="356" spans="1:18" s="249" customFormat="1" ht="12.75">
      <c r="A356" s="250" t="s">
        <v>960</v>
      </c>
      <c r="B356" s="252">
        <v>60.3</v>
      </c>
      <c r="C356" s="252"/>
      <c r="D356" s="252"/>
      <c r="E356" s="250"/>
      <c r="F356" s="258">
        <f>B356*$H$2</f>
        <v>2.142827998343479</v>
      </c>
      <c r="G356" s="252"/>
      <c r="H356" s="249">
        <f>+B356+F356</f>
        <v>62.442827998343475</v>
      </c>
      <c r="I356" s="250"/>
      <c r="K356" s="250"/>
      <c r="L356" s="250"/>
      <c r="M356" s="250"/>
      <c r="N356" s="250"/>
      <c r="O356" s="250"/>
      <c r="P356" s="250"/>
      <c r="Q356" s="250"/>
      <c r="R356" s="250"/>
    </row>
    <row r="357" spans="1:18" s="249" customFormat="1" ht="12.75">
      <c r="A357" s="250" t="s">
        <v>961</v>
      </c>
      <c r="B357" s="252">
        <v>60.3</v>
      </c>
      <c r="C357" s="252"/>
      <c r="D357" s="252"/>
      <c r="E357" s="250"/>
      <c r="F357" s="258">
        <f>B357*$H$2</f>
        <v>2.142827998343479</v>
      </c>
      <c r="G357" s="252"/>
      <c r="H357" s="249">
        <f>+B357+F357</f>
        <v>62.442827998343475</v>
      </c>
      <c r="I357" s="250"/>
      <c r="K357" s="250"/>
      <c r="L357" s="250"/>
      <c r="M357" s="250"/>
      <c r="N357" s="250"/>
      <c r="O357" s="250"/>
      <c r="P357" s="250"/>
      <c r="Q357" s="250"/>
      <c r="R357" s="250"/>
    </row>
    <row r="358" spans="1:18" s="249" customFormat="1" ht="12.75">
      <c r="A358" s="250"/>
      <c r="B358" s="252"/>
      <c r="C358" s="252"/>
      <c r="D358" s="252"/>
      <c r="E358" s="250"/>
      <c r="F358" s="258"/>
      <c r="G358" s="252"/>
      <c r="I358" s="250"/>
      <c r="K358" s="250"/>
      <c r="L358" s="250"/>
      <c r="M358" s="250"/>
      <c r="N358" s="250"/>
      <c r="O358" s="250"/>
      <c r="P358" s="250"/>
      <c r="Q358" s="250"/>
      <c r="R358" s="250"/>
    </row>
    <row r="359" spans="1:18" s="286" customFormat="1" ht="12.75">
      <c r="A359" s="250" t="s">
        <v>966</v>
      </c>
      <c r="B359" s="252">
        <v>2.1800000000000002</v>
      </c>
      <c r="C359" s="252"/>
      <c r="D359" s="252"/>
      <c r="E359" s="250"/>
      <c r="F359" s="258">
        <f t="shared" ref="F359:F364" si="52">B359*$H$2</f>
        <v>7.7468740238619979E-2</v>
      </c>
      <c r="G359" s="252"/>
      <c r="H359" s="249">
        <f t="shared" ref="H359:H364" si="53">+B359+F359</f>
        <v>2.25746874023862</v>
      </c>
      <c r="I359" s="251"/>
      <c r="K359" s="251"/>
      <c r="L359" s="251"/>
      <c r="M359" s="251"/>
      <c r="N359" s="251"/>
      <c r="O359" s="251"/>
      <c r="P359" s="251"/>
      <c r="Q359" s="251"/>
      <c r="R359" s="251"/>
    </row>
    <row r="360" spans="1:18" s="286" customFormat="1" ht="12.75">
      <c r="A360" s="250" t="s">
        <v>1006</v>
      </c>
      <c r="B360" s="252">
        <v>1.0900000000000001</v>
      </c>
      <c r="C360" s="252"/>
      <c r="D360" s="252"/>
      <c r="E360" s="250"/>
      <c r="F360" s="258">
        <f t="shared" si="52"/>
        <v>3.873437011930999E-2</v>
      </c>
      <c r="G360" s="252"/>
      <c r="H360" s="249">
        <f t="shared" si="53"/>
        <v>1.12873437011931</v>
      </c>
      <c r="I360" s="251"/>
      <c r="K360" s="251"/>
      <c r="L360" s="251"/>
      <c r="M360" s="251"/>
      <c r="N360" s="251"/>
      <c r="O360" s="251"/>
      <c r="P360" s="251"/>
      <c r="Q360" s="251"/>
      <c r="R360" s="251"/>
    </row>
    <row r="361" spans="1:18" s="286" customFormat="1" ht="12.75">
      <c r="A361" s="250" t="s">
        <v>1007</v>
      </c>
      <c r="B361" s="252">
        <v>32.6</v>
      </c>
      <c r="C361" s="252"/>
      <c r="D361" s="252"/>
      <c r="E361" s="250"/>
      <c r="F361" s="258">
        <f t="shared" si="52"/>
        <v>1.1584774916417484</v>
      </c>
      <c r="G361" s="252"/>
      <c r="H361" s="249">
        <f t="shared" si="53"/>
        <v>33.758477491641749</v>
      </c>
      <c r="I361" s="251"/>
      <c r="K361" s="251"/>
      <c r="L361" s="251"/>
      <c r="M361" s="251"/>
      <c r="N361" s="251"/>
      <c r="O361" s="251"/>
      <c r="P361" s="251"/>
      <c r="Q361" s="251"/>
      <c r="R361" s="251"/>
    </row>
    <row r="362" spans="1:18" s="286" customFormat="1" ht="12.75">
      <c r="A362" s="250" t="s">
        <v>1424</v>
      </c>
      <c r="B362" s="252">
        <v>9</v>
      </c>
      <c r="C362" s="252"/>
      <c r="D362" s="252"/>
      <c r="E362" s="250"/>
      <c r="F362" s="258">
        <f t="shared" si="52"/>
        <v>0.31982507437962376</v>
      </c>
      <c r="G362" s="252"/>
      <c r="H362" s="249">
        <f t="shared" si="53"/>
        <v>9.319825074379624</v>
      </c>
      <c r="I362" s="251"/>
      <c r="K362" s="251"/>
      <c r="L362" s="251"/>
      <c r="M362" s="251"/>
      <c r="N362" s="251"/>
      <c r="O362" s="251"/>
      <c r="P362" s="251"/>
      <c r="Q362" s="251"/>
      <c r="R362" s="251"/>
    </row>
    <row r="363" spans="1:18" s="286" customFormat="1" ht="12.75">
      <c r="A363" s="250" t="s">
        <v>1023</v>
      </c>
      <c r="B363" s="252">
        <v>8.6999999999999993</v>
      </c>
      <c r="C363" s="252"/>
      <c r="D363" s="252"/>
      <c r="E363" s="250"/>
      <c r="F363" s="258">
        <f t="shared" si="52"/>
        <v>0.30916423856696962</v>
      </c>
      <c r="G363" s="252"/>
      <c r="H363" s="249">
        <f t="shared" si="53"/>
        <v>9.009164238566969</v>
      </c>
      <c r="I363" s="251"/>
      <c r="K363" s="251"/>
      <c r="L363" s="251"/>
      <c r="M363" s="251"/>
      <c r="N363" s="251"/>
      <c r="O363" s="251"/>
      <c r="P363" s="251"/>
      <c r="Q363" s="251"/>
      <c r="R363" s="251"/>
    </row>
    <row r="364" spans="1:18" s="249" customFormat="1" ht="12.75">
      <c r="A364" s="250" t="s">
        <v>967</v>
      </c>
      <c r="B364" s="252">
        <v>1.46</v>
      </c>
      <c r="C364" s="252"/>
      <c r="D364" s="252"/>
      <c r="E364" s="250"/>
      <c r="F364" s="258">
        <f t="shared" si="52"/>
        <v>5.1882734288250076E-2</v>
      </c>
      <c r="G364" s="252"/>
      <c r="H364" s="249">
        <f t="shared" si="53"/>
        <v>1.5118827342882502</v>
      </c>
      <c r="I364" s="250"/>
      <c r="K364" s="250"/>
      <c r="L364" s="250"/>
      <c r="M364" s="250"/>
      <c r="N364" s="250"/>
      <c r="O364" s="250"/>
      <c r="P364" s="250"/>
      <c r="Q364" s="250"/>
      <c r="R364" s="250"/>
    </row>
    <row r="365" spans="1:18" s="249" customFormat="1" ht="12.75">
      <c r="A365" s="250"/>
      <c r="B365" s="252"/>
      <c r="C365" s="252"/>
      <c r="D365" s="252"/>
      <c r="E365" s="250"/>
      <c r="F365" s="258"/>
      <c r="G365" s="252"/>
      <c r="I365" s="250"/>
      <c r="K365" s="250"/>
      <c r="L365" s="250"/>
      <c r="M365" s="250"/>
      <c r="N365" s="250"/>
      <c r="O365" s="250"/>
      <c r="P365" s="250"/>
      <c r="Q365" s="250"/>
      <c r="R365" s="250"/>
    </row>
    <row r="366" spans="1:18" s="249" customFormat="1" ht="12.75">
      <c r="A366" s="250"/>
      <c r="B366" s="252"/>
      <c r="C366" s="252"/>
      <c r="D366" s="252"/>
      <c r="E366" s="250"/>
      <c r="F366" s="258"/>
      <c r="G366" s="252"/>
      <c r="I366" s="250"/>
      <c r="K366" s="250"/>
      <c r="L366" s="250"/>
      <c r="M366" s="250"/>
      <c r="N366" s="250"/>
      <c r="O366" s="250"/>
      <c r="P366" s="250"/>
      <c r="Q366" s="250"/>
      <c r="R366" s="250"/>
    </row>
    <row r="367" spans="1:18" s="249" customFormat="1" ht="12.75">
      <c r="A367" s="270" t="s">
        <v>2599</v>
      </c>
      <c r="B367" s="291"/>
      <c r="C367" s="291"/>
      <c r="D367" s="291"/>
      <c r="E367" s="290"/>
      <c r="F367" s="283"/>
      <c r="G367" s="291"/>
      <c r="H367" s="273"/>
      <c r="I367" s="250"/>
      <c r="K367" s="250"/>
      <c r="L367" s="250"/>
      <c r="M367" s="250"/>
      <c r="N367" s="250"/>
      <c r="O367" s="250"/>
      <c r="P367" s="250"/>
      <c r="Q367" s="250"/>
      <c r="R367" s="250"/>
    </row>
    <row r="368" spans="1:18" s="249" customFormat="1" ht="12.75">
      <c r="A368" s="250" t="s">
        <v>968</v>
      </c>
      <c r="B368" s="252"/>
      <c r="C368" s="252"/>
      <c r="D368" s="252"/>
      <c r="E368" s="250"/>
      <c r="F368" s="258"/>
      <c r="G368" s="252"/>
      <c r="I368" s="250"/>
      <c r="K368" s="250"/>
      <c r="L368" s="250"/>
      <c r="M368" s="250"/>
      <c r="N368" s="250"/>
      <c r="O368" s="250"/>
      <c r="P368" s="250"/>
      <c r="Q368" s="250"/>
      <c r="R368" s="250"/>
    </row>
    <row r="369" spans="1:20" s="249" customFormat="1" ht="12.75">
      <c r="A369" s="250" t="s">
        <v>1024</v>
      </c>
      <c r="B369" s="252">
        <v>106.43</v>
      </c>
      <c r="C369" s="252"/>
      <c r="D369" s="252"/>
      <c r="E369" s="250"/>
      <c r="F369" s="258">
        <f t="shared" ref="F369:F374" si="54">B369*$H$2</f>
        <v>3.7821091851359285</v>
      </c>
      <c r="G369" s="252"/>
      <c r="H369" s="249">
        <f t="shared" ref="H369:H374" si="55">+B369+F369</f>
        <v>110.21210918513593</v>
      </c>
      <c r="I369" s="250"/>
      <c r="K369" s="250"/>
      <c r="L369" s="250"/>
      <c r="M369" s="250"/>
      <c r="N369" s="250"/>
      <c r="O369" s="250"/>
      <c r="P369" s="250"/>
      <c r="Q369" s="250"/>
      <c r="R369" s="250"/>
    </row>
    <row r="370" spans="1:20" s="249" customFormat="1" ht="12.75">
      <c r="A370" s="250" t="s">
        <v>959</v>
      </c>
      <c r="B370" s="252">
        <v>106.43</v>
      </c>
      <c r="C370" s="252"/>
      <c r="D370" s="252"/>
      <c r="E370" s="250"/>
      <c r="F370" s="258">
        <f t="shared" si="54"/>
        <v>3.7821091851359285</v>
      </c>
      <c r="G370" s="252"/>
      <c r="H370" s="249">
        <f t="shared" si="55"/>
        <v>110.21210918513593</v>
      </c>
      <c r="I370" s="250"/>
      <c r="K370" s="250"/>
      <c r="L370" s="250"/>
      <c r="M370" s="250"/>
      <c r="N370" s="250"/>
      <c r="O370" s="250"/>
      <c r="P370" s="250"/>
      <c r="Q370" s="250"/>
      <c r="R370" s="250"/>
    </row>
    <row r="371" spans="1:20" s="249" customFormat="1" ht="12.75">
      <c r="A371" s="250" t="s">
        <v>969</v>
      </c>
      <c r="B371" s="252">
        <v>119.47</v>
      </c>
      <c r="C371" s="252"/>
      <c r="D371" s="252"/>
      <c r="E371" s="250"/>
      <c r="F371" s="258">
        <f t="shared" si="54"/>
        <v>4.2455001817926279</v>
      </c>
      <c r="G371" s="252"/>
      <c r="H371" s="249">
        <f t="shared" si="55"/>
        <v>123.71550018179262</v>
      </c>
      <c r="I371" s="250"/>
      <c r="K371" s="250"/>
      <c r="L371" s="250"/>
      <c r="M371" s="250"/>
      <c r="N371" s="250"/>
      <c r="O371" s="250"/>
      <c r="P371" s="250"/>
      <c r="Q371" s="250"/>
      <c r="R371" s="250"/>
    </row>
    <row r="372" spans="1:20" s="249" customFormat="1" ht="12.75">
      <c r="A372" s="250" t="s">
        <v>960</v>
      </c>
      <c r="B372" s="252">
        <v>119.47</v>
      </c>
      <c r="C372" s="252"/>
      <c r="D372" s="252"/>
      <c r="E372" s="250"/>
      <c r="F372" s="258">
        <f t="shared" si="54"/>
        <v>4.2455001817926279</v>
      </c>
      <c r="G372" s="252"/>
      <c r="H372" s="249">
        <f t="shared" si="55"/>
        <v>123.71550018179262</v>
      </c>
      <c r="I372" s="250"/>
      <c r="K372" s="250"/>
      <c r="L372" s="250"/>
      <c r="M372" s="250"/>
      <c r="N372" s="250"/>
      <c r="O372" s="250"/>
      <c r="P372" s="250"/>
      <c r="Q372" s="250"/>
      <c r="R372" s="250"/>
    </row>
    <row r="373" spans="1:20" s="249" customFormat="1" ht="12.75">
      <c r="A373" s="250" t="s">
        <v>970</v>
      </c>
      <c r="B373" s="252">
        <v>119.47</v>
      </c>
      <c r="C373" s="252"/>
      <c r="D373" s="252"/>
      <c r="E373" s="250"/>
      <c r="F373" s="258">
        <f t="shared" si="54"/>
        <v>4.2455001817926279</v>
      </c>
      <c r="G373" s="252"/>
      <c r="H373" s="249">
        <f t="shared" si="55"/>
        <v>123.71550018179262</v>
      </c>
      <c r="I373" s="250"/>
      <c r="K373" s="250"/>
      <c r="L373" s="250"/>
      <c r="M373" s="250"/>
      <c r="N373" s="250"/>
      <c r="O373" s="250"/>
      <c r="P373" s="250"/>
      <c r="Q373" s="250"/>
      <c r="R373" s="250"/>
    </row>
    <row r="374" spans="1:20" s="249" customFormat="1" ht="12.75">
      <c r="A374" s="250" t="s">
        <v>961</v>
      </c>
      <c r="B374" s="252">
        <v>119.47</v>
      </c>
      <c r="C374" s="252"/>
      <c r="D374" s="252"/>
      <c r="E374" s="250"/>
      <c r="F374" s="258">
        <f t="shared" si="54"/>
        <v>4.2455001817926279</v>
      </c>
      <c r="G374" s="252"/>
      <c r="H374" s="249">
        <f t="shared" si="55"/>
        <v>123.71550018179262</v>
      </c>
      <c r="I374" s="250"/>
      <c r="K374" s="250"/>
      <c r="L374" s="250"/>
      <c r="M374" s="250"/>
      <c r="N374" s="250"/>
      <c r="O374" s="250"/>
      <c r="P374" s="250"/>
      <c r="Q374" s="250"/>
      <c r="R374" s="250"/>
    </row>
    <row r="375" spans="1:20" s="249" customFormat="1" ht="12.75">
      <c r="A375" s="250"/>
      <c r="B375" s="252"/>
      <c r="C375" s="252"/>
      <c r="D375" s="252"/>
      <c r="E375" s="250"/>
      <c r="F375" s="258"/>
      <c r="G375" s="252"/>
      <c r="I375" s="250"/>
      <c r="K375" s="250"/>
      <c r="L375" s="250"/>
      <c r="M375" s="250"/>
      <c r="N375" s="250"/>
      <c r="O375" s="250"/>
      <c r="P375" s="250"/>
      <c r="Q375" s="250"/>
      <c r="R375" s="250"/>
    </row>
    <row r="376" spans="1:20" s="249" customFormat="1" ht="12.75">
      <c r="A376" s="250" t="s">
        <v>966</v>
      </c>
      <c r="B376" s="252">
        <v>2.1800000000000002</v>
      </c>
      <c r="C376" s="252"/>
      <c r="D376" s="252"/>
      <c r="E376" s="250"/>
      <c r="F376" s="258">
        <f>B376*$H$2</f>
        <v>7.7468740238619979E-2</v>
      </c>
      <c r="G376" s="252"/>
      <c r="H376" s="249">
        <f>+B376+F376</f>
        <v>2.25746874023862</v>
      </c>
      <c r="I376" s="250"/>
      <c r="K376" s="250"/>
      <c r="L376" s="250"/>
      <c r="M376" s="250"/>
      <c r="N376" s="250"/>
      <c r="O376" s="250"/>
      <c r="P376" s="250"/>
      <c r="Q376" s="250"/>
      <c r="R376" s="250"/>
    </row>
    <row r="377" spans="1:20" s="249" customFormat="1" ht="12.75">
      <c r="A377" s="250" t="s">
        <v>1006</v>
      </c>
      <c r="B377" s="252">
        <v>1.0900000000000001</v>
      </c>
      <c r="C377" s="252"/>
      <c r="D377" s="252"/>
      <c r="E377" s="250"/>
      <c r="F377" s="258">
        <f>B377*$H$2</f>
        <v>3.873437011930999E-2</v>
      </c>
      <c r="G377" s="252"/>
      <c r="H377" s="249">
        <f>+B377+F377</f>
        <v>1.12873437011931</v>
      </c>
      <c r="I377" s="250"/>
      <c r="K377" s="250"/>
      <c r="L377" s="250"/>
      <c r="M377" s="250"/>
      <c r="N377" s="250"/>
      <c r="O377" s="250"/>
      <c r="P377" s="250"/>
      <c r="Q377" s="250"/>
      <c r="R377" s="250"/>
    </row>
    <row r="378" spans="1:20" s="249" customFormat="1" ht="12.75">
      <c r="A378" s="250" t="s">
        <v>1007</v>
      </c>
      <c r="B378" s="252">
        <v>32.6</v>
      </c>
      <c r="C378" s="252"/>
      <c r="D378" s="252"/>
      <c r="E378" s="250"/>
      <c r="F378" s="258">
        <f>B378*$H$2</f>
        <v>1.1584774916417484</v>
      </c>
      <c r="G378" s="252"/>
      <c r="H378" s="249">
        <f>+B378+F378</f>
        <v>33.758477491641749</v>
      </c>
      <c r="I378" s="250"/>
      <c r="K378" s="250"/>
      <c r="L378" s="250"/>
      <c r="M378" s="250"/>
      <c r="N378" s="250"/>
      <c r="O378" s="250"/>
      <c r="P378" s="250"/>
      <c r="Q378" s="250"/>
      <c r="R378" s="250"/>
    </row>
    <row r="379" spans="1:20" s="249" customFormat="1" ht="12.75">
      <c r="A379" s="250" t="s">
        <v>1023</v>
      </c>
      <c r="B379" s="252">
        <v>8.6999999999999993</v>
      </c>
      <c r="C379" s="252"/>
      <c r="D379" s="252"/>
      <c r="E379" s="250"/>
      <c r="F379" s="258">
        <f>B379*$H$2</f>
        <v>0.30916423856696962</v>
      </c>
      <c r="G379" s="252"/>
      <c r="H379" s="249">
        <f>+B379+F379</f>
        <v>9.009164238566969</v>
      </c>
      <c r="I379" s="250"/>
      <c r="K379" s="250"/>
      <c r="L379" s="250"/>
      <c r="M379" s="250"/>
      <c r="N379" s="250"/>
      <c r="O379" s="250"/>
      <c r="P379" s="250"/>
      <c r="Q379" s="250"/>
      <c r="R379" s="250"/>
    </row>
    <row r="380" spans="1:20" s="249" customFormat="1" ht="12.75">
      <c r="A380" s="250" t="s">
        <v>967</v>
      </c>
      <c r="B380" s="252">
        <v>1.46</v>
      </c>
      <c r="C380" s="252"/>
      <c r="D380" s="252"/>
      <c r="E380" s="250"/>
      <c r="F380" s="258">
        <f>B380*$H$2</f>
        <v>5.1882734288250076E-2</v>
      </c>
      <c r="G380" s="252"/>
      <c r="H380" s="249">
        <f>+B380+F380</f>
        <v>1.5118827342882502</v>
      </c>
      <c r="I380" s="250"/>
      <c r="K380" s="250"/>
      <c r="L380" s="250"/>
      <c r="M380" s="250"/>
      <c r="N380" s="250"/>
      <c r="O380" s="250"/>
      <c r="P380" s="250"/>
      <c r="Q380" s="250"/>
      <c r="R380" s="250"/>
    </row>
    <row r="381" spans="1:20" s="249" customFormat="1" ht="12.75">
      <c r="A381" s="250"/>
      <c r="B381" s="252"/>
      <c r="C381" s="252"/>
      <c r="D381" s="252"/>
      <c r="E381" s="250"/>
      <c r="F381" s="258"/>
      <c r="G381" s="252"/>
      <c r="I381" s="250"/>
      <c r="K381" s="250"/>
      <c r="L381" s="250"/>
      <c r="M381" s="250"/>
      <c r="N381" s="250"/>
      <c r="O381" s="250"/>
      <c r="P381" s="250"/>
      <c r="Q381" s="250"/>
      <c r="R381" s="250"/>
    </row>
    <row r="382" spans="1:20" s="249" customFormat="1" ht="12.75">
      <c r="A382" s="250"/>
      <c r="B382" s="252"/>
      <c r="C382" s="252"/>
      <c r="D382" s="252"/>
      <c r="E382" s="250"/>
      <c r="F382" s="258"/>
      <c r="G382" s="252"/>
      <c r="H382" s="252"/>
      <c r="K382" s="250"/>
      <c r="M382" s="250"/>
      <c r="N382" s="250"/>
      <c r="O382" s="250"/>
      <c r="P382" s="250"/>
      <c r="Q382" s="250"/>
      <c r="R382" s="250"/>
      <c r="S382" s="250"/>
      <c r="T382" s="250"/>
    </row>
    <row r="383" spans="1:20" s="249" customFormat="1" ht="12.75">
      <c r="A383" s="250"/>
      <c r="B383" s="252"/>
      <c r="C383" s="252"/>
      <c r="D383" s="252"/>
      <c r="E383" s="250"/>
      <c r="F383" s="258"/>
      <c r="G383" s="252"/>
      <c r="H383" s="252"/>
      <c r="K383" s="250"/>
      <c r="M383" s="250"/>
      <c r="N383" s="250"/>
      <c r="O383" s="250"/>
      <c r="P383" s="250"/>
      <c r="Q383" s="250"/>
      <c r="R383" s="250"/>
      <c r="S383" s="250"/>
      <c r="T383" s="250"/>
    </row>
    <row r="384" spans="1:20" s="249" customFormat="1" ht="12.75">
      <c r="A384" s="250"/>
      <c r="B384" s="252"/>
      <c r="C384" s="252"/>
      <c r="D384" s="252"/>
      <c r="E384" s="250"/>
      <c r="F384" s="258"/>
      <c r="G384" s="252"/>
      <c r="H384" s="252"/>
      <c r="K384" s="250"/>
      <c r="M384" s="250"/>
      <c r="N384" s="250"/>
      <c r="O384" s="250"/>
      <c r="P384" s="250"/>
      <c r="Q384" s="250"/>
      <c r="R384" s="250"/>
      <c r="S384" s="250"/>
      <c r="T384" s="250"/>
    </row>
    <row r="385" spans="1:1324" s="249" customFormat="1" ht="12.75">
      <c r="A385" s="251"/>
      <c r="B385" s="252"/>
      <c r="C385" s="252"/>
      <c r="D385" s="252"/>
      <c r="E385" s="250"/>
      <c r="F385" s="258"/>
      <c r="G385" s="252"/>
      <c r="H385" s="252"/>
      <c r="K385" s="250"/>
      <c r="M385" s="250"/>
      <c r="N385" s="250"/>
      <c r="O385" s="250"/>
      <c r="P385" s="250"/>
      <c r="Q385" s="250"/>
      <c r="R385" s="250"/>
      <c r="S385" s="250"/>
      <c r="T385" s="250"/>
    </row>
    <row r="386" spans="1:1324" s="249" customFormat="1" ht="12.75">
      <c r="A386" s="250"/>
      <c r="B386" s="252"/>
      <c r="C386" s="252"/>
      <c r="D386" s="252"/>
      <c r="E386" s="250"/>
      <c r="F386" s="258"/>
      <c r="G386" s="252"/>
      <c r="H386" s="252"/>
      <c r="K386" s="250"/>
      <c r="M386" s="250"/>
      <c r="N386" s="250"/>
      <c r="O386" s="250"/>
      <c r="P386" s="250"/>
      <c r="Q386" s="250"/>
      <c r="R386" s="250"/>
      <c r="S386" s="250"/>
      <c r="T386" s="250"/>
    </row>
    <row r="387" spans="1:1324" s="249" customFormat="1" ht="12.75">
      <c r="A387" s="250"/>
      <c r="B387" s="252"/>
      <c r="C387" s="252"/>
      <c r="D387" s="252"/>
      <c r="E387" s="250"/>
      <c r="F387" s="258"/>
      <c r="G387" s="252"/>
      <c r="H387" s="252"/>
      <c r="K387" s="250"/>
      <c r="M387" s="250"/>
      <c r="N387" s="250"/>
      <c r="O387" s="250"/>
      <c r="P387" s="250"/>
      <c r="Q387" s="250"/>
      <c r="R387" s="250"/>
      <c r="S387" s="250"/>
      <c r="T387" s="250"/>
    </row>
    <row r="388" spans="1:1324" s="249" customFormat="1" ht="12.75">
      <c r="A388" s="250"/>
      <c r="B388" s="252"/>
      <c r="C388" s="252"/>
      <c r="D388" s="252"/>
      <c r="E388" s="250"/>
      <c r="F388" s="258"/>
      <c r="G388" s="252"/>
      <c r="H388" s="252"/>
      <c r="K388" s="250"/>
      <c r="M388" s="250"/>
      <c r="N388" s="250"/>
      <c r="O388" s="250"/>
      <c r="P388" s="250"/>
      <c r="Q388" s="250"/>
      <c r="R388" s="250"/>
      <c r="S388" s="250"/>
      <c r="T388" s="250"/>
    </row>
    <row r="389" spans="1:1324" s="249" customFormat="1" ht="12.75">
      <c r="A389" s="250"/>
      <c r="B389" s="252"/>
      <c r="C389" s="252"/>
      <c r="D389" s="252"/>
      <c r="E389" s="250"/>
      <c r="F389" s="258"/>
      <c r="G389" s="252"/>
      <c r="H389" s="252"/>
      <c r="K389" s="250"/>
      <c r="M389" s="250"/>
      <c r="N389" s="250"/>
      <c r="O389" s="250"/>
      <c r="P389" s="250"/>
      <c r="Q389" s="250"/>
      <c r="R389" s="250"/>
      <c r="S389" s="250"/>
      <c r="T389" s="250"/>
    </row>
    <row r="390" spans="1:1324" s="249" customFormat="1" ht="12.75">
      <c r="A390" s="250"/>
      <c r="B390" s="252"/>
      <c r="C390" s="252"/>
      <c r="D390" s="252"/>
      <c r="E390" s="250"/>
      <c r="F390" s="258"/>
      <c r="G390" s="252"/>
      <c r="H390" s="252"/>
      <c r="K390" s="250"/>
      <c r="M390" s="250"/>
      <c r="N390" s="250"/>
      <c r="O390" s="250"/>
      <c r="P390" s="250"/>
      <c r="Q390" s="250"/>
      <c r="R390" s="250"/>
      <c r="S390" s="250"/>
      <c r="T390" s="250"/>
    </row>
    <row r="391" spans="1:1324" s="249" customFormat="1" ht="12.75">
      <c r="A391" s="250"/>
      <c r="B391" s="252"/>
      <c r="C391" s="252"/>
      <c r="D391" s="252"/>
      <c r="E391" s="250"/>
      <c r="F391" s="258"/>
      <c r="G391" s="252"/>
      <c r="H391" s="252"/>
      <c r="K391" s="250"/>
      <c r="M391" s="250"/>
      <c r="N391" s="250"/>
      <c r="O391" s="250"/>
      <c r="P391" s="250"/>
      <c r="Q391" s="250"/>
      <c r="R391" s="250"/>
      <c r="S391" s="250"/>
      <c r="T391" s="250"/>
    </row>
    <row r="392" spans="1:1324" s="249" customFormat="1" ht="12.75">
      <c r="A392" s="250"/>
      <c r="B392" s="252"/>
      <c r="C392" s="252"/>
      <c r="D392" s="252"/>
      <c r="E392" s="250"/>
      <c r="F392" s="258"/>
      <c r="G392" s="252"/>
      <c r="H392" s="252"/>
      <c r="K392" s="250"/>
      <c r="M392" s="250"/>
      <c r="N392" s="250"/>
      <c r="O392" s="250"/>
      <c r="P392" s="250"/>
      <c r="Q392" s="250"/>
      <c r="R392" s="250"/>
      <c r="S392" s="250"/>
      <c r="T392" s="250"/>
    </row>
    <row r="393" spans="1:1324" s="249" customFormat="1" ht="12.75">
      <c r="A393" s="250"/>
      <c r="E393" s="250"/>
      <c r="F393" s="258"/>
      <c r="G393" s="252"/>
      <c r="H393" s="252"/>
      <c r="K393" s="250"/>
      <c r="M393" s="250"/>
      <c r="N393" s="250"/>
      <c r="O393" s="250"/>
      <c r="P393" s="250"/>
      <c r="Q393" s="250"/>
      <c r="R393" s="250"/>
      <c r="S393" s="250"/>
      <c r="T393" s="250"/>
    </row>
    <row r="394" spans="1:1324" s="300" customFormat="1" ht="12.75">
      <c r="A394" s="250"/>
      <c r="B394" s="249"/>
      <c r="C394" s="249"/>
      <c r="D394" s="249"/>
      <c r="E394" s="250"/>
      <c r="F394" s="258"/>
      <c r="G394" s="252"/>
      <c r="H394" s="252"/>
      <c r="I394" s="249"/>
      <c r="J394" s="249"/>
      <c r="K394" s="250"/>
      <c r="L394" s="249"/>
      <c r="M394" s="250"/>
      <c r="N394" s="250"/>
      <c r="O394" s="250"/>
      <c r="P394" s="250"/>
      <c r="Q394" s="250"/>
      <c r="R394" s="250"/>
      <c r="S394" s="250"/>
      <c r="T394" s="250"/>
      <c r="U394" s="249"/>
      <c r="V394" s="249"/>
      <c r="W394" s="249"/>
      <c r="X394" s="249"/>
      <c r="Y394" s="249"/>
      <c r="Z394" s="249"/>
      <c r="AA394" s="249"/>
      <c r="AB394" s="249"/>
      <c r="AC394" s="249"/>
      <c r="AD394" s="249"/>
      <c r="AE394" s="249"/>
      <c r="AF394" s="249"/>
      <c r="AG394" s="249"/>
      <c r="AH394" s="249"/>
      <c r="AI394" s="249"/>
      <c r="AJ394" s="249"/>
      <c r="AK394" s="249"/>
      <c r="AL394" s="249"/>
      <c r="AM394" s="249"/>
      <c r="AN394" s="249"/>
      <c r="AO394" s="249"/>
      <c r="AP394" s="249"/>
      <c r="AQ394" s="249"/>
      <c r="AR394" s="249"/>
      <c r="AS394" s="249"/>
      <c r="AT394" s="249"/>
      <c r="AU394" s="249"/>
      <c r="AV394" s="249"/>
      <c r="AW394" s="249"/>
      <c r="AX394" s="249"/>
      <c r="AY394" s="249"/>
      <c r="AZ394" s="249"/>
      <c r="BA394" s="249"/>
      <c r="BB394" s="249"/>
      <c r="BC394" s="249"/>
      <c r="BD394" s="249"/>
      <c r="BE394" s="249"/>
      <c r="BF394" s="249"/>
      <c r="BG394" s="249"/>
      <c r="BH394" s="249"/>
      <c r="BI394" s="249"/>
      <c r="BJ394" s="249"/>
      <c r="BK394" s="249"/>
      <c r="BL394" s="249"/>
      <c r="BM394" s="249"/>
      <c r="BN394" s="249"/>
      <c r="BO394" s="249"/>
      <c r="BP394" s="249"/>
      <c r="BQ394" s="249"/>
      <c r="BR394" s="249"/>
      <c r="BS394" s="249"/>
      <c r="BT394" s="249"/>
      <c r="BU394" s="249"/>
      <c r="BV394" s="249"/>
      <c r="BW394" s="249"/>
      <c r="BX394" s="249"/>
      <c r="BY394" s="249"/>
      <c r="BZ394" s="249"/>
      <c r="CA394" s="249"/>
      <c r="CB394" s="249"/>
      <c r="CC394" s="249"/>
      <c r="CD394" s="249"/>
      <c r="CE394" s="249"/>
      <c r="CF394" s="249"/>
      <c r="CG394" s="249"/>
      <c r="CH394" s="249"/>
      <c r="CI394" s="249"/>
      <c r="CJ394" s="249"/>
      <c r="CK394" s="249"/>
      <c r="CL394" s="249"/>
      <c r="CM394" s="249"/>
      <c r="CN394" s="249"/>
      <c r="CO394" s="249"/>
      <c r="CP394" s="249"/>
      <c r="CQ394" s="249"/>
      <c r="CR394" s="249"/>
      <c r="CS394" s="249"/>
      <c r="CT394" s="249"/>
      <c r="CU394" s="249"/>
      <c r="CV394" s="249"/>
      <c r="CW394" s="249"/>
      <c r="CX394" s="249"/>
      <c r="CY394" s="249"/>
      <c r="CZ394" s="249"/>
      <c r="DA394" s="249"/>
      <c r="DB394" s="249"/>
      <c r="DC394" s="249"/>
      <c r="DD394" s="249"/>
      <c r="DE394" s="249"/>
      <c r="DF394" s="249"/>
      <c r="DG394" s="249"/>
      <c r="DH394" s="249"/>
      <c r="DI394" s="249"/>
      <c r="DJ394" s="249"/>
      <c r="DK394" s="249"/>
      <c r="DL394" s="249"/>
      <c r="DM394" s="249"/>
      <c r="DN394" s="249"/>
      <c r="DO394" s="249"/>
      <c r="DP394" s="249"/>
      <c r="DQ394" s="249"/>
      <c r="DR394" s="249"/>
      <c r="DS394" s="249"/>
      <c r="DT394" s="249"/>
      <c r="DU394" s="249"/>
      <c r="DV394" s="249"/>
      <c r="DW394" s="249"/>
      <c r="DX394" s="249"/>
      <c r="DY394" s="249"/>
      <c r="DZ394" s="249"/>
      <c r="EA394" s="249"/>
      <c r="EB394" s="249"/>
      <c r="EC394" s="249"/>
      <c r="ED394" s="249"/>
      <c r="EE394" s="249"/>
      <c r="EF394" s="249"/>
      <c r="EG394" s="249"/>
      <c r="EH394" s="249"/>
      <c r="EI394" s="249"/>
      <c r="EJ394" s="249"/>
      <c r="EK394" s="249"/>
      <c r="EL394" s="249"/>
      <c r="EM394" s="249"/>
      <c r="EN394" s="249"/>
      <c r="EO394" s="249"/>
      <c r="EP394" s="249"/>
      <c r="EQ394" s="249"/>
      <c r="ER394" s="249"/>
      <c r="ES394" s="249"/>
      <c r="ET394" s="249"/>
      <c r="EU394" s="249"/>
      <c r="EV394" s="249"/>
      <c r="EW394" s="249"/>
      <c r="EX394" s="249"/>
      <c r="EY394" s="249"/>
      <c r="EZ394" s="249"/>
      <c r="FA394" s="249"/>
      <c r="FB394" s="249"/>
      <c r="FC394" s="249"/>
      <c r="FD394" s="249"/>
      <c r="FE394" s="249"/>
      <c r="FF394" s="249"/>
      <c r="FG394" s="249"/>
      <c r="FH394" s="249"/>
      <c r="FI394" s="249"/>
      <c r="FJ394" s="249"/>
      <c r="FK394" s="249"/>
      <c r="FL394" s="249"/>
      <c r="FM394" s="249"/>
      <c r="FN394" s="249"/>
      <c r="FO394" s="249"/>
      <c r="FP394" s="249"/>
      <c r="FQ394" s="249"/>
      <c r="FR394" s="249"/>
      <c r="FS394" s="249"/>
      <c r="FT394" s="249"/>
      <c r="FU394" s="249"/>
      <c r="FV394" s="249"/>
      <c r="FW394" s="249"/>
      <c r="FX394" s="249"/>
      <c r="FY394" s="249"/>
      <c r="FZ394" s="249"/>
      <c r="GA394" s="249"/>
      <c r="GB394" s="249"/>
      <c r="GC394" s="249"/>
      <c r="GD394" s="249"/>
      <c r="GE394" s="249"/>
      <c r="GF394" s="249"/>
      <c r="GG394" s="249"/>
      <c r="GH394" s="249"/>
      <c r="GI394" s="249"/>
      <c r="GJ394" s="249"/>
      <c r="GK394" s="249"/>
      <c r="GL394" s="249"/>
      <c r="GM394" s="249"/>
      <c r="GN394" s="249"/>
      <c r="GO394" s="249"/>
      <c r="GP394" s="249"/>
      <c r="GQ394" s="249"/>
      <c r="GR394" s="249"/>
      <c r="GS394" s="249"/>
      <c r="GT394" s="249"/>
      <c r="GU394" s="249"/>
      <c r="GV394" s="249"/>
      <c r="GW394" s="249"/>
      <c r="GX394" s="249"/>
      <c r="GY394" s="249"/>
      <c r="GZ394" s="249"/>
      <c r="HA394" s="249"/>
      <c r="HB394" s="249"/>
      <c r="HC394" s="249"/>
      <c r="HD394" s="249"/>
      <c r="HE394" s="249"/>
      <c r="HF394" s="249"/>
      <c r="HG394" s="249"/>
      <c r="HH394" s="249"/>
      <c r="HI394" s="249"/>
      <c r="HJ394" s="249"/>
      <c r="HK394" s="249"/>
      <c r="HL394" s="249"/>
      <c r="HM394" s="249"/>
      <c r="HN394" s="249"/>
      <c r="HO394" s="249"/>
      <c r="HP394" s="249"/>
      <c r="HQ394" s="249"/>
      <c r="HR394" s="249"/>
      <c r="HS394" s="249"/>
      <c r="HT394" s="249"/>
      <c r="HU394" s="249"/>
      <c r="HV394" s="249"/>
      <c r="HW394" s="249"/>
      <c r="HX394" s="249"/>
      <c r="HY394" s="249"/>
      <c r="HZ394" s="249"/>
      <c r="IA394" s="249"/>
      <c r="IB394" s="249"/>
      <c r="IC394" s="249"/>
      <c r="ID394" s="249"/>
      <c r="IE394" s="249"/>
      <c r="IF394" s="249"/>
      <c r="IG394" s="249"/>
      <c r="IH394" s="249"/>
      <c r="II394" s="249"/>
      <c r="IJ394" s="249"/>
      <c r="IK394" s="249"/>
      <c r="IL394" s="249"/>
      <c r="IM394" s="249"/>
      <c r="IN394" s="249"/>
      <c r="IO394" s="249"/>
      <c r="IP394" s="249"/>
      <c r="IQ394" s="249"/>
      <c r="IR394" s="249"/>
      <c r="IS394" s="249"/>
      <c r="IT394" s="249"/>
      <c r="IU394" s="249"/>
      <c r="IV394" s="249"/>
      <c r="IW394" s="249"/>
      <c r="IX394" s="249"/>
      <c r="IY394" s="249"/>
      <c r="IZ394" s="249"/>
      <c r="JA394" s="249"/>
      <c r="JB394" s="249"/>
      <c r="JC394" s="249"/>
      <c r="JD394" s="249"/>
      <c r="JE394" s="249"/>
      <c r="JF394" s="249"/>
      <c r="JG394" s="249"/>
      <c r="JH394" s="249"/>
      <c r="JI394" s="249"/>
      <c r="JJ394" s="249"/>
      <c r="JK394" s="249"/>
      <c r="JL394" s="249"/>
      <c r="JM394" s="249"/>
      <c r="JN394" s="249"/>
      <c r="JO394" s="249"/>
      <c r="JP394" s="249"/>
      <c r="JQ394" s="249"/>
      <c r="JR394" s="249"/>
      <c r="JS394" s="249"/>
      <c r="JT394" s="249"/>
      <c r="JU394" s="249"/>
      <c r="JV394" s="249"/>
      <c r="JW394" s="249"/>
      <c r="JX394" s="249"/>
      <c r="JY394" s="249"/>
      <c r="JZ394" s="249"/>
      <c r="KA394" s="249"/>
      <c r="KB394" s="249"/>
      <c r="KC394" s="249"/>
      <c r="KD394" s="249"/>
      <c r="KE394" s="249"/>
      <c r="KF394" s="249"/>
      <c r="KG394" s="249"/>
      <c r="KH394" s="249"/>
      <c r="KI394" s="249"/>
      <c r="KJ394" s="249"/>
      <c r="KK394" s="249"/>
      <c r="KL394" s="249"/>
      <c r="KM394" s="249"/>
      <c r="KN394" s="249"/>
      <c r="KO394" s="249"/>
      <c r="KP394" s="249"/>
      <c r="KQ394" s="249"/>
      <c r="KR394" s="249"/>
      <c r="KS394" s="249"/>
      <c r="KT394" s="249"/>
      <c r="KU394" s="249"/>
      <c r="KV394" s="249"/>
      <c r="KW394" s="249"/>
      <c r="KX394" s="249"/>
      <c r="KY394" s="249"/>
      <c r="KZ394" s="249"/>
      <c r="LA394" s="249"/>
      <c r="LB394" s="249"/>
      <c r="LC394" s="249"/>
      <c r="LD394" s="249"/>
      <c r="LE394" s="249"/>
      <c r="LF394" s="249"/>
      <c r="LG394" s="249"/>
      <c r="LH394" s="249"/>
      <c r="LI394" s="249"/>
      <c r="LJ394" s="249"/>
      <c r="LK394" s="249"/>
      <c r="LL394" s="249"/>
      <c r="LM394" s="249"/>
      <c r="LN394" s="249"/>
      <c r="LO394" s="249"/>
      <c r="LP394" s="249"/>
      <c r="LQ394" s="249"/>
      <c r="LR394" s="249"/>
      <c r="LS394" s="249"/>
      <c r="LT394" s="249"/>
      <c r="LU394" s="249"/>
      <c r="LV394" s="249"/>
      <c r="LW394" s="249"/>
      <c r="LX394" s="249"/>
      <c r="LY394" s="249"/>
      <c r="LZ394" s="249"/>
      <c r="MA394" s="249"/>
      <c r="MB394" s="249"/>
      <c r="MC394" s="249"/>
      <c r="MD394" s="249"/>
      <c r="ME394" s="249"/>
      <c r="MF394" s="249"/>
      <c r="MG394" s="249"/>
      <c r="MH394" s="249"/>
      <c r="MI394" s="249"/>
      <c r="MJ394" s="249"/>
      <c r="MK394" s="249"/>
      <c r="ML394" s="249"/>
      <c r="MM394" s="249"/>
      <c r="MN394" s="249"/>
      <c r="MO394" s="249"/>
      <c r="MP394" s="249"/>
      <c r="MQ394" s="249"/>
      <c r="MR394" s="249"/>
      <c r="MS394" s="249"/>
      <c r="MT394" s="249"/>
      <c r="MU394" s="249"/>
      <c r="MV394" s="249"/>
      <c r="MW394" s="249"/>
      <c r="MX394" s="249"/>
      <c r="MY394" s="249"/>
      <c r="MZ394" s="249"/>
      <c r="NA394" s="249"/>
      <c r="NB394" s="249"/>
      <c r="NC394" s="249"/>
      <c r="ND394" s="249"/>
      <c r="NE394" s="249"/>
      <c r="NF394" s="249"/>
      <c r="NG394" s="249"/>
      <c r="NH394" s="249"/>
      <c r="NI394" s="249"/>
      <c r="NJ394" s="249"/>
      <c r="NK394" s="249"/>
      <c r="NL394" s="249"/>
      <c r="NM394" s="249"/>
      <c r="NN394" s="249"/>
      <c r="NO394" s="249"/>
      <c r="NP394" s="249"/>
      <c r="NQ394" s="249"/>
      <c r="NR394" s="249"/>
      <c r="NS394" s="249"/>
      <c r="NT394" s="249"/>
      <c r="NU394" s="249"/>
      <c r="NV394" s="249"/>
      <c r="NW394" s="249"/>
      <c r="NX394" s="249"/>
      <c r="NY394" s="249"/>
      <c r="NZ394" s="249"/>
      <c r="OA394" s="249"/>
      <c r="OB394" s="249"/>
      <c r="OC394" s="249"/>
      <c r="OD394" s="249"/>
      <c r="OE394" s="249"/>
      <c r="OF394" s="249"/>
      <c r="OG394" s="249"/>
      <c r="OH394" s="249"/>
      <c r="OI394" s="249"/>
      <c r="OJ394" s="249"/>
      <c r="OK394" s="249"/>
      <c r="OL394" s="249"/>
      <c r="OM394" s="249"/>
      <c r="ON394" s="249"/>
      <c r="OO394" s="249"/>
      <c r="OP394" s="249"/>
      <c r="OQ394" s="249"/>
      <c r="OR394" s="249"/>
      <c r="OS394" s="249"/>
      <c r="OT394" s="249"/>
      <c r="OU394" s="249"/>
      <c r="OV394" s="249"/>
      <c r="OW394" s="249"/>
      <c r="OX394" s="249"/>
      <c r="OY394" s="249"/>
      <c r="OZ394" s="249"/>
      <c r="PA394" s="249"/>
      <c r="PB394" s="249"/>
      <c r="PC394" s="249"/>
      <c r="PD394" s="249"/>
      <c r="PE394" s="249"/>
      <c r="PF394" s="249"/>
      <c r="PG394" s="249"/>
      <c r="PH394" s="249"/>
      <c r="PI394" s="249"/>
      <c r="PJ394" s="249"/>
      <c r="PK394" s="249"/>
      <c r="PL394" s="249"/>
      <c r="PM394" s="249"/>
      <c r="PN394" s="249"/>
      <c r="PO394" s="249"/>
      <c r="PP394" s="249"/>
      <c r="PQ394" s="249"/>
      <c r="PR394" s="249"/>
      <c r="PS394" s="249"/>
      <c r="PT394" s="249"/>
      <c r="PU394" s="249"/>
      <c r="PV394" s="249"/>
      <c r="PW394" s="249"/>
      <c r="PX394" s="249"/>
      <c r="PY394" s="249"/>
      <c r="PZ394" s="249"/>
      <c r="QA394" s="249"/>
      <c r="QB394" s="249"/>
      <c r="QC394" s="249"/>
      <c r="QD394" s="249"/>
      <c r="QE394" s="249"/>
      <c r="QF394" s="249"/>
      <c r="QG394" s="249"/>
      <c r="QH394" s="249"/>
      <c r="QI394" s="249"/>
      <c r="QJ394" s="249"/>
      <c r="QK394" s="249"/>
      <c r="QL394" s="249"/>
      <c r="QM394" s="249"/>
      <c r="QN394" s="249"/>
      <c r="QO394" s="249"/>
      <c r="QP394" s="249"/>
      <c r="QQ394" s="249"/>
      <c r="QR394" s="249"/>
      <c r="QS394" s="249"/>
      <c r="QT394" s="249"/>
      <c r="QU394" s="249"/>
      <c r="QV394" s="249"/>
      <c r="QW394" s="249"/>
      <c r="QX394" s="249"/>
      <c r="QY394" s="249"/>
      <c r="QZ394" s="249"/>
      <c r="RA394" s="249"/>
      <c r="RB394" s="249"/>
      <c r="RC394" s="249"/>
      <c r="RD394" s="249"/>
      <c r="RE394" s="249"/>
      <c r="RF394" s="249"/>
      <c r="RG394" s="249"/>
      <c r="RH394" s="249"/>
      <c r="RI394" s="249"/>
      <c r="RJ394" s="249"/>
      <c r="RK394" s="249"/>
      <c r="RL394" s="249"/>
      <c r="RM394" s="249"/>
      <c r="RN394" s="249"/>
      <c r="RO394" s="249"/>
      <c r="RP394" s="249"/>
      <c r="RQ394" s="249"/>
      <c r="RR394" s="249"/>
      <c r="RS394" s="249"/>
      <c r="RT394" s="249"/>
      <c r="RU394" s="249"/>
      <c r="RV394" s="249"/>
      <c r="RW394" s="249"/>
      <c r="RX394" s="249"/>
      <c r="RY394" s="249"/>
      <c r="RZ394" s="249"/>
      <c r="SA394" s="249"/>
      <c r="SB394" s="249"/>
      <c r="SC394" s="249"/>
      <c r="SD394" s="249"/>
      <c r="SE394" s="249"/>
      <c r="SF394" s="249"/>
      <c r="SG394" s="249"/>
      <c r="SH394" s="249"/>
      <c r="SI394" s="249"/>
      <c r="SJ394" s="249"/>
      <c r="SK394" s="249"/>
      <c r="SL394" s="249"/>
      <c r="SM394" s="249"/>
      <c r="SN394" s="249"/>
      <c r="SO394" s="249"/>
      <c r="SP394" s="249"/>
      <c r="SQ394" s="249"/>
      <c r="SR394" s="249"/>
      <c r="SS394" s="249"/>
      <c r="ST394" s="249"/>
      <c r="SU394" s="249"/>
      <c r="SV394" s="249"/>
      <c r="SW394" s="249"/>
      <c r="SX394" s="249"/>
      <c r="SY394" s="249"/>
      <c r="SZ394" s="249"/>
      <c r="TA394" s="249"/>
      <c r="TB394" s="249"/>
      <c r="TC394" s="249"/>
      <c r="TD394" s="249"/>
      <c r="TE394" s="249"/>
      <c r="TF394" s="249"/>
      <c r="TG394" s="249"/>
      <c r="TH394" s="249"/>
      <c r="TI394" s="249"/>
      <c r="TJ394" s="249"/>
      <c r="TK394" s="249"/>
      <c r="TL394" s="249"/>
      <c r="TM394" s="249"/>
      <c r="TN394" s="249"/>
      <c r="TO394" s="249"/>
      <c r="TP394" s="249"/>
      <c r="TQ394" s="249"/>
      <c r="TR394" s="249"/>
      <c r="TS394" s="249"/>
      <c r="TT394" s="249"/>
      <c r="TU394" s="249"/>
      <c r="TV394" s="249"/>
      <c r="TW394" s="249"/>
      <c r="TX394" s="249"/>
      <c r="TY394" s="249"/>
      <c r="TZ394" s="249"/>
      <c r="UA394" s="249"/>
      <c r="UB394" s="249"/>
      <c r="UC394" s="249"/>
      <c r="UD394" s="249"/>
      <c r="UE394" s="249"/>
      <c r="UF394" s="249"/>
      <c r="UG394" s="249"/>
      <c r="UH394" s="249"/>
      <c r="UI394" s="249"/>
      <c r="UJ394" s="249"/>
      <c r="UK394" s="249"/>
      <c r="UL394" s="249"/>
      <c r="UM394" s="249"/>
      <c r="UN394" s="249"/>
      <c r="UO394" s="249"/>
      <c r="UP394" s="249"/>
      <c r="UQ394" s="249"/>
      <c r="UR394" s="249"/>
      <c r="US394" s="249"/>
      <c r="UT394" s="249"/>
      <c r="UU394" s="249"/>
      <c r="UV394" s="249"/>
      <c r="UW394" s="249"/>
      <c r="UX394" s="249"/>
      <c r="UY394" s="249"/>
      <c r="UZ394" s="249"/>
      <c r="VA394" s="249"/>
      <c r="VB394" s="249"/>
      <c r="VC394" s="249"/>
      <c r="VD394" s="249"/>
      <c r="VE394" s="249"/>
      <c r="VF394" s="249"/>
      <c r="VG394" s="249"/>
      <c r="VH394" s="249"/>
      <c r="VI394" s="249"/>
      <c r="VJ394" s="249"/>
      <c r="VK394" s="249"/>
      <c r="VL394" s="249"/>
      <c r="VM394" s="249"/>
      <c r="VN394" s="249"/>
      <c r="VO394" s="249"/>
      <c r="VP394" s="249"/>
      <c r="VQ394" s="249"/>
      <c r="VR394" s="249"/>
      <c r="VS394" s="249"/>
      <c r="VT394" s="249"/>
      <c r="VU394" s="249"/>
      <c r="VV394" s="249"/>
      <c r="VW394" s="249"/>
      <c r="VX394" s="249"/>
      <c r="VY394" s="249"/>
      <c r="VZ394" s="249"/>
      <c r="WA394" s="249"/>
      <c r="WB394" s="249"/>
      <c r="WC394" s="249"/>
      <c r="WD394" s="249"/>
      <c r="WE394" s="249"/>
      <c r="WF394" s="249"/>
      <c r="WG394" s="249"/>
      <c r="WH394" s="249"/>
      <c r="WI394" s="249"/>
      <c r="WJ394" s="249"/>
      <c r="WK394" s="249"/>
      <c r="WL394" s="249"/>
      <c r="WM394" s="249"/>
      <c r="WN394" s="249"/>
      <c r="WO394" s="249"/>
      <c r="WP394" s="249"/>
      <c r="WQ394" s="249"/>
      <c r="WR394" s="249"/>
      <c r="WS394" s="249"/>
      <c r="WT394" s="249"/>
      <c r="WU394" s="249"/>
      <c r="WV394" s="249"/>
      <c r="WW394" s="249"/>
      <c r="WX394" s="249"/>
      <c r="WY394" s="249"/>
      <c r="WZ394" s="249"/>
      <c r="XA394" s="249"/>
      <c r="XB394" s="249"/>
      <c r="XC394" s="249"/>
      <c r="XD394" s="249"/>
      <c r="XE394" s="249"/>
      <c r="XF394" s="249"/>
      <c r="XG394" s="249"/>
      <c r="XH394" s="249"/>
      <c r="XI394" s="249"/>
      <c r="XJ394" s="249"/>
      <c r="XK394" s="249"/>
      <c r="XL394" s="249"/>
      <c r="XM394" s="249"/>
      <c r="XN394" s="249"/>
      <c r="XO394" s="249"/>
      <c r="XP394" s="249"/>
      <c r="XQ394" s="249"/>
      <c r="XR394" s="249"/>
      <c r="XS394" s="249"/>
      <c r="XT394" s="249"/>
      <c r="XU394" s="249"/>
      <c r="XV394" s="249"/>
      <c r="XW394" s="249"/>
      <c r="XX394" s="249"/>
      <c r="XY394" s="249"/>
      <c r="XZ394" s="249"/>
      <c r="YA394" s="249"/>
      <c r="YB394" s="249"/>
      <c r="YC394" s="249"/>
      <c r="YD394" s="249"/>
      <c r="YE394" s="249"/>
      <c r="YF394" s="249"/>
      <c r="YG394" s="249"/>
      <c r="YH394" s="249"/>
      <c r="YI394" s="249"/>
      <c r="YJ394" s="249"/>
      <c r="YK394" s="249"/>
      <c r="YL394" s="249"/>
      <c r="YM394" s="249"/>
      <c r="YN394" s="249"/>
      <c r="YO394" s="249"/>
      <c r="YP394" s="249"/>
      <c r="YQ394" s="249"/>
      <c r="YR394" s="249"/>
      <c r="YS394" s="249"/>
      <c r="YT394" s="249"/>
      <c r="YU394" s="249"/>
      <c r="YV394" s="249"/>
      <c r="YW394" s="249"/>
      <c r="YX394" s="249"/>
      <c r="YY394" s="249"/>
      <c r="YZ394" s="249"/>
      <c r="ZA394" s="249"/>
      <c r="ZB394" s="249"/>
      <c r="ZC394" s="249"/>
      <c r="ZD394" s="249"/>
      <c r="ZE394" s="249"/>
      <c r="ZF394" s="249"/>
      <c r="ZG394" s="249"/>
      <c r="ZH394" s="249"/>
      <c r="ZI394" s="249"/>
      <c r="ZJ394" s="249"/>
      <c r="ZK394" s="249"/>
      <c r="ZL394" s="249"/>
      <c r="ZM394" s="249"/>
      <c r="ZN394" s="249"/>
      <c r="ZO394" s="249"/>
      <c r="ZP394" s="249"/>
      <c r="ZQ394" s="249"/>
      <c r="ZR394" s="249"/>
      <c r="ZS394" s="249"/>
      <c r="ZT394" s="249"/>
      <c r="ZU394" s="249"/>
      <c r="ZV394" s="249"/>
      <c r="ZW394" s="249"/>
      <c r="ZX394" s="249"/>
      <c r="ZY394" s="249"/>
      <c r="ZZ394" s="249"/>
      <c r="AAA394" s="249"/>
      <c r="AAB394" s="249"/>
      <c r="AAC394" s="249"/>
      <c r="AAD394" s="249"/>
      <c r="AAE394" s="249"/>
      <c r="AAF394" s="249"/>
      <c r="AAG394" s="249"/>
      <c r="AAH394" s="249"/>
      <c r="AAI394" s="249"/>
      <c r="AAJ394" s="249"/>
      <c r="AAK394" s="249"/>
      <c r="AAL394" s="249"/>
      <c r="AAM394" s="249"/>
      <c r="AAN394" s="249"/>
      <c r="AAO394" s="249"/>
      <c r="AAP394" s="249"/>
      <c r="AAQ394" s="249"/>
      <c r="AAR394" s="249"/>
      <c r="AAS394" s="249"/>
      <c r="AAT394" s="249"/>
      <c r="AAU394" s="249"/>
      <c r="AAV394" s="249"/>
      <c r="AAW394" s="249"/>
      <c r="AAX394" s="249"/>
      <c r="AAY394" s="249"/>
      <c r="AAZ394" s="249"/>
      <c r="ABA394" s="249"/>
      <c r="ABB394" s="249"/>
      <c r="ABC394" s="249"/>
      <c r="ABD394" s="249"/>
      <c r="ABE394" s="249"/>
      <c r="ABF394" s="249"/>
      <c r="ABG394" s="249"/>
      <c r="ABH394" s="249"/>
      <c r="ABI394" s="249"/>
      <c r="ABJ394" s="249"/>
      <c r="ABK394" s="249"/>
      <c r="ABL394" s="249"/>
      <c r="ABM394" s="249"/>
      <c r="ABN394" s="249"/>
      <c r="ABO394" s="249"/>
      <c r="ABP394" s="249"/>
      <c r="ABQ394" s="249"/>
      <c r="ABR394" s="249"/>
      <c r="ABS394" s="249"/>
      <c r="ABT394" s="249"/>
      <c r="ABU394" s="249"/>
      <c r="ABV394" s="249"/>
      <c r="ABW394" s="249"/>
      <c r="ABX394" s="249"/>
      <c r="ABY394" s="249"/>
      <c r="ABZ394" s="249"/>
      <c r="ACA394" s="249"/>
      <c r="ACB394" s="249"/>
      <c r="ACC394" s="249"/>
      <c r="ACD394" s="249"/>
      <c r="ACE394" s="249"/>
      <c r="ACF394" s="249"/>
      <c r="ACG394" s="249"/>
      <c r="ACH394" s="249"/>
      <c r="ACI394" s="249"/>
      <c r="ACJ394" s="249"/>
      <c r="ACK394" s="249"/>
      <c r="ACL394" s="249"/>
      <c r="ACM394" s="249"/>
      <c r="ACN394" s="249"/>
      <c r="ACO394" s="249"/>
      <c r="ACP394" s="249"/>
      <c r="ACQ394" s="249"/>
      <c r="ACR394" s="249"/>
      <c r="ACS394" s="249"/>
      <c r="ACT394" s="249"/>
      <c r="ACU394" s="249"/>
      <c r="ACV394" s="249"/>
      <c r="ACW394" s="249"/>
      <c r="ACX394" s="249"/>
      <c r="ACY394" s="249"/>
      <c r="ACZ394" s="249"/>
      <c r="ADA394" s="249"/>
      <c r="ADB394" s="249"/>
      <c r="ADC394" s="249"/>
      <c r="ADD394" s="249"/>
      <c r="ADE394" s="249"/>
      <c r="ADF394" s="249"/>
      <c r="ADG394" s="249"/>
      <c r="ADH394" s="249"/>
      <c r="ADI394" s="249"/>
      <c r="ADJ394" s="249"/>
      <c r="ADK394" s="249"/>
      <c r="ADL394" s="249"/>
      <c r="ADM394" s="249"/>
      <c r="ADN394" s="249"/>
      <c r="ADO394" s="249"/>
      <c r="ADP394" s="249"/>
      <c r="ADQ394" s="249"/>
      <c r="ADR394" s="249"/>
      <c r="ADS394" s="249"/>
      <c r="ADT394" s="249"/>
      <c r="ADU394" s="249"/>
      <c r="ADV394" s="249"/>
      <c r="ADW394" s="249"/>
      <c r="ADX394" s="249"/>
      <c r="ADY394" s="249"/>
      <c r="ADZ394" s="249"/>
      <c r="AEA394" s="249"/>
      <c r="AEB394" s="249"/>
      <c r="AEC394" s="249"/>
      <c r="AED394" s="249"/>
      <c r="AEE394" s="249"/>
      <c r="AEF394" s="249"/>
      <c r="AEG394" s="249"/>
      <c r="AEH394" s="249"/>
      <c r="AEI394" s="249"/>
      <c r="AEJ394" s="249"/>
      <c r="AEK394" s="249"/>
      <c r="AEL394" s="249"/>
      <c r="AEM394" s="249"/>
      <c r="AEN394" s="249"/>
      <c r="AEO394" s="249"/>
      <c r="AEP394" s="249"/>
      <c r="AEQ394" s="249"/>
      <c r="AER394" s="249"/>
      <c r="AES394" s="249"/>
      <c r="AET394" s="249"/>
      <c r="AEU394" s="249"/>
      <c r="AEV394" s="249"/>
      <c r="AEW394" s="249"/>
      <c r="AEX394" s="249"/>
      <c r="AEY394" s="249"/>
      <c r="AEZ394" s="249"/>
      <c r="AFA394" s="249"/>
      <c r="AFB394" s="249"/>
      <c r="AFC394" s="249"/>
      <c r="AFD394" s="249"/>
      <c r="AFE394" s="249"/>
      <c r="AFF394" s="249"/>
      <c r="AFG394" s="249"/>
      <c r="AFH394" s="249"/>
      <c r="AFI394" s="249"/>
      <c r="AFJ394" s="249"/>
      <c r="AFK394" s="249"/>
      <c r="AFL394" s="249"/>
      <c r="AFM394" s="249"/>
      <c r="AFN394" s="249"/>
      <c r="AFO394" s="249"/>
      <c r="AFP394" s="249"/>
      <c r="AFQ394" s="249"/>
      <c r="AFR394" s="249"/>
      <c r="AFS394" s="249"/>
      <c r="AFT394" s="249"/>
      <c r="AFU394" s="249"/>
      <c r="AFV394" s="249"/>
      <c r="AFW394" s="249"/>
      <c r="AFX394" s="249"/>
      <c r="AFY394" s="249"/>
      <c r="AFZ394" s="249"/>
      <c r="AGA394" s="249"/>
      <c r="AGB394" s="249"/>
      <c r="AGC394" s="249"/>
      <c r="AGD394" s="249"/>
      <c r="AGE394" s="249"/>
      <c r="AGF394" s="249"/>
      <c r="AGG394" s="249"/>
      <c r="AGH394" s="249"/>
      <c r="AGI394" s="249"/>
      <c r="AGJ394" s="249"/>
      <c r="AGK394" s="249"/>
      <c r="AGL394" s="249"/>
      <c r="AGM394" s="249"/>
      <c r="AGN394" s="249"/>
      <c r="AGO394" s="249"/>
      <c r="AGP394" s="249"/>
      <c r="AGQ394" s="249"/>
      <c r="AGR394" s="249"/>
      <c r="AGS394" s="249"/>
      <c r="AGT394" s="249"/>
      <c r="AGU394" s="249"/>
      <c r="AGV394" s="249"/>
      <c r="AGW394" s="249"/>
      <c r="AGX394" s="249"/>
      <c r="AGY394" s="249"/>
      <c r="AGZ394" s="249"/>
      <c r="AHA394" s="249"/>
      <c r="AHB394" s="249"/>
      <c r="AHC394" s="249"/>
      <c r="AHD394" s="249"/>
      <c r="AHE394" s="249"/>
      <c r="AHF394" s="249"/>
      <c r="AHG394" s="249"/>
      <c r="AHH394" s="249"/>
      <c r="AHI394" s="249"/>
      <c r="AHJ394" s="249"/>
      <c r="AHK394" s="249"/>
      <c r="AHL394" s="249"/>
      <c r="AHM394" s="249"/>
      <c r="AHN394" s="249"/>
      <c r="AHO394" s="249"/>
      <c r="AHP394" s="249"/>
      <c r="AHQ394" s="249"/>
      <c r="AHR394" s="249"/>
      <c r="AHS394" s="249"/>
      <c r="AHT394" s="249"/>
      <c r="AHU394" s="249"/>
      <c r="AHV394" s="249"/>
      <c r="AHW394" s="249"/>
      <c r="AHX394" s="249"/>
      <c r="AHY394" s="249"/>
      <c r="AHZ394" s="249"/>
      <c r="AIA394" s="249"/>
      <c r="AIB394" s="249"/>
      <c r="AIC394" s="249"/>
      <c r="AID394" s="249"/>
      <c r="AIE394" s="249"/>
      <c r="AIF394" s="249"/>
      <c r="AIG394" s="249"/>
      <c r="AIH394" s="249"/>
      <c r="AII394" s="249"/>
      <c r="AIJ394" s="249"/>
      <c r="AIK394" s="249"/>
      <c r="AIL394" s="249"/>
      <c r="AIM394" s="249"/>
      <c r="AIN394" s="249"/>
      <c r="AIO394" s="249"/>
      <c r="AIP394" s="249"/>
      <c r="AIQ394" s="249"/>
      <c r="AIR394" s="249"/>
      <c r="AIS394" s="249"/>
      <c r="AIT394" s="249"/>
      <c r="AIU394" s="249"/>
      <c r="AIV394" s="249"/>
      <c r="AIW394" s="249"/>
      <c r="AIX394" s="249"/>
      <c r="AIY394" s="249"/>
      <c r="AIZ394" s="249"/>
      <c r="AJA394" s="249"/>
      <c r="AJB394" s="249"/>
      <c r="AJC394" s="249"/>
      <c r="AJD394" s="249"/>
      <c r="AJE394" s="249"/>
      <c r="AJF394" s="249"/>
      <c r="AJG394" s="249"/>
      <c r="AJH394" s="249"/>
      <c r="AJI394" s="249"/>
      <c r="AJJ394" s="249"/>
      <c r="AJK394" s="249"/>
      <c r="AJL394" s="249"/>
      <c r="AJM394" s="249"/>
      <c r="AJN394" s="249"/>
      <c r="AJO394" s="249"/>
      <c r="AJP394" s="249"/>
      <c r="AJQ394" s="249"/>
      <c r="AJR394" s="249"/>
      <c r="AJS394" s="249"/>
      <c r="AJT394" s="249"/>
      <c r="AJU394" s="249"/>
      <c r="AJV394" s="249"/>
      <c r="AJW394" s="249"/>
      <c r="AJX394" s="249"/>
      <c r="AJY394" s="249"/>
      <c r="AJZ394" s="249"/>
      <c r="AKA394" s="249"/>
      <c r="AKB394" s="249"/>
      <c r="AKC394" s="249"/>
      <c r="AKD394" s="249"/>
      <c r="AKE394" s="249"/>
      <c r="AKF394" s="249"/>
      <c r="AKG394" s="249"/>
      <c r="AKH394" s="249"/>
      <c r="AKI394" s="249"/>
      <c r="AKJ394" s="249"/>
      <c r="AKK394" s="249"/>
      <c r="AKL394" s="249"/>
      <c r="AKM394" s="249"/>
      <c r="AKN394" s="249"/>
      <c r="AKO394" s="249"/>
      <c r="AKP394" s="249"/>
      <c r="AKQ394" s="249"/>
      <c r="AKR394" s="249"/>
      <c r="AKS394" s="249"/>
      <c r="AKT394" s="249"/>
      <c r="AKU394" s="249"/>
      <c r="AKV394" s="249"/>
      <c r="AKW394" s="249"/>
      <c r="AKX394" s="249"/>
      <c r="AKY394" s="249"/>
      <c r="AKZ394" s="249"/>
      <c r="ALA394" s="249"/>
      <c r="ALB394" s="249"/>
      <c r="ALC394" s="249"/>
      <c r="ALD394" s="249"/>
      <c r="ALE394" s="249"/>
      <c r="ALF394" s="249"/>
      <c r="ALG394" s="249"/>
      <c r="ALH394" s="249"/>
      <c r="ALI394" s="249"/>
      <c r="ALJ394" s="249"/>
      <c r="ALK394" s="249"/>
      <c r="ALL394" s="249"/>
      <c r="ALM394" s="249"/>
      <c r="ALN394" s="249"/>
      <c r="ALO394" s="249"/>
      <c r="ALP394" s="249"/>
      <c r="ALQ394" s="249"/>
      <c r="ALR394" s="249"/>
      <c r="ALS394" s="249"/>
      <c r="ALT394" s="249"/>
      <c r="ALU394" s="249"/>
      <c r="ALV394" s="249"/>
      <c r="ALW394" s="249"/>
      <c r="ALX394" s="249"/>
      <c r="ALY394" s="249"/>
      <c r="ALZ394" s="249"/>
      <c r="AMA394" s="249"/>
      <c r="AMB394" s="249"/>
      <c r="AMC394" s="249"/>
      <c r="AMD394" s="249"/>
      <c r="AME394" s="249"/>
      <c r="AMF394" s="249"/>
      <c r="AMG394" s="249"/>
      <c r="AMH394" s="249"/>
      <c r="AMI394" s="249"/>
      <c r="AMJ394" s="249"/>
      <c r="AMK394" s="249"/>
      <c r="AML394" s="249"/>
      <c r="AMM394" s="249"/>
      <c r="AMN394" s="249"/>
      <c r="AMO394" s="249"/>
      <c r="AMP394" s="249"/>
      <c r="AMQ394" s="249"/>
      <c r="AMR394" s="249"/>
      <c r="AMS394" s="249"/>
      <c r="AMT394" s="249"/>
      <c r="AMU394" s="249"/>
      <c r="AMV394" s="249"/>
      <c r="AMW394" s="249"/>
      <c r="AMX394" s="249"/>
      <c r="AMY394" s="249"/>
      <c r="AMZ394" s="249"/>
      <c r="ANA394" s="249"/>
      <c r="ANB394" s="249"/>
      <c r="ANC394" s="249"/>
      <c r="AND394" s="249"/>
      <c r="ANE394" s="249"/>
      <c r="ANF394" s="249"/>
      <c r="ANG394" s="249"/>
      <c r="ANH394" s="249"/>
      <c r="ANI394" s="249"/>
      <c r="ANJ394" s="249"/>
      <c r="ANK394" s="249"/>
      <c r="ANL394" s="249"/>
      <c r="ANM394" s="249"/>
      <c r="ANN394" s="249"/>
      <c r="ANO394" s="249"/>
      <c r="ANP394" s="249"/>
      <c r="ANQ394" s="249"/>
      <c r="ANR394" s="249"/>
      <c r="ANS394" s="249"/>
      <c r="ANT394" s="249"/>
      <c r="ANU394" s="249"/>
      <c r="ANV394" s="249"/>
      <c r="ANW394" s="249"/>
      <c r="ANX394" s="249"/>
      <c r="ANY394" s="249"/>
      <c r="ANZ394" s="249"/>
      <c r="AOA394" s="249"/>
      <c r="AOB394" s="249"/>
      <c r="AOC394" s="249"/>
      <c r="AOD394" s="249"/>
      <c r="AOE394" s="249"/>
      <c r="AOF394" s="249"/>
      <c r="AOG394" s="249"/>
      <c r="AOH394" s="249"/>
      <c r="AOI394" s="249"/>
      <c r="AOJ394" s="249"/>
      <c r="AOK394" s="249"/>
      <c r="AOL394" s="249"/>
      <c r="AOM394" s="249"/>
      <c r="AON394" s="249"/>
      <c r="AOO394" s="249"/>
      <c r="AOP394" s="249"/>
      <c r="AOQ394" s="249"/>
      <c r="AOR394" s="249"/>
      <c r="AOS394" s="249"/>
      <c r="AOT394" s="249"/>
      <c r="AOU394" s="249"/>
      <c r="AOV394" s="249"/>
      <c r="AOW394" s="249"/>
      <c r="AOX394" s="249"/>
      <c r="AOY394" s="249"/>
      <c r="AOZ394" s="249"/>
      <c r="APA394" s="249"/>
      <c r="APB394" s="249"/>
      <c r="APC394" s="249"/>
      <c r="APD394" s="249"/>
      <c r="APE394" s="249"/>
      <c r="APF394" s="249"/>
      <c r="APG394" s="249"/>
      <c r="APH394" s="249"/>
      <c r="API394" s="249"/>
      <c r="APJ394" s="249"/>
      <c r="APK394" s="249"/>
      <c r="APL394" s="249"/>
      <c r="APM394" s="249"/>
      <c r="APN394" s="249"/>
      <c r="APO394" s="249"/>
      <c r="APP394" s="249"/>
      <c r="APQ394" s="249"/>
      <c r="APR394" s="249"/>
      <c r="APS394" s="249"/>
      <c r="APT394" s="249"/>
      <c r="APU394" s="249"/>
      <c r="APV394" s="249"/>
      <c r="APW394" s="249"/>
      <c r="APX394" s="249"/>
      <c r="APY394" s="249"/>
      <c r="APZ394" s="249"/>
      <c r="AQA394" s="249"/>
      <c r="AQB394" s="249"/>
      <c r="AQC394" s="249"/>
      <c r="AQD394" s="249"/>
      <c r="AQE394" s="249"/>
      <c r="AQF394" s="249"/>
      <c r="AQG394" s="249"/>
      <c r="AQH394" s="249"/>
      <c r="AQI394" s="249"/>
      <c r="AQJ394" s="249"/>
      <c r="AQK394" s="249"/>
      <c r="AQL394" s="249"/>
      <c r="AQM394" s="249"/>
      <c r="AQN394" s="249"/>
      <c r="AQO394" s="249"/>
      <c r="AQP394" s="249"/>
      <c r="AQQ394" s="249"/>
      <c r="AQR394" s="249"/>
      <c r="AQS394" s="249"/>
      <c r="AQT394" s="249"/>
      <c r="AQU394" s="249"/>
      <c r="AQV394" s="249"/>
      <c r="AQW394" s="249"/>
      <c r="AQX394" s="249"/>
      <c r="AQY394" s="249"/>
      <c r="AQZ394" s="249"/>
      <c r="ARA394" s="249"/>
      <c r="ARB394" s="249"/>
      <c r="ARC394" s="249"/>
      <c r="ARD394" s="249"/>
      <c r="ARE394" s="249"/>
      <c r="ARF394" s="249"/>
      <c r="ARG394" s="249"/>
      <c r="ARH394" s="249"/>
      <c r="ARI394" s="249"/>
      <c r="ARJ394" s="249"/>
      <c r="ARK394" s="249"/>
      <c r="ARL394" s="249"/>
      <c r="ARM394" s="249"/>
      <c r="ARN394" s="249"/>
      <c r="ARO394" s="249"/>
      <c r="ARP394" s="249"/>
      <c r="ARQ394" s="249"/>
      <c r="ARR394" s="249"/>
      <c r="ARS394" s="249"/>
      <c r="ART394" s="249"/>
      <c r="ARU394" s="249"/>
      <c r="ARV394" s="249"/>
      <c r="ARW394" s="249"/>
      <c r="ARX394" s="249"/>
      <c r="ARY394" s="249"/>
      <c r="ARZ394" s="249"/>
      <c r="ASA394" s="249"/>
      <c r="ASB394" s="249"/>
      <c r="ASC394" s="249"/>
      <c r="ASD394" s="249"/>
      <c r="ASE394" s="249"/>
      <c r="ASF394" s="249"/>
      <c r="ASG394" s="249"/>
      <c r="ASH394" s="249"/>
      <c r="ASI394" s="249"/>
      <c r="ASJ394" s="249"/>
      <c r="ASK394" s="249"/>
      <c r="ASL394" s="249"/>
      <c r="ASM394" s="249"/>
      <c r="ASN394" s="249"/>
      <c r="ASO394" s="249"/>
      <c r="ASP394" s="249"/>
      <c r="ASQ394" s="249"/>
      <c r="ASR394" s="249"/>
      <c r="ASS394" s="249"/>
      <c r="AST394" s="249"/>
      <c r="ASU394" s="249"/>
      <c r="ASV394" s="249"/>
      <c r="ASW394" s="249"/>
      <c r="ASX394" s="249"/>
      <c r="ASY394" s="249"/>
      <c r="ASZ394" s="249"/>
      <c r="ATA394" s="249"/>
      <c r="ATB394" s="249"/>
      <c r="ATC394" s="249"/>
      <c r="ATD394" s="249"/>
      <c r="ATE394" s="249"/>
      <c r="ATF394" s="249"/>
      <c r="ATG394" s="249"/>
      <c r="ATH394" s="249"/>
      <c r="ATI394" s="249"/>
      <c r="ATJ394" s="249"/>
      <c r="ATK394" s="249"/>
      <c r="ATL394" s="249"/>
      <c r="ATM394" s="249"/>
      <c r="ATN394" s="249"/>
      <c r="ATO394" s="249"/>
      <c r="ATP394" s="249"/>
      <c r="ATQ394" s="249"/>
      <c r="ATR394" s="249"/>
      <c r="ATS394" s="249"/>
      <c r="ATT394" s="249"/>
      <c r="ATU394" s="249"/>
      <c r="ATV394" s="249"/>
      <c r="ATW394" s="249"/>
      <c r="ATX394" s="249"/>
      <c r="ATY394" s="249"/>
      <c r="ATZ394" s="249"/>
      <c r="AUA394" s="249"/>
      <c r="AUB394" s="249"/>
      <c r="AUC394" s="249"/>
      <c r="AUD394" s="249"/>
      <c r="AUE394" s="249"/>
      <c r="AUF394" s="249"/>
      <c r="AUG394" s="249"/>
      <c r="AUH394" s="249"/>
      <c r="AUI394" s="249"/>
      <c r="AUJ394" s="249"/>
      <c r="AUK394" s="249"/>
      <c r="AUL394" s="249"/>
      <c r="AUM394" s="249"/>
      <c r="AUN394" s="249"/>
      <c r="AUO394" s="249"/>
      <c r="AUP394" s="249"/>
      <c r="AUQ394" s="249"/>
      <c r="AUR394" s="249"/>
      <c r="AUS394" s="249"/>
      <c r="AUT394" s="249"/>
      <c r="AUU394" s="249"/>
      <c r="AUV394" s="249"/>
      <c r="AUW394" s="249"/>
      <c r="AUX394" s="249"/>
      <c r="AUY394" s="249"/>
      <c r="AUZ394" s="249"/>
      <c r="AVA394" s="249"/>
      <c r="AVB394" s="249"/>
      <c r="AVC394" s="249"/>
      <c r="AVD394" s="249"/>
      <c r="AVE394" s="249"/>
      <c r="AVF394" s="249"/>
      <c r="AVG394" s="249"/>
      <c r="AVH394" s="249"/>
      <c r="AVI394" s="249"/>
      <c r="AVJ394" s="249"/>
      <c r="AVK394" s="249"/>
      <c r="AVL394" s="249"/>
      <c r="AVM394" s="249"/>
      <c r="AVN394" s="249"/>
      <c r="AVO394" s="249"/>
      <c r="AVP394" s="249"/>
      <c r="AVQ394" s="249"/>
      <c r="AVR394" s="249"/>
      <c r="AVS394" s="249"/>
      <c r="AVT394" s="249"/>
      <c r="AVU394" s="249"/>
      <c r="AVV394" s="249"/>
      <c r="AVW394" s="249"/>
      <c r="AVX394" s="249"/>
      <c r="AVY394" s="249"/>
      <c r="AVZ394" s="249"/>
      <c r="AWA394" s="249"/>
      <c r="AWB394" s="249"/>
      <c r="AWC394" s="249"/>
      <c r="AWD394" s="249"/>
      <c r="AWE394" s="249"/>
      <c r="AWF394" s="249"/>
      <c r="AWG394" s="249"/>
      <c r="AWH394" s="249"/>
      <c r="AWI394" s="249"/>
      <c r="AWJ394" s="249"/>
      <c r="AWK394" s="249"/>
      <c r="AWL394" s="249"/>
      <c r="AWM394" s="249"/>
      <c r="AWN394" s="249"/>
      <c r="AWO394" s="249"/>
      <c r="AWP394" s="249"/>
      <c r="AWQ394" s="249"/>
      <c r="AWR394" s="249"/>
      <c r="AWS394" s="249"/>
      <c r="AWT394" s="249"/>
      <c r="AWU394" s="249"/>
      <c r="AWV394" s="249"/>
      <c r="AWW394" s="249"/>
      <c r="AWX394" s="249"/>
      <c r="AWY394" s="249"/>
      <c r="AWZ394" s="249"/>
      <c r="AXA394" s="249"/>
      <c r="AXB394" s="249"/>
      <c r="AXC394" s="249"/>
      <c r="AXD394" s="249"/>
      <c r="AXE394" s="249"/>
      <c r="AXF394" s="249"/>
      <c r="AXG394" s="249"/>
      <c r="AXH394" s="249"/>
      <c r="AXI394" s="249"/>
      <c r="AXJ394" s="249"/>
      <c r="AXK394" s="249"/>
      <c r="AXL394" s="249"/>
      <c r="AXM394" s="249"/>
      <c r="AXN394" s="249"/>
      <c r="AXO394" s="249"/>
      <c r="AXP394" s="249"/>
      <c r="AXQ394" s="249"/>
      <c r="AXR394" s="249"/>
      <c r="AXS394" s="249"/>
      <c r="AXT394" s="249"/>
      <c r="AXU394" s="249"/>
      <c r="AXV394" s="249"/>
      <c r="AXW394" s="249"/>
      <c r="AXX394" s="249"/>
    </row>
    <row r="395" spans="1:1324" s="300" customFormat="1" ht="12.75">
      <c r="A395" s="301"/>
      <c r="E395" s="302"/>
      <c r="F395" s="303"/>
      <c r="G395" s="304"/>
      <c r="H395" s="304"/>
      <c r="K395" s="302"/>
      <c r="M395" s="302"/>
      <c r="N395" s="302"/>
      <c r="O395" s="302"/>
      <c r="P395" s="302"/>
      <c r="Q395" s="302"/>
      <c r="R395" s="302"/>
      <c r="S395" s="302"/>
      <c r="T395" s="302"/>
    </row>
    <row r="396" spans="1:1324" s="302" customFormat="1" ht="12.75">
      <c r="A396" s="305"/>
      <c r="B396" s="300"/>
      <c r="C396" s="300"/>
      <c r="D396" s="300"/>
      <c r="F396" s="303"/>
      <c r="G396" s="304"/>
      <c r="H396" s="304"/>
      <c r="I396" s="300"/>
      <c r="J396" s="300"/>
      <c r="L396" s="300"/>
    </row>
    <row r="397" spans="1:1324" s="300" customFormat="1" ht="12.75">
      <c r="A397" s="302"/>
      <c r="E397" s="302"/>
      <c r="F397" s="303"/>
      <c r="G397" s="304"/>
      <c r="H397" s="304"/>
      <c r="K397" s="302"/>
      <c r="M397" s="302"/>
      <c r="N397" s="302"/>
      <c r="O397" s="302"/>
      <c r="P397" s="302"/>
      <c r="Q397" s="302"/>
      <c r="R397" s="302"/>
      <c r="S397" s="302"/>
      <c r="T397" s="302"/>
    </row>
    <row r="398" spans="1:1324" s="300" customFormat="1" ht="12.75">
      <c r="A398" s="302"/>
      <c r="E398" s="302"/>
      <c r="F398" s="303"/>
      <c r="G398" s="304"/>
      <c r="H398" s="304"/>
      <c r="K398" s="302"/>
      <c r="M398" s="302"/>
      <c r="N398" s="302"/>
      <c r="O398" s="302"/>
      <c r="P398" s="302"/>
      <c r="Q398" s="302"/>
      <c r="R398" s="302"/>
      <c r="S398" s="302"/>
      <c r="T398" s="302"/>
    </row>
    <row r="399" spans="1:1324" s="302" customFormat="1" ht="12.75">
      <c r="A399" s="305"/>
      <c r="B399" s="300"/>
      <c r="C399" s="300"/>
      <c r="D399" s="300"/>
      <c r="F399" s="303"/>
      <c r="G399" s="304"/>
      <c r="H399" s="304"/>
      <c r="I399" s="300"/>
      <c r="J399" s="300"/>
      <c r="L399" s="300"/>
    </row>
    <row r="401" spans="1:20" s="302" customFormat="1" ht="12.75">
      <c r="B401" s="300" t="s">
        <v>401</v>
      </c>
      <c r="C401" s="300"/>
      <c r="D401" s="300"/>
      <c r="F401" s="303"/>
      <c r="G401" s="304"/>
      <c r="H401" s="304"/>
      <c r="I401" s="300"/>
      <c r="J401" s="300"/>
      <c r="L401" s="300"/>
    </row>
    <row r="402" spans="1:20" s="302" customFormat="1" ht="12.75">
      <c r="A402" s="301"/>
      <c r="B402" s="300"/>
      <c r="C402" s="300"/>
      <c r="D402" s="300"/>
      <c r="F402" s="303"/>
      <c r="G402" s="304"/>
      <c r="H402" s="304"/>
      <c r="I402" s="300"/>
      <c r="J402" s="300"/>
      <c r="L402" s="300"/>
    </row>
    <row r="403" spans="1:20" s="302" customFormat="1" ht="12.75">
      <c r="A403" s="301"/>
      <c r="B403" s="300"/>
      <c r="C403" s="300"/>
      <c r="D403" s="300"/>
      <c r="F403" s="303"/>
      <c r="G403" s="304"/>
      <c r="H403" s="304"/>
      <c r="I403" s="300"/>
      <c r="J403" s="300"/>
      <c r="L403" s="300"/>
    </row>
    <row r="404" spans="1:20" s="302" customFormat="1" ht="12.75">
      <c r="A404" s="301"/>
      <c r="B404" s="300"/>
      <c r="C404" s="300"/>
      <c r="D404" s="300"/>
      <c r="F404" s="303"/>
      <c r="G404" s="304"/>
      <c r="H404" s="304"/>
      <c r="I404" s="300"/>
      <c r="J404" s="300"/>
      <c r="L404" s="300"/>
    </row>
    <row r="405" spans="1:20" s="302" customFormat="1" ht="12.75">
      <c r="A405" s="301"/>
      <c r="B405" s="300"/>
      <c r="C405" s="300"/>
      <c r="D405" s="300"/>
      <c r="F405" s="303"/>
      <c r="G405" s="304"/>
      <c r="H405" s="304"/>
      <c r="I405" s="300"/>
      <c r="J405" s="300"/>
      <c r="L405" s="300"/>
    </row>
    <row r="406" spans="1:20" s="302" customFormat="1" ht="12.75">
      <c r="A406" s="301"/>
      <c r="B406" s="300"/>
      <c r="C406" s="300"/>
      <c r="D406" s="300"/>
      <c r="F406" s="303"/>
      <c r="G406" s="304"/>
      <c r="H406" s="304"/>
      <c r="I406" s="300"/>
      <c r="J406" s="300"/>
      <c r="L406" s="300"/>
    </row>
    <row r="407" spans="1:20" s="302" customFormat="1" ht="12.75">
      <c r="A407" s="301"/>
      <c r="B407" s="300"/>
      <c r="C407" s="300"/>
      <c r="D407" s="300"/>
      <c r="F407" s="303"/>
      <c r="G407" s="304"/>
      <c r="H407" s="304"/>
      <c r="I407" s="300"/>
      <c r="J407" s="300"/>
      <c r="L407" s="300"/>
    </row>
    <row r="408" spans="1:20" s="302" customFormat="1" ht="12.75">
      <c r="A408" s="301"/>
      <c r="B408" s="300"/>
      <c r="C408" s="300"/>
      <c r="D408" s="300"/>
      <c r="F408" s="303"/>
      <c r="G408" s="304"/>
      <c r="H408" s="304"/>
      <c r="I408" s="300"/>
      <c r="J408" s="300"/>
      <c r="L408" s="300"/>
    </row>
    <row r="409" spans="1:20" s="302" customFormat="1" ht="12.75">
      <c r="A409" s="301"/>
      <c r="B409" s="300"/>
      <c r="C409" s="300"/>
      <c r="D409" s="300"/>
      <c r="F409" s="303"/>
      <c r="G409" s="304"/>
      <c r="H409" s="304"/>
      <c r="I409" s="300"/>
      <c r="J409" s="300"/>
      <c r="L409" s="300"/>
    </row>
    <row r="410" spans="1:20" s="302" customFormat="1" ht="12.75">
      <c r="A410" s="301"/>
      <c r="B410" s="300"/>
      <c r="C410" s="300"/>
      <c r="D410" s="300"/>
      <c r="F410" s="303"/>
      <c r="G410" s="304"/>
      <c r="H410" s="304"/>
      <c r="I410" s="300"/>
      <c r="J410" s="300"/>
      <c r="L410" s="300"/>
    </row>
    <row r="411" spans="1:20" s="302" customFormat="1" ht="12.75">
      <c r="A411" s="301"/>
      <c r="B411" s="300"/>
      <c r="C411" s="300"/>
      <c r="D411" s="300"/>
      <c r="F411" s="303"/>
      <c r="G411" s="304"/>
      <c r="H411" s="304"/>
      <c r="I411" s="300"/>
      <c r="J411" s="300"/>
      <c r="L411" s="300"/>
    </row>
    <row r="412" spans="1:20" s="302" customFormat="1" ht="12.75">
      <c r="A412" s="301"/>
      <c r="B412" s="300"/>
      <c r="C412" s="300"/>
      <c r="D412" s="300"/>
      <c r="F412" s="303"/>
      <c r="G412" s="304"/>
      <c r="H412" s="304"/>
      <c r="I412" s="300"/>
      <c r="J412" s="300"/>
      <c r="L412" s="300"/>
    </row>
    <row r="413" spans="1:20" s="302" customFormat="1" ht="12.75">
      <c r="A413" s="301"/>
      <c r="B413" s="300"/>
      <c r="C413" s="300"/>
      <c r="D413" s="300"/>
      <c r="F413" s="303"/>
      <c r="G413" s="304"/>
      <c r="H413" s="304"/>
      <c r="I413" s="300"/>
      <c r="J413" s="300"/>
      <c r="L413" s="300"/>
    </row>
    <row r="414" spans="1:20" s="302" customFormat="1" ht="12.75">
      <c r="A414" s="301"/>
      <c r="B414" s="300"/>
      <c r="C414" s="300"/>
      <c r="D414" s="300"/>
      <c r="F414" s="303"/>
      <c r="G414" s="304"/>
      <c r="H414" s="304"/>
      <c r="I414" s="300"/>
      <c r="J414" s="300"/>
      <c r="L414" s="300"/>
    </row>
    <row r="415" spans="1:20" s="302" customFormat="1" ht="12.75">
      <c r="A415" s="301"/>
      <c r="B415" s="300"/>
      <c r="C415" s="300"/>
      <c r="D415" s="300"/>
      <c r="F415" s="303"/>
      <c r="G415" s="304"/>
      <c r="H415" s="304"/>
      <c r="I415" s="300"/>
      <c r="J415" s="300"/>
      <c r="L415" s="300"/>
    </row>
    <row r="416" spans="1:20" s="300" customFormat="1" ht="12.75">
      <c r="A416" s="301"/>
      <c r="E416" s="302"/>
      <c r="F416" s="303"/>
      <c r="G416" s="304"/>
      <c r="H416" s="304"/>
      <c r="K416" s="302"/>
      <c r="M416" s="302"/>
      <c r="N416" s="302"/>
      <c r="O416" s="302"/>
      <c r="P416" s="302"/>
      <c r="Q416" s="302"/>
      <c r="R416" s="302"/>
      <c r="S416" s="302"/>
      <c r="T416" s="302"/>
    </row>
    <row r="417" spans="1:1762" s="300" customFormat="1" ht="12.75">
      <c r="A417" s="306"/>
      <c r="E417" s="302"/>
      <c r="F417" s="303"/>
      <c r="G417" s="304"/>
      <c r="H417" s="304"/>
      <c r="K417" s="302"/>
      <c r="M417" s="302"/>
      <c r="N417" s="302"/>
      <c r="O417" s="302"/>
      <c r="P417" s="302"/>
      <c r="Q417" s="302"/>
      <c r="R417" s="302"/>
      <c r="S417" s="302"/>
      <c r="T417" s="302"/>
    </row>
    <row r="418" spans="1:1762" s="300" customFormat="1" ht="12.75">
      <c r="A418" s="301"/>
      <c r="E418" s="302"/>
      <c r="F418" s="303"/>
      <c r="G418" s="304"/>
      <c r="H418" s="304"/>
      <c r="K418" s="302"/>
      <c r="M418" s="302"/>
      <c r="N418" s="302"/>
      <c r="O418" s="302"/>
      <c r="P418" s="302"/>
      <c r="Q418" s="302"/>
      <c r="R418" s="302"/>
      <c r="S418" s="302"/>
      <c r="T418" s="302"/>
    </row>
    <row r="419" spans="1:1762" s="300" customFormat="1" ht="12.75">
      <c r="A419" s="301"/>
      <c r="E419" s="302"/>
      <c r="F419" s="303"/>
      <c r="G419" s="304"/>
      <c r="H419" s="304"/>
      <c r="K419" s="302"/>
      <c r="M419" s="302"/>
      <c r="N419" s="302"/>
      <c r="O419" s="302"/>
      <c r="P419" s="302"/>
      <c r="Q419" s="302"/>
      <c r="R419" s="302"/>
      <c r="S419" s="302"/>
      <c r="T419" s="302"/>
    </row>
    <row r="420" spans="1:1762" s="300" customFormat="1" ht="12.75">
      <c r="A420" s="306"/>
      <c r="E420" s="302"/>
      <c r="F420" s="303"/>
      <c r="G420" s="304"/>
      <c r="H420" s="304"/>
      <c r="K420" s="302"/>
      <c r="M420" s="302"/>
      <c r="N420" s="302"/>
      <c r="O420" s="302"/>
      <c r="P420" s="302"/>
      <c r="Q420" s="302"/>
      <c r="R420" s="302"/>
      <c r="S420" s="302"/>
      <c r="T420" s="302"/>
    </row>
    <row r="421" spans="1:1762" s="300" customFormat="1" ht="12.75">
      <c r="A421" s="306"/>
      <c r="E421" s="302"/>
      <c r="F421" s="303"/>
      <c r="G421" s="304"/>
      <c r="H421" s="304"/>
      <c r="K421" s="302"/>
      <c r="M421" s="302"/>
      <c r="N421" s="302"/>
      <c r="O421" s="302"/>
      <c r="P421" s="302"/>
      <c r="Q421" s="302"/>
      <c r="R421" s="302"/>
      <c r="S421" s="302"/>
      <c r="T421" s="302"/>
    </row>
    <row r="422" spans="1:1762" s="300" customFormat="1" ht="12.75">
      <c r="A422" s="301"/>
      <c r="E422" s="302"/>
      <c r="F422" s="303"/>
      <c r="G422" s="304"/>
      <c r="H422" s="304"/>
      <c r="K422" s="302"/>
      <c r="M422" s="302"/>
      <c r="N422" s="302"/>
      <c r="O422" s="302"/>
      <c r="P422" s="302"/>
      <c r="Q422" s="302"/>
      <c r="R422" s="302"/>
      <c r="S422" s="302"/>
      <c r="T422" s="302"/>
    </row>
    <row r="423" spans="1:1762" s="300" customFormat="1" ht="12.75">
      <c r="A423" s="301"/>
      <c r="E423" s="302"/>
      <c r="F423" s="303"/>
      <c r="G423" s="304"/>
      <c r="H423" s="304"/>
      <c r="K423" s="302"/>
      <c r="M423" s="302"/>
      <c r="N423" s="302"/>
      <c r="O423" s="302"/>
      <c r="P423" s="302"/>
      <c r="Q423" s="302"/>
      <c r="R423" s="302"/>
      <c r="S423" s="302"/>
      <c r="T423" s="302"/>
    </row>
    <row r="424" spans="1:1762" s="300" customFormat="1" ht="12.75">
      <c r="A424" s="301"/>
      <c r="E424" s="302"/>
      <c r="F424" s="303"/>
      <c r="G424" s="304"/>
      <c r="H424" s="304"/>
      <c r="K424" s="302"/>
      <c r="M424" s="302"/>
      <c r="N424" s="302"/>
      <c r="O424" s="302"/>
      <c r="P424" s="302"/>
      <c r="Q424" s="302"/>
      <c r="R424" s="302"/>
      <c r="S424" s="302"/>
      <c r="T424" s="302"/>
    </row>
    <row r="425" spans="1:1762" s="300" customFormat="1" ht="12.75">
      <c r="A425" s="301"/>
      <c r="E425" s="302"/>
      <c r="F425" s="303"/>
      <c r="G425" s="304"/>
      <c r="H425" s="304"/>
      <c r="K425" s="302"/>
      <c r="M425" s="302"/>
      <c r="N425" s="302"/>
      <c r="O425" s="302"/>
      <c r="P425" s="302"/>
      <c r="Q425" s="302"/>
      <c r="R425" s="302"/>
      <c r="S425" s="302"/>
      <c r="T425" s="302"/>
    </row>
    <row r="426" spans="1:1762" s="300" customFormat="1" ht="12.75">
      <c r="A426" s="307"/>
      <c r="E426" s="302"/>
      <c r="F426" s="303"/>
      <c r="G426" s="304"/>
      <c r="H426" s="304"/>
      <c r="K426" s="302"/>
      <c r="M426" s="302"/>
      <c r="N426" s="302"/>
      <c r="O426" s="302"/>
      <c r="P426" s="302"/>
      <c r="Q426" s="302"/>
      <c r="R426" s="302"/>
      <c r="S426" s="302"/>
      <c r="T426" s="302"/>
    </row>
    <row r="427" spans="1:1762" s="300" customFormat="1" ht="12.75">
      <c r="A427" s="301"/>
      <c r="E427" s="302"/>
      <c r="F427" s="303"/>
      <c r="G427" s="304"/>
      <c r="H427" s="304"/>
      <c r="K427" s="302"/>
      <c r="M427" s="302"/>
      <c r="N427" s="302"/>
      <c r="O427" s="302"/>
      <c r="P427" s="302"/>
      <c r="Q427" s="302"/>
      <c r="R427" s="302"/>
      <c r="S427" s="302"/>
      <c r="T427" s="302"/>
    </row>
    <row r="428" spans="1:1762" s="300" customFormat="1" ht="12.75">
      <c r="A428" s="308"/>
      <c r="E428" s="302"/>
      <c r="F428" s="303"/>
      <c r="G428" s="304"/>
      <c r="H428" s="304"/>
      <c r="K428" s="302"/>
      <c r="M428" s="302"/>
      <c r="N428" s="302"/>
      <c r="O428" s="302"/>
      <c r="P428" s="302"/>
      <c r="Q428" s="302"/>
      <c r="R428" s="302"/>
      <c r="S428" s="302"/>
      <c r="T428" s="302"/>
    </row>
    <row r="429" spans="1:1762" s="294" customFormat="1" ht="12.75">
      <c r="A429" s="308"/>
      <c r="B429" s="300"/>
      <c r="C429" s="300"/>
      <c r="D429" s="300"/>
      <c r="E429" s="302"/>
      <c r="F429" s="303"/>
      <c r="G429" s="304"/>
      <c r="H429" s="304"/>
      <c r="I429" s="300"/>
      <c r="J429" s="300"/>
      <c r="K429" s="302"/>
      <c r="L429" s="300"/>
      <c r="M429" s="302"/>
      <c r="N429" s="302"/>
      <c r="O429" s="302"/>
      <c r="P429" s="302"/>
      <c r="Q429" s="302"/>
      <c r="R429" s="302"/>
      <c r="S429" s="302"/>
      <c r="T429" s="302"/>
      <c r="U429" s="300"/>
      <c r="V429" s="300"/>
      <c r="W429" s="300"/>
      <c r="X429" s="300"/>
      <c r="Y429" s="300"/>
      <c r="Z429" s="300"/>
      <c r="AA429" s="300"/>
      <c r="AB429" s="300"/>
      <c r="AC429" s="300"/>
      <c r="AD429" s="300"/>
      <c r="AE429" s="300"/>
      <c r="AF429" s="300"/>
      <c r="AG429" s="300"/>
      <c r="AH429" s="300"/>
      <c r="AI429" s="300"/>
      <c r="AJ429" s="300"/>
      <c r="AK429" s="300"/>
      <c r="AL429" s="300"/>
      <c r="AM429" s="300"/>
      <c r="AN429" s="300"/>
      <c r="AO429" s="300"/>
      <c r="AP429" s="300"/>
      <c r="AQ429" s="300"/>
      <c r="AR429" s="300"/>
      <c r="AS429" s="300"/>
      <c r="AT429" s="300"/>
      <c r="AU429" s="300"/>
      <c r="AV429" s="300"/>
      <c r="AW429" s="300"/>
      <c r="AX429" s="300"/>
      <c r="AY429" s="300"/>
      <c r="AZ429" s="300"/>
      <c r="BA429" s="300"/>
      <c r="BB429" s="300"/>
      <c r="BC429" s="300"/>
      <c r="BD429" s="300"/>
      <c r="BE429" s="300"/>
      <c r="BF429" s="300"/>
      <c r="BG429" s="300"/>
      <c r="BH429" s="300"/>
      <c r="BI429" s="300"/>
      <c r="BJ429" s="300"/>
      <c r="BK429" s="300"/>
      <c r="BL429" s="300"/>
      <c r="BM429" s="300"/>
      <c r="BN429" s="300"/>
      <c r="BO429" s="300"/>
      <c r="BP429" s="300"/>
      <c r="BQ429" s="300"/>
      <c r="BR429" s="300"/>
      <c r="BS429" s="300"/>
      <c r="BT429" s="300"/>
      <c r="BU429" s="300"/>
      <c r="BV429" s="300"/>
      <c r="BW429" s="300"/>
      <c r="BX429" s="300"/>
      <c r="BY429" s="300"/>
      <c r="BZ429" s="300"/>
      <c r="CA429" s="300"/>
      <c r="CB429" s="300"/>
      <c r="CC429" s="300"/>
      <c r="CD429" s="300"/>
      <c r="CE429" s="300"/>
      <c r="CF429" s="300"/>
      <c r="CG429" s="300"/>
      <c r="CH429" s="300"/>
      <c r="CI429" s="300"/>
      <c r="CJ429" s="300"/>
      <c r="CK429" s="300"/>
      <c r="CL429" s="300"/>
      <c r="CM429" s="300"/>
      <c r="CN429" s="300"/>
      <c r="CO429" s="300"/>
      <c r="CP429" s="300"/>
      <c r="CQ429" s="300"/>
      <c r="CR429" s="300"/>
      <c r="CS429" s="300"/>
      <c r="CT429" s="300"/>
      <c r="CU429" s="300"/>
      <c r="CV429" s="300"/>
      <c r="CW429" s="300"/>
      <c r="CX429" s="300"/>
      <c r="CY429" s="300"/>
      <c r="CZ429" s="300"/>
      <c r="DA429" s="300"/>
      <c r="DB429" s="300"/>
      <c r="DC429" s="300"/>
      <c r="DD429" s="300"/>
      <c r="DE429" s="300"/>
      <c r="DF429" s="300"/>
      <c r="DG429" s="300"/>
      <c r="DH429" s="300"/>
      <c r="DI429" s="300"/>
      <c r="DJ429" s="300"/>
      <c r="DK429" s="300"/>
      <c r="DL429" s="300"/>
      <c r="DM429" s="300"/>
      <c r="DN429" s="300"/>
      <c r="DO429" s="300"/>
      <c r="DP429" s="300"/>
      <c r="DQ429" s="300"/>
      <c r="DR429" s="300"/>
      <c r="DS429" s="300"/>
      <c r="DT429" s="300"/>
      <c r="DU429" s="300"/>
      <c r="DV429" s="300"/>
      <c r="DW429" s="300"/>
      <c r="DX429" s="300"/>
      <c r="DY429" s="300"/>
      <c r="DZ429" s="300"/>
      <c r="EA429" s="300"/>
      <c r="EB429" s="300"/>
      <c r="EC429" s="300"/>
      <c r="ED429" s="300"/>
      <c r="EE429" s="300"/>
      <c r="EF429" s="300"/>
      <c r="EG429" s="300"/>
      <c r="EH429" s="300"/>
      <c r="EI429" s="300"/>
      <c r="EJ429" s="300"/>
      <c r="EK429" s="300"/>
      <c r="EL429" s="300"/>
      <c r="EM429" s="300"/>
      <c r="EN429" s="300"/>
      <c r="EO429" s="300"/>
      <c r="EP429" s="300"/>
      <c r="EQ429" s="300"/>
      <c r="ER429" s="300"/>
      <c r="ES429" s="300"/>
      <c r="ET429" s="300"/>
      <c r="EU429" s="300"/>
      <c r="EV429" s="300"/>
      <c r="EW429" s="300"/>
      <c r="EX429" s="300"/>
      <c r="EY429" s="300"/>
      <c r="EZ429" s="300"/>
      <c r="FA429" s="300"/>
      <c r="FB429" s="300"/>
      <c r="FC429" s="300"/>
      <c r="FD429" s="300"/>
      <c r="FE429" s="300"/>
      <c r="FF429" s="300"/>
      <c r="FG429" s="300"/>
      <c r="FH429" s="300"/>
      <c r="FI429" s="300"/>
      <c r="FJ429" s="300"/>
      <c r="FK429" s="300"/>
      <c r="FL429" s="300"/>
      <c r="FM429" s="300"/>
      <c r="FN429" s="300"/>
      <c r="FO429" s="300"/>
      <c r="FP429" s="300"/>
      <c r="FQ429" s="300"/>
      <c r="FR429" s="300"/>
      <c r="FS429" s="300"/>
      <c r="FT429" s="300"/>
      <c r="FU429" s="300"/>
      <c r="FV429" s="300"/>
      <c r="FW429" s="300"/>
      <c r="FX429" s="300"/>
      <c r="FY429" s="300"/>
      <c r="FZ429" s="300"/>
      <c r="GA429" s="300"/>
      <c r="GB429" s="300"/>
      <c r="GC429" s="300"/>
      <c r="GD429" s="300"/>
      <c r="GE429" s="300"/>
      <c r="GF429" s="300"/>
      <c r="GG429" s="300"/>
      <c r="GH429" s="300"/>
      <c r="GI429" s="300"/>
      <c r="GJ429" s="300"/>
      <c r="GK429" s="300"/>
      <c r="GL429" s="300"/>
      <c r="GM429" s="300"/>
      <c r="GN429" s="300"/>
      <c r="GO429" s="300"/>
      <c r="GP429" s="300"/>
      <c r="GQ429" s="300"/>
      <c r="GR429" s="300"/>
      <c r="GS429" s="300"/>
      <c r="GT429" s="300"/>
      <c r="GU429" s="300"/>
      <c r="GV429" s="300"/>
      <c r="GW429" s="300"/>
      <c r="GX429" s="300"/>
      <c r="GY429" s="300"/>
      <c r="GZ429" s="300"/>
      <c r="HA429" s="300"/>
      <c r="HB429" s="300"/>
      <c r="HC429" s="300"/>
      <c r="HD429" s="300"/>
      <c r="HE429" s="300"/>
      <c r="HF429" s="300"/>
      <c r="HG429" s="300"/>
      <c r="HH429" s="300"/>
      <c r="HI429" s="300"/>
      <c r="HJ429" s="300"/>
      <c r="HK429" s="300"/>
      <c r="HL429" s="300"/>
      <c r="HM429" s="300"/>
      <c r="HN429" s="300"/>
      <c r="HO429" s="300"/>
      <c r="HP429" s="300"/>
      <c r="HQ429" s="300"/>
      <c r="HR429" s="300"/>
      <c r="HS429" s="300"/>
      <c r="HT429" s="300"/>
      <c r="HU429" s="300"/>
      <c r="HV429" s="300"/>
      <c r="HW429" s="300"/>
      <c r="HX429" s="300"/>
      <c r="HY429" s="300"/>
      <c r="HZ429" s="300"/>
      <c r="IA429" s="300"/>
      <c r="IB429" s="300"/>
      <c r="IC429" s="300"/>
      <c r="ID429" s="300"/>
      <c r="IE429" s="300"/>
      <c r="IF429" s="300"/>
      <c r="IG429" s="300"/>
      <c r="IH429" s="300"/>
      <c r="II429" s="300"/>
      <c r="IJ429" s="300"/>
      <c r="IK429" s="300"/>
      <c r="IL429" s="300"/>
      <c r="IM429" s="300"/>
      <c r="IN429" s="300"/>
      <c r="IO429" s="300"/>
      <c r="IP429" s="300"/>
      <c r="IQ429" s="300"/>
      <c r="IR429" s="300"/>
      <c r="IS429" s="300"/>
      <c r="IT429" s="300"/>
      <c r="IU429" s="300"/>
      <c r="IV429" s="300"/>
      <c r="IW429" s="300"/>
      <c r="IX429" s="300"/>
      <c r="IY429" s="300"/>
      <c r="IZ429" s="300"/>
      <c r="JA429" s="300"/>
      <c r="JB429" s="300"/>
      <c r="JC429" s="300"/>
      <c r="JD429" s="300"/>
      <c r="JE429" s="300"/>
      <c r="JF429" s="300"/>
      <c r="JG429" s="300"/>
      <c r="JH429" s="300"/>
      <c r="JI429" s="300"/>
      <c r="JJ429" s="300"/>
      <c r="JK429" s="300"/>
      <c r="JL429" s="300"/>
      <c r="JM429" s="300"/>
      <c r="JN429" s="300"/>
      <c r="JO429" s="300"/>
      <c r="JP429" s="300"/>
      <c r="JQ429" s="300"/>
      <c r="JR429" s="300"/>
      <c r="JS429" s="300"/>
      <c r="JT429" s="300"/>
      <c r="JU429" s="300"/>
      <c r="JV429" s="300"/>
      <c r="JW429" s="300"/>
      <c r="JX429" s="300"/>
      <c r="JY429" s="300"/>
      <c r="JZ429" s="300"/>
      <c r="KA429" s="300"/>
      <c r="KB429" s="300"/>
      <c r="KC429" s="300"/>
      <c r="KD429" s="300"/>
      <c r="KE429" s="300"/>
      <c r="KF429" s="300"/>
      <c r="KG429" s="300"/>
      <c r="KH429" s="300"/>
      <c r="KI429" s="300"/>
      <c r="KJ429" s="300"/>
      <c r="KK429" s="300"/>
      <c r="KL429" s="300"/>
      <c r="KM429" s="300"/>
      <c r="KN429" s="300"/>
      <c r="KO429" s="300"/>
      <c r="KP429" s="300"/>
      <c r="KQ429" s="300"/>
      <c r="KR429" s="300"/>
      <c r="KS429" s="300"/>
      <c r="KT429" s="300"/>
      <c r="KU429" s="300"/>
      <c r="KV429" s="300"/>
      <c r="KW429" s="300"/>
      <c r="KX429" s="300"/>
      <c r="KY429" s="300"/>
      <c r="KZ429" s="300"/>
      <c r="LA429" s="300"/>
      <c r="LB429" s="300"/>
      <c r="LC429" s="300"/>
      <c r="LD429" s="300"/>
      <c r="LE429" s="300"/>
      <c r="LF429" s="300"/>
      <c r="LG429" s="300"/>
      <c r="LH429" s="300"/>
      <c r="LI429" s="300"/>
      <c r="LJ429" s="300"/>
      <c r="LK429" s="300"/>
      <c r="LL429" s="300"/>
      <c r="LM429" s="300"/>
      <c r="LN429" s="300"/>
      <c r="LO429" s="300"/>
      <c r="LP429" s="300"/>
      <c r="LQ429" s="300"/>
      <c r="LR429" s="300"/>
      <c r="LS429" s="300"/>
      <c r="LT429" s="300"/>
      <c r="LU429" s="300"/>
      <c r="LV429" s="300"/>
      <c r="LW429" s="300"/>
      <c r="LX429" s="300"/>
      <c r="LY429" s="300"/>
      <c r="LZ429" s="300"/>
      <c r="MA429" s="300"/>
      <c r="MB429" s="300"/>
      <c r="MC429" s="300"/>
      <c r="MD429" s="300"/>
      <c r="ME429" s="300"/>
      <c r="MF429" s="300"/>
      <c r="MG429" s="300"/>
      <c r="MH429" s="300"/>
      <c r="MI429" s="300"/>
      <c r="MJ429" s="300"/>
      <c r="MK429" s="300"/>
      <c r="ML429" s="300"/>
      <c r="MM429" s="300"/>
      <c r="MN429" s="300"/>
      <c r="MO429" s="300"/>
      <c r="MP429" s="300"/>
      <c r="MQ429" s="300"/>
      <c r="MR429" s="300"/>
      <c r="MS429" s="300"/>
      <c r="MT429" s="300"/>
      <c r="MU429" s="300"/>
      <c r="MV429" s="300"/>
      <c r="MW429" s="300"/>
      <c r="MX429" s="300"/>
      <c r="MY429" s="300"/>
      <c r="MZ429" s="300"/>
      <c r="NA429" s="300"/>
      <c r="NB429" s="300"/>
      <c r="NC429" s="300"/>
      <c r="ND429" s="300"/>
      <c r="NE429" s="300"/>
      <c r="NF429" s="300"/>
      <c r="NG429" s="300"/>
      <c r="NH429" s="300"/>
      <c r="NI429" s="300"/>
      <c r="NJ429" s="300"/>
      <c r="NK429" s="300"/>
      <c r="NL429" s="300"/>
      <c r="NM429" s="300"/>
      <c r="NN429" s="300"/>
      <c r="NO429" s="300"/>
      <c r="NP429" s="300"/>
      <c r="NQ429" s="300"/>
      <c r="NR429" s="300"/>
      <c r="NS429" s="300"/>
      <c r="NT429" s="300"/>
      <c r="NU429" s="300"/>
      <c r="NV429" s="300"/>
      <c r="NW429" s="300"/>
      <c r="NX429" s="300"/>
      <c r="NY429" s="300"/>
      <c r="NZ429" s="300"/>
      <c r="OA429" s="300"/>
      <c r="OB429" s="300"/>
      <c r="OC429" s="300"/>
      <c r="OD429" s="300"/>
      <c r="OE429" s="300"/>
      <c r="OF429" s="300"/>
      <c r="OG429" s="300"/>
      <c r="OH429" s="300"/>
      <c r="OI429" s="300"/>
      <c r="OJ429" s="300"/>
      <c r="OK429" s="300"/>
      <c r="OL429" s="300"/>
      <c r="OM429" s="300"/>
      <c r="ON429" s="300"/>
      <c r="OO429" s="300"/>
      <c r="OP429" s="300"/>
      <c r="OQ429" s="300"/>
      <c r="OR429" s="300"/>
      <c r="OS429" s="300"/>
      <c r="OT429" s="300"/>
      <c r="OU429" s="300"/>
      <c r="OV429" s="300"/>
      <c r="OW429" s="300"/>
      <c r="OX429" s="300"/>
      <c r="OY429" s="300"/>
      <c r="OZ429" s="300"/>
      <c r="PA429" s="300"/>
      <c r="PB429" s="300"/>
      <c r="PC429" s="300"/>
      <c r="PD429" s="300"/>
      <c r="PE429" s="300"/>
      <c r="PF429" s="300"/>
      <c r="PG429" s="300"/>
      <c r="PH429" s="300"/>
      <c r="PI429" s="300"/>
      <c r="PJ429" s="300"/>
      <c r="PK429" s="300"/>
      <c r="PL429" s="300"/>
      <c r="PM429" s="300"/>
      <c r="PN429" s="300"/>
      <c r="PO429" s="300"/>
      <c r="PP429" s="300"/>
      <c r="PQ429" s="300"/>
      <c r="PR429" s="300"/>
      <c r="PS429" s="300"/>
      <c r="PT429" s="300"/>
      <c r="PU429" s="300"/>
      <c r="PV429" s="300"/>
      <c r="PW429" s="300"/>
      <c r="PX429" s="300"/>
      <c r="PY429" s="300"/>
      <c r="PZ429" s="300"/>
      <c r="QA429" s="300"/>
      <c r="QB429" s="300"/>
      <c r="QC429" s="300"/>
      <c r="QD429" s="300"/>
      <c r="QE429" s="300"/>
      <c r="QF429" s="300"/>
      <c r="QG429" s="300"/>
      <c r="QH429" s="300"/>
      <c r="QI429" s="300"/>
      <c r="QJ429" s="300"/>
      <c r="QK429" s="300"/>
      <c r="QL429" s="300"/>
      <c r="QM429" s="300"/>
      <c r="QN429" s="300"/>
      <c r="QO429" s="300"/>
      <c r="QP429" s="300"/>
      <c r="QQ429" s="300"/>
      <c r="QR429" s="300"/>
      <c r="QS429" s="300"/>
      <c r="QT429" s="300"/>
      <c r="QU429" s="300"/>
      <c r="QV429" s="300"/>
      <c r="QW429" s="300"/>
      <c r="QX429" s="300"/>
      <c r="QY429" s="300"/>
      <c r="QZ429" s="300"/>
      <c r="RA429" s="300"/>
      <c r="RB429" s="300"/>
      <c r="RC429" s="300"/>
      <c r="RD429" s="300"/>
      <c r="RE429" s="300"/>
      <c r="RF429" s="300"/>
      <c r="RG429" s="300"/>
      <c r="RH429" s="300"/>
      <c r="RI429" s="300"/>
      <c r="RJ429" s="300"/>
      <c r="RK429" s="300"/>
      <c r="RL429" s="300"/>
      <c r="RM429" s="300"/>
      <c r="RN429" s="300"/>
      <c r="RO429" s="300"/>
      <c r="RP429" s="300"/>
      <c r="RQ429" s="300"/>
      <c r="RR429" s="300"/>
      <c r="RS429" s="300"/>
      <c r="RT429" s="300"/>
      <c r="RU429" s="300"/>
      <c r="RV429" s="300"/>
      <c r="RW429" s="300"/>
      <c r="RX429" s="300"/>
      <c r="RY429" s="300"/>
      <c r="RZ429" s="300"/>
      <c r="SA429" s="300"/>
      <c r="SB429" s="300"/>
      <c r="SC429" s="300"/>
      <c r="SD429" s="300"/>
      <c r="SE429" s="300"/>
      <c r="SF429" s="300"/>
      <c r="SG429" s="300"/>
      <c r="SH429" s="300"/>
      <c r="SI429" s="300"/>
      <c r="SJ429" s="300"/>
      <c r="SK429" s="300"/>
      <c r="SL429" s="300"/>
      <c r="SM429" s="300"/>
      <c r="SN429" s="300"/>
      <c r="SO429" s="300"/>
      <c r="SP429" s="300"/>
      <c r="SQ429" s="300"/>
      <c r="SR429" s="300"/>
      <c r="SS429" s="300"/>
      <c r="ST429" s="300"/>
      <c r="SU429" s="300"/>
      <c r="SV429" s="300"/>
      <c r="SW429" s="300"/>
      <c r="SX429" s="300"/>
      <c r="SY429" s="300"/>
      <c r="SZ429" s="300"/>
      <c r="TA429" s="300"/>
      <c r="TB429" s="300"/>
      <c r="TC429" s="300"/>
      <c r="TD429" s="300"/>
      <c r="TE429" s="300"/>
      <c r="TF429" s="300"/>
      <c r="TG429" s="300"/>
      <c r="TH429" s="300"/>
      <c r="TI429" s="300"/>
      <c r="TJ429" s="300"/>
      <c r="TK429" s="300"/>
      <c r="TL429" s="300"/>
      <c r="TM429" s="300"/>
      <c r="TN429" s="300"/>
      <c r="TO429" s="300"/>
      <c r="TP429" s="300"/>
      <c r="TQ429" s="300"/>
      <c r="TR429" s="300"/>
      <c r="TS429" s="300"/>
      <c r="TT429" s="300"/>
      <c r="TU429" s="300"/>
      <c r="TV429" s="300"/>
      <c r="TW429" s="300"/>
      <c r="TX429" s="300"/>
      <c r="TY429" s="300"/>
      <c r="TZ429" s="300"/>
      <c r="UA429" s="300"/>
      <c r="UB429" s="300"/>
      <c r="UC429" s="300"/>
      <c r="UD429" s="300"/>
      <c r="UE429" s="300"/>
      <c r="UF429" s="300"/>
      <c r="UG429" s="300"/>
      <c r="UH429" s="300"/>
      <c r="UI429" s="300"/>
      <c r="UJ429" s="300"/>
      <c r="UK429" s="300"/>
      <c r="UL429" s="300"/>
      <c r="UM429" s="300"/>
      <c r="UN429" s="300"/>
      <c r="UO429" s="300"/>
      <c r="UP429" s="300"/>
      <c r="UQ429" s="300"/>
      <c r="UR429" s="300"/>
      <c r="US429" s="300"/>
      <c r="UT429" s="300"/>
      <c r="UU429" s="300"/>
      <c r="UV429" s="300"/>
      <c r="UW429" s="300"/>
      <c r="UX429" s="300"/>
      <c r="UY429" s="300"/>
      <c r="UZ429" s="300"/>
      <c r="VA429" s="300"/>
      <c r="VB429" s="300"/>
      <c r="VC429" s="300"/>
      <c r="VD429" s="300"/>
      <c r="VE429" s="300"/>
      <c r="VF429" s="300"/>
      <c r="VG429" s="300"/>
      <c r="VH429" s="300"/>
      <c r="VI429" s="300"/>
      <c r="VJ429" s="300"/>
      <c r="VK429" s="300"/>
      <c r="VL429" s="300"/>
      <c r="VM429" s="300"/>
      <c r="VN429" s="300"/>
      <c r="VO429" s="300"/>
      <c r="VP429" s="300"/>
      <c r="VQ429" s="300"/>
      <c r="VR429" s="300"/>
      <c r="VS429" s="300"/>
      <c r="VT429" s="300"/>
      <c r="VU429" s="300"/>
      <c r="VV429" s="300"/>
      <c r="VW429" s="300"/>
      <c r="VX429" s="300"/>
      <c r="VY429" s="300"/>
      <c r="VZ429" s="300"/>
      <c r="WA429" s="300"/>
      <c r="WB429" s="300"/>
      <c r="WC429" s="300"/>
      <c r="WD429" s="300"/>
      <c r="WE429" s="300"/>
      <c r="WF429" s="300"/>
      <c r="WG429" s="300"/>
      <c r="WH429" s="300"/>
      <c r="WI429" s="300"/>
      <c r="WJ429" s="300"/>
      <c r="WK429" s="300"/>
      <c r="WL429" s="300"/>
      <c r="WM429" s="300"/>
      <c r="WN429" s="300"/>
      <c r="WO429" s="300"/>
      <c r="WP429" s="300"/>
      <c r="WQ429" s="300"/>
      <c r="WR429" s="300"/>
      <c r="WS429" s="300"/>
      <c r="WT429" s="300"/>
      <c r="WU429" s="300"/>
      <c r="WV429" s="300"/>
      <c r="WW429" s="300"/>
      <c r="WX429" s="300"/>
      <c r="WY429" s="300"/>
      <c r="WZ429" s="300"/>
      <c r="XA429" s="300"/>
      <c r="XB429" s="300"/>
      <c r="XC429" s="300"/>
      <c r="XD429" s="300"/>
      <c r="XE429" s="300"/>
      <c r="XF429" s="300"/>
      <c r="XG429" s="300"/>
      <c r="XH429" s="300"/>
      <c r="XI429" s="300"/>
      <c r="XJ429" s="300"/>
      <c r="XK429" s="300"/>
      <c r="XL429" s="300"/>
      <c r="XM429" s="300"/>
      <c r="XN429" s="300"/>
      <c r="XO429" s="300"/>
      <c r="XP429" s="300"/>
      <c r="XQ429" s="300"/>
      <c r="XR429" s="300"/>
      <c r="XS429" s="300"/>
      <c r="XT429" s="300"/>
      <c r="XU429" s="300"/>
      <c r="XV429" s="300"/>
      <c r="XW429" s="300"/>
      <c r="XX429" s="300"/>
      <c r="XY429" s="300"/>
      <c r="XZ429" s="300"/>
      <c r="YA429" s="300"/>
      <c r="YB429" s="300"/>
      <c r="YC429" s="300"/>
      <c r="YD429" s="300"/>
      <c r="YE429" s="300"/>
      <c r="YF429" s="300"/>
      <c r="YG429" s="300"/>
      <c r="YH429" s="300"/>
      <c r="YI429" s="300"/>
      <c r="YJ429" s="300"/>
      <c r="YK429" s="300"/>
      <c r="YL429" s="300"/>
      <c r="YM429" s="300"/>
      <c r="YN429" s="300"/>
      <c r="YO429" s="300"/>
      <c r="YP429" s="300"/>
      <c r="YQ429" s="300"/>
      <c r="YR429" s="300"/>
      <c r="YS429" s="300"/>
      <c r="YT429" s="300"/>
      <c r="YU429" s="300"/>
      <c r="YV429" s="300"/>
      <c r="YW429" s="300"/>
      <c r="YX429" s="300"/>
      <c r="YY429" s="300"/>
      <c r="YZ429" s="300"/>
      <c r="ZA429" s="300"/>
      <c r="ZB429" s="300"/>
      <c r="ZC429" s="300"/>
      <c r="ZD429" s="300"/>
      <c r="ZE429" s="300"/>
      <c r="ZF429" s="300"/>
      <c r="ZG429" s="300"/>
      <c r="ZH429" s="300"/>
      <c r="ZI429" s="300"/>
      <c r="ZJ429" s="300"/>
      <c r="ZK429" s="300"/>
      <c r="ZL429" s="300"/>
      <c r="ZM429" s="300"/>
      <c r="ZN429" s="300"/>
      <c r="ZO429" s="300"/>
      <c r="ZP429" s="300"/>
      <c r="ZQ429" s="300"/>
      <c r="ZR429" s="300"/>
      <c r="ZS429" s="300"/>
      <c r="ZT429" s="300"/>
      <c r="ZU429" s="300"/>
      <c r="ZV429" s="300"/>
      <c r="ZW429" s="300"/>
      <c r="ZX429" s="300"/>
      <c r="ZY429" s="300"/>
      <c r="ZZ429" s="300"/>
      <c r="AAA429" s="300"/>
      <c r="AAB429" s="300"/>
      <c r="AAC429" s="300"/>
      <c r="AAD429" s="300"/>
      <c r="AAE429" s="300"/>
      <c r="AAF429" s="300"/>
      <c r="AAG429" s="300"/>
      <c r="AAH429" s="300"/>
      <c r="AAI429" s="300"/>
      <c r="AAJ429" s="300"/>
      <c r="AAK429" s="300"/>
      <c r="AAL429" s="300"/>
      <c r="AAM429" s="300"/>
      <c r="AAN429" s="300"/>
      <c r="AAO429" s="300"/>
      <c r="AAP429" s="300"/>
      <c r="AAQ429" s="300"/>
      <c r="AAR429" s="300"/>
      <c r="AAS429" s="300"/>
      <c r="AAT429" s="300"/>
      <c r="AAU429" s="300"/>
      <c r="AAV429" s="300"/>
      <c r="AAW429" s="300"/>
      <c r="AAX429" s="300"/>
      <c r="AAY429" s="300"/>
      <c r="AAZ429" s="300"/>
      <c r="ABA429" s="300"/>
      <c r="ABB429" s="300"/>
      <c r="ABC429" s="300"/>
      <c r="ABD429" s="300"/>
      <c r="ABE429" s="300"/>
      <c r="ABF429" s="300"/>
      <c r="ABG429" s="300"/>
      <c r="ABH429" s="300"/>
      <c r="ABI429" s="300"/>
      <c r="ABJ429" s="300"/>
      <c r="ABK429" s="300"/>
      <c r="ABL429" s="300"/>
      <c r="ABM429" s="300"/>
      <c r="ABN429" s="300"/>
      <c r="ABO429" s="300"/>
      <c r="ABP429" s="300"/>
      <c r="ABQ429" s="300"/>
      <c r="ABR429" s="300"/>
      <c r="ABS429" s="300"/>
      <c r="ABT429" s="300"/>
      <c r="ABU429" s="300"/>
      <c r="ABV429" s="300"/>
      <c r="ABW429" s="300"/>
      <c r="ABX429" s="300"/>
      <c r="ABY429" s="300"/>
      <c r="ABZ429" s="300"/>
      <c r="ACA429" s="300"/>
      <c r="ACB429" s="300"/>
      <c r="ACC429" s="300"/>
      <c r="ACD429" s="300"/>
      <c r="ACE429" s="300"/>
      <c r="ACF429" s="300"/>
      <c r="ACG429" s="300"/>
      <c r="ACH429" s="300"/>
      <c r="ACI429" s="300"/>
      <c r="ACJ429" s="300"/>
      <c r="ACK429" s="300"/>
      <c r="ACL429" s="300"/>
      <c r="ACM429" s="300"/>
      <c r="ACN429" s="300"/>
      <c r="ACO429" s="300"/>
      <c r="ACP429" s="300"/>
      <c r="ACQ429" s="300"/>
      <c r="ACR429" s="300"/>
      <c r="ACS429" s="300"/>
      <c r="ACT429" s="300"/>
      <c r="ACU429" s="300"/>
      <c r="ACV429" s="300"/>
      <c r="ACW429" s="300"/>
      <c r="ACX429" s="300"/>
      <c r="ACY429" s="300"/>
      <c r="ACZ429" s="300"/>
      <c r="ADA429" s="300"/>
      <c r="ADB429" s="300"/>
      <c r="ADC429" s="300"/>
      <c r="ADD429" s="300"/>
      <c r="ADE429" s="300"/>
      <c r="ADF429" s="300"/>
      <c r="ADG429" s="300"/>
      <c r="ADH429" s="300"/>
      <c r="ADI429" s="300"/>
      <c r="ADJ429" s="300"/>
      <c r="ADK429" s="300"/>
      <c r="ADL429" s="300"/>
      <c r="ADM429" s="300"/>
      <c r="ADN429" s="300"/>
      <c r="ADO429" s="300"/>
      <c r="ADP429" s="300"/>
      <c r="ADQ429" s="300"/>
      <c r="ADR429" s="300"/>
      <c r="ADS429" s="300"/>
      <c r="ADT429" s="300"/>
      <c r="ADU429" s="300"/>
      <c r="ADV429" s="300"/>
      <c r="ADW429" s="300"/>
      <c r="ADX429" s="300"/>
      <c r="ADY429" s="300"/>
      <c r="ADZ429" s="300"/>
      <c r="AEA429" s="300"/>
      <c r="AEB429" s="300"/>
      <c r="AEC429" s="300"/>
      <c r="AED429" s="300"/>
      <c r="AEE429" s="300"/>
      <c r="AEF429" s="300"/>
      <c r="AEG429" s="300"/>
      <c r="AEH429" s="300"/>
      <c r="AEI429" s="300"/>
      <c r="AEJ429" s="300"/>
      <c r="AEK429" s="300"/>
      <c r="AEL429" s="300"/>
      <c r="AEM429" s="300"/>
      <c r="AEN429" s="300"/>
      <c r="AEO429" s="300"/>
      <c r="AEP429" s="300"/>
      <c r="AEQ429" s="300"/>
      <c r="AER429" s="300"/>
      <c r="AES429" s="300"/>
      <c r="AET429" s="300"/>
      <c r="AEU429" s="300"/>
      <c r="AEV429" s="300"/>
      <c r="AEW429" s="300"/>
      <c r="AEX429" s="300"/>
      <c r="AEY429" s="300"/>
      <c r="AEZ429" s="300"/>
      <c r="AFA429" s="300"/>
      <c r="AFB429" s="300"/>
      <c r="AFC429" s="300"/>
      <c r="AFD429" s="300"/>
      <c r="AFE429" s="300"/>
      <c r="AFF429" s="300"/>
      <c r="AFG429" s="300"/>
      <c r="AFH429" s="300"/>
      <c r="AFI429" s="300"/>
      <c r="AFJ429" s="300"/>
      <c r="AFK429" s="300"/>
      <c r="AFL429" s="300"/>
      <c r="AFM429" s="300"/>
      <c r="AFN429" s="300"/>
      <c r="AFO429" s="300"/>
      <c r="AFP429" s="300"/>
      <c r="AFQ429" s="300"/>
      <c r="AFR429" s="300"/>
      <c r="AFS429" s="300"/>
      <c r="AFT429" s="300"/>
      <c r="AFU429" s="300"/>
      <c r="AFV429" s="300"/>
      <c r="AFW429" s="300"/>
      <c r="AFX429" s="300"/>
      <c r="AFY429" s="300"/>
      <c r="AFZ429" s="300"/>
      <c r="AGA429" s="300"/>
      <c r="AGB429" s="300"/>
      <c r="AGC429" s="300"/>
      <c r="AGD429" s="300"/>
      <c r="AGE429" s="300"/>
      <c r="AGF429" s="300"/>
      <c r="AGG429" s="300"/>
      <c r="AGH429" s="300"/>
      <c r="AGI429" s="300"/>
      <c r="AGJ429" s="300"/>
      <c r="AGK429" s="300"/>
      <c r="AGL429" s="300"/>
      <c r="AGM429" s="300"/>
      <c r="AGN429" s="300"/>
      <c r="AGO429" s="300"/>
      <c r="AGP429" s="300"/>
      <c r="AGQ429" s="300"/>
      <c r="AGR429" s="300"/>
      <c r="AGS429" s="300"/>
      <c r="AGT429" s="300"/>
      <c r="AGU429" s="300"/>
      <c r="AGV429" s="300"/>
      <c r="AGW429" s="300"/>
      <c r="AGX429" s="300"/>
      <c r="AGY429" s="300"/>
      <c r="AGZ429" s="300"/>
      <c r="AHA429" s="300"/>
      <c r="AHB429" s="300"/>
      <c r="AHC429" s="300"/>
      <c r="AHD429" s="300"/>
      <c r="AHE429" s="300"/>
      <c r="AHF429" s="300"/>
      <c r="AHG429" s="300"/>
      <c r="AHH429" s="300"/>
      <c r="AHI429" s="300"/>
      <c r="AHJ429" s="300"/>
      <c r="AHK429" s="300"/>
      <c r="AHL429" s="300"/>
      <c r="AHM429" s="300"/>
      <c r="AHN429" s="300"/>
      <c r="AHO429" s="300"/>
      <c r="AHP429" s="300"/>
      <c r="AHQ429" s="300"/>
      <c r="AHR429" s="300"/>
      <c r="AHS429" s="300"/>
      <c r="AHT429" s="300"/>
      <c r="AHU429" s="300"/>
      <c r="AHV429" s="300"/>
      <c r="AHW429" s="300"/>
      <c r="AHX429" s="300"/>
      <c r="AHY429" s="300"/>
      <c r="AHZ429" s="300"/>
      <c r="AIA429" s="300"/>
      <c r="AIB429" s="300"/>
      <c r="AIC429" s="300"/>
      <c r="AID429" s="300"/>
      <c r="AIE429" s="300"/>
      <c r="AIF429" s="300"/>
      <c r="AIG429" s="300"/>
      <c r="AIH429" s="300"/>
      <c r="AII429" s="300"/>
      <c r="AIJ429" s="300"/>
      <c r="AIK429" s="300"/>
      <c r="AIL429" s="300"/>
      <c r="AIM429" s="300"/>
      <c r="AIN429" s="300"/>
      <c r="AIO429" s="300"/>
      <c r="AIP429" s="300"/>
      <c r="AIQ429" s="300"/>
      <c r="AIR429" s="300"/>
      <c r="AIS429" s="300"/>
      <c r="AIT429" s="300"/>
      <c r="AIU429" s="300"/>
      <c r="AIV429" s="300"/>
      <c r="AIW429" s="300"/>
      <c r="AIX429" s="300"/>
      <c r="AIY429" s="300"/>
      <c r="AIZ429" s="300"/>
      <c r="AJA429" s="300"/>
      <c r="AJB429" s="300"/>
      <c r="AJC429" s="300"/>
      <c r="AJD429" s="300"/>
      <c r="AJE429" s="300"/>
      <c r="AJF429" s="300"/>
      <c r="AJG429" s="300"/>
      <c r="AJH429" s="300"/>
      <c r="AJI429" s="300"/>
      <c r="AJJ429" s="300"/>
      <c r="AJK429" s="300"/>
      <c r="AJL429" s="300"/>
      <c r="AJM429" s="300"/>
      <c r="AJN429" s="300"/>
      <c r="AJO429" s="300"/>
      <c r="AJP429" s="300"/>
      <c r="AJQ429" s="300"/>
      <c r="AJR429" s="300"/>
      <c r="AJS429" s="300"/>
      <c r="AJT429" s="300"/>
      <c r="AJU429" s="300"/>
      <c r="AJV429" s="300"/>
      <c r="AJW429" s="300"/>
      <c r="AJX429" s="300"/>
      <c r="AJY429" s="300"/>
      <c r="AJZ429" s="300"/>
      <c r="AKA429" s="300"/>
      <c r="AKB429" s="300"/>
      <c r="AKC429" s="300"/>
      <c r="AKD429" s="300"/>
      <c r="AKE429" s="300"/>
      <c r="AKF429" s="300"/>
      <c r="AKG429" s="300"/>
      <c r="AKH429" s="300"/>
      <c r="AKI429" s="300"/>
      <c r="AKJ429" s="300"/>
      <c r="AKK429" s="300"/>
      <c r="AKL429" s="300"/>
      <c r="AKM429" s="300"/>
      <c r="AKN429" s="300"/>
      <c r="AKO429" s="300"/>
      <c r="AKP429" s="300"/>
      <c r="AKQ429" s="300"/>
      <c r="AKR429" s="300"/>
      <c r="AKS429" s="300"/>
      <c r="AKT429" s="300"/>
      <c r="AKU429" s="300"/>
      <c r="AKV429" s="300"/>
      <c r="AKW429" s="300"/>
      <c r="AKX429" s="300"/>
      <c r="AKY429" s="300"/>
      <c r="AKZ429" s="300"/>
      <c r="ALA429" s="300"/>
      <c r="ALB429" s="300"/>
      <c r="ALC429" s="300"/>
      <c r="ALD429" s="300"/>
      <c r="ALE429" s="300"/>
      <c r="ALF429" s="300"/>
      <c r="ALG429" s="300"/>
      <c r="ALH429" s="300"/>
      <c r="ALI429" s="300"/>
      <c r="ALJ429" s="300"/>
      <c r="ALK429" s="300"/>
      <c r="ALL429" s="300"/>
      <c r="ALM429" s="300"/>
      <c r="ALN429" s="300"/>
      <c r="ALO429" s="300"/>
      <c r="ALP429" s="300"/>
      <c r="ALQ429" s="300"/>
      <c r="ALR429" s="300"/>
      <c r="ALS429" s="300"/>
      <c r="ALT429" s="300"/>
      <c r="ALU429" s="300"/>
      <c r="ALV429" s="300"/>
      <c r="ALW429" s="300"/>
      <c r="ALX429" s="300"/>
      <c r="ALY429" s="300"/>
      <c r="ALZ429" s="300"/>
      <c r="AMA429" s="300"/>
      <c r="AMB429" s="300"/>
      <c r="AMC429" s="300"/>
      <c r="AMD429" s="300"/>
      <c r="AME429" s="300"/>
      <c r="AMF429" s="300"/>
      <c r="AMG429" s="300"/>
      <c r="AMH429" s="300"/>
      <c r="AMI429" s="300"/>
      <c r="AMJ429" s="300"/>
      <c r="AMK429" s="300"/>
      <c r="AML429" s="300"/>
      <c r="AMM429" s="300"/>
      <c r="AMN429" s="300"/>
      <c r="AMO429" s="300"/>
      <c r="AMP429" s="300"/>
      <c r="AMQ429" s="300"/>
      <c r="AMR429" s="300"/>
      <c r="AMS429" s="300"/>
      <c r="AMT429" s="300"/>
      <c r="AMU429" s="300"/>
      <c r="AMV429" s="300"/>
      <c r="AMW429" s="300"/>
      <c r="AMX429" s="300"/>
      <c r="AMY429" s="300"/>
      <c r="AMZ429" s="300"/>
      <c r="ANA429" s="300"/>
      <c r="ANB429" s="300"/>
      <c r="ANC429" s="300"/>
      <c r="AND429" s="300"/>
      <c r="ANE429" s="300"/>
      <c r="ANF429" s="300"/>
      <c r="ANG429" s="300"/>
      <c r="ANH429" s="300"/>
      <c r="ANI429" s="300"/>
      <c r="ANJ429" s="300"/>
      <c r="ANK429" s="300"/>
      <c r="ANL429" s="300"/>
      <c r="ANM429" s="300"/>
      <c r="ANN429" s="300"/>
      <c r="ANO429" s="300"/>
      <c r="ANP429" s="300"/>
      <c r="ANQ429" s="300"/>
      <c r="ANR429" s="300"/>
      <c r="ANS429" s="300"/>
      <c r="ANT429" s="300"/>
      <c r="ANU429" s="300"/>
      <c r="ANV429" s="300"/>
      <c r="ANW429" s="300"/>
      <c r="ANX429" s="300"/>
      <c r="ANY429" s="300"/>
      <c r="ANZ429" s="300"/>
      <c r="AOA429" s="300"/>
      <c r="AOB429" s="300"/>
      <c r="AOC429" s="300"/>
      <c r="AOD429" s="300"/>
      <c r="AOE429" s="300"/>
      <c r="AOF429" s="300"/>
      <c r="AOG429" s="300"/>
      <c r="AOH429" s="300"/>
      <c r="AOI429" s="300"/>
      <c r="AOJ429" s="300"/>
      <c r="AOK429" s="300"/>
      <c r="AOL429" s="300"/>
      <c r="AOM429" s="300"/>
      <c r="AON429" s="300"/>
      <c r="AOO429" s="300"/>
      <c r="AOP429" s="300"/>
      <c r="AOQ429" s="300"/>
      <c r="AOR429" s="300"/>
      <c r="AOS429" s="300"/>
      <c r="AOT429" s="300"/>
      <c r="AOU429" s="300"/>
      <c r="AOV429" s="300"/>
      <c r="AOW429" s="300"/>
      <c r="AOX429" s="300"/>
      <c r="AOY429" s="300"/>
      <c r="AOZ429" s="300"/>
      <c r="APA429" s="300"/>
      <c r="APB429" s="300"/>
      <c r="APC429" s="300"/>
      <c r="APD429" s="300"/>
      <c r="APE429" s="300"/>
      <c r="APF429" s="300"/>
      <c r="APG429" s="300"/>
      <c r="APH429" s="300"/>
      <c r="API429" s="300"/>
      <c r="APJ429" s="300"/>
      <c r="APK429" s="300"/>
      <c r="APL429" s="300"/>
      <c r="APM429" s="300"/>
      <c r="APN429" s="300"/>
      <c r="APO429" s="300"/>
      <c r="APP429" s="300"/>
      <c r="APQ429" s="300"/>
      <c r="APR429" s="300"/>
      <c r="APS429" s="300"/>
      <c r="APT429" s="300"/>
      <c r="APU429" s="300"/>
      <c r="APV429" s="300"/>
      <c r="APW429" s="300"/>
      <c r="APX429" s="300"/>
      <c r="APY429" s="300"/>
      <c r="APZ429" s="300"/>
      <c r="AQA429" s="300"/>
      <c r="AQB429" s="300"/>
      <c r="AQC429" s="300"/>
      <c r="AQD429" s="300"/>
      <c r="AQE429" s="300"/>
      <c r="AQF429" s="300"/>
      <c r="AQG429" s="300"/>
      <c r="AQH429" s="300"/>
      <c r="AQI429" s="300"/>
      <c r="AQJ429" s="300"/>
      <c r="AQK429" s="300"/>
      <c r="AQL429" s="300"/>
      <c r="AQM429" s="300"/>
      <c r="AQN429" s="300"/>
      <c r="AQO429" s="300"/>
      <c r="AQP429" s="300"/>
      <c r="AQQ429" s="300"/>
      <c r="AQR429" s="300"/>
      <c r="AQS429" s="300"/>
      <c r="AQT429" s="300"/>
      <c r="AQU429" s="300"/>
      <c r="AQV429" s="300"/>
      <c r="AQW429" s="300"/>
      <c r="AQX429" s="300"/>
      <c r="AQY429" s="300"/>
      <c r="AQZ429" s="300"/>
      <c r="ARA429" s="300"/>
      <c r="ARB429" s="300"/>
      <c r="ARC429" s="300"/>
      <c r="ARD429" s="300"/>
      <c r="ARE429" s="300"/>
      <c r="ARF429" s="300"/>
      <c r="ARG429" s="300"/>
      <c r="ARH429" s="300"/>
      <c r="ARI429" s="300"/>
      <c r="ARJ429" s="300"/>
      <c r="ARK429" s="300"/>
      <c r="ARL429" s="300"/>
      <c r="ARM429" s="300"/>
      <c r="ARN429" s="300"/>
      <c r="ARO429" s="300"/>
      <c r="ARP429" s="300"/>
      <c r="ARQ429" s="300"/>
      <c r="ARR429" s="300"/>
      <c r="ARS429" s="300"/>
      <c r="ART429" s="300"/>
      <c r="ARU429" s="300"/>
      <c r="ARV429" s="300"/>
      <c r="ARW429" s="300"/>
      <c r="ARX429" s="300"/>
      <c r="ARY429" s="300"/>
      <c r="ARZ429" s="300"/>
      <c r="ASA429" s="300"/>
      <c r="ASB429" s="300"/>
      <c r="ASC429" s="300"/>
      <c r="ASD429" s="300"/>
      <c r="ASE429" s="300"/>
      <c r="ASF429" s="300"/>
      <c r="ASG429" s="300"/>
      <c r="ASH429" s="300"/>
      <c r="ASI429" s="300"/>
      <c r="ASJ429" s="300"/>
      <c r="ASK429" s="300"/>
      <c r="ASL429" s="300"/>
      <c r="ASM429" s="300"/>
      <c r="ASN429" s="300"/>
      <c r="ASO429" s="300"/>
      <c r="ASP429" s="300"/>
      <c r="ASQ429" s="300"/>
      <c r="ASR429" s="300"/>
      <c r="ASS429" s="300"/>
      <c r="AST429" s="300"/>
      <c r="ASU429" s="300"/>
      <c r="ASV429" s="300"/>
      <c r="ASW429" s="300"/>
      <c r="ASX429" s="300"/>
      <c r="ASY429" s="300"/>
      <c r="ASZ429" s="300"/>
      <c r="ATA429" s="300"/>
      <c r="ATB429" s="300"/>
      <c r="ATC429" s="300"/>
      <c r="ATD429" s="300"/>
      <c r="ATE429" s="300"/>
      <c r="ATF429" s="300"/>
      <c r="ATG429" s="300"/>
      <c r="ATH429" s="300"/>
      <c r="ATI429" s="300"/>
      <c r="ATJ429" s="300"/>
      <c r="ATK429" s="300"/>
      <c r="ATL429" s="300"/>
      <c r="ATM429" s="300"/>
      <c r="ATN429" s="300"/>
      <c r="ATO429" s="300"/>
      <c r="ATP429" s="300"/>
      <c r="ATQ429" s="300"/>
      <c r="ATR429" s="300"/>
      <c r="ATS429" s="300"/>
      <c r="ATT429" s="300"/>
      <c r="ATU429" s="300"/>
      <c r="ATV429" s="300"/>
      <c r="ATW429" s="300"/>
      <c r="ATX429" s="300"/>
      <c r="ATY429" s="300"/>
      <c r="ATZ429" s="300"/>
      <c r="AUA429" s="300"/>
      <c r="AUB429" s="300"/>
      <c r="AUC429" s="300"/>
      <c r="AUD429" s="300"/>
      <c r="AUE429" s="300"/>
      <c r="AUF429" s="300"/>
      <c r="AUG429" s="300"/>
      <c r="AUH429" s="300"/>
      <c r="AUI429" s="300"/>
      <c r="AUJ429" s="300"/>
      <c r="AUK429" s="300"/>
      <c r="AUL429" s="300"/>
      <c r="AUM429" s="300"/>
      <c r="AUN429" s="300"/>
      <c r="AUO429" s="300"/>
      <c r="AUP429" s="300"/>
      <c r="AUQ429" s="300"/>
      <c r="AUR429" s="300"/>
      <c r="AUS429" s="300"/>
      <c r="AUT429" s="300"/>
      <c r="AUU429" s="300"/>
      <c r="AUV429" s="300"/>
      <c r="AUW429" s="300"/>
      <c r="AUX429" s="300"/>
      <c r="AUY429" s="300"/>
      <c r="AUZ429" s="300"/>
      <c r="AVA429" s="300"/>
      <c r="AVB429" s="300"/>
      <c r="AVC429" s="300"/>
      <c r="AVD429" s="300"/>
      <c r="AVE429" s="300"/>
      <c r="AVF429" s="300"/>
      <c r="AVG429" s="300"/>
      <c r="AVH429" s="300"/>
      <c r="AVI429" s="300"/>
      <c r="AVJ429" s="300"/>
      <c r="AVK429" s="300"/>
      <c r="AVL429" s="300"/>
      <c r="AVM429" s="300"/>
      <c r="AVN429" s="300"/>
      <c r="AVO429" s="300"/>
      <c r="AVP429" s="300"/>
      <c r="AVQ429" s="300"/>
      <c r="AVR429" s="300"/>
      <c r="AVS429" s="300"/>
      <c r="AVT429" s="300"/>
      <c r="AVU429" s="300"/>
      <c r="AVV429" s="300"/>
      <c r="AVW429" s="300"/>
      <c r="AVX429" s="300"/>
      <c r="AVY429" s="300"/>
      <c r="AVZ429" s="300"/>
      <c r="AWA429" s="300"/>
      <c r="AWB429" s="300"/>
      <c r="AWC429" s="300"/>
      <c r="AWD429" s="300"/>
      <c r="AWE429" s="300"/>
      <c r="AWF429" s="300"/>
      <c r="AWG429" s="300"/>
      <c r="AWH429" s="300"/>
      <c r="AWI429" s="300"/>
      <c r="AWJ429" s="300"/>
      <c r="AWK429" s="300"/>
      <c r="AWL429" s="300"/>
      <c r="AWM429" s="300"/>
      <c r="AWN429" s="300"/>
      <c r="AWO429" s="300"/>
      <c r="AWP429" s="300"/>
      <c r="AWQ429" s="300"/>
      <c r="AWR429" s="300"/>
      <c r="AWS429" s="300"/>
      <c r="AWT429" s="300"/>
      <c r="AWU429" s="300"/>
      <c r="AWV429" s="300"/>
      <c r="AWW429" s="300"/>
      <c r="AWX429" s="300"/>
      <c r="AWY429" s="300"/>
      <c r="AWZ429" s="300"/>
      <c r="AXA429" s="300"/>
      <c r="AXB429" s="300"/>
      <c r="AXC429" s="300"/>
      <c r="AXD429" s="300"/>
      <c r="AXE429" s="300"/>
      <c r="AXF429" s="300"/>
      <c r="AXG429" s="300"/>
      <c r="AXH429" s="300"/>
      <c r="AXI429" s="300"/>
      <c r="AXJ429" s="300"/>
      <c r="AXK429" s="300"/>
      <c r="AXL429" s="300"/>
      <c r="AXM429" s="300"/>
      <c r="AXN429" s="300"/>
      <c r="AXO429" s="300"/>
      <c r="AXP429" s="300"/>
      <c r="AXQ429" s="300"/>
      <c r="AXR429" s="300"/>
      <c r="AXS429" s="300"/>
      <c r="AXT429" s="300"/>
      <c r="AXU429" s="300"/>
      <c r="AXV429" s="300"/>
      <c r="AXW429" s="300"/>
      <c r="AXX429" s="300"/>
      <c r="AXY429" s="300"/>
      <c r="AXZ429" s="300"/>
      <c r="AYA429" s="300"/>
      <c r="AYB429" s="300"/>
      <c r="AYC429" s="300"/>
      <c r="AYD429" s="300"/>
      <c r="AYE429" s="300"/>
      <c r="AYF429" s="300"/>
      <c r="AYG429" s="300"/>
      <c r="AYH429" s="300"/>
      <c r="AYI429" s="300"/>
      <c r="AYJ429" s="300"/>
      <c r="AYK429" s="300"/>
      <c r="AYL429" s="300"/>
      <c r="AYM429" s="300"/>
      <c r="AYN429" s="300"/>
      <c r="AYO429" s="300"/>
      <c r="AYP429" s="300"/>
      <c r="AYQ429" s="300"/>
      <c r="AYR429" s="300"/>
      <c r="AYS429" s="300"/>
      <c r="AYT429" s="300"/>
      <c r="AYU429" s="300"/>
      <c r="AYV429" s="300"/>
      <c r="AYW429" s="300"/>
      <c r="AYX429" s="300"/>
      <c r="AYY429" s="300"/>
      <c r="AYZ429" s="300"/>
      <c r="AZA429" s="300"/>
      <c r="AZB429" s="300"/>
      <c r="AZC429" s="300"/>
      <c r="AZD429" s="300"/>
      <c r="AZE429" s="300"/>
      <c r="AZF429" s="300"/>
      <c r="AZG429" s="300"/>
      <c r="AZH429" s="300"/>
      <c r="AZI429" s="300"/>
      <c r="AZJ429" s="300"/>
      <c r="AZK429" s="300"/>
      <c r="AZL429" s="300"/>
      <c r="AZM429" s="300"/>
      <c r="AZN429" s="300"/>
      <c r="AZO429" s="300"/>
      <c r="AZP429" s="300"/>
      <c r="AZQ429" s="300"/>
      <c r="AZR429" s="300"/>
      <c r="AZS429" s="300"/>
      <c r="AZT429" s="300"/>
      <c r="AZU429" s="300"/>
      <c r="AZV429" s="300"/>
      <c r="AZW429" s="300"/>
      <c r="AZX429" s="300"/>
      <c r="AZY429" s="300"/>
      <c r="AZZ429" s="300"/>
      <c r="BAA429" s="300"/>
      <c r="BAB429" s="300"/>
      <c r="BAC429" s="300"/>
      <c r="BAD429" s="300"/>
      <c r="BAE429" s="300"/>
      <c r="BAF429" s="300"/>
      <c r="BAG429" s="300"/>
      <c r="BAH429" s="300"/>
      <c r="BAI429" s="300"/>
      <c r="BAJ429" s="300"/>
      <c r="BAK429" s="300"/>
      <c r="BAL429" s="300"/>
      <c r="BAM429" s="300"/>
      <c r="BAN429" s="300"/>
      <c r="BAO429" s="300"/>
      <c r="BAP429" s="300"/>
      <c r="BAQ429" s="300"/>
      <c r="BAR429" s="300"/>
      <c r="BAS429" s="300"/>
      <c r="BAT429" s="300"/>
      <c r="BAU429" s="300"/>
      <c r="BAV429" s="300"/>
      <c r="BAW429" s="300"/>
      <c r="BAX429" s="300"/>
      <c r="BAY429" s="300"/>
      <c r="BAZ429" s="300"/>
      <c r="BBA429" s="300"/>
      <c r="BBB429" s="300"/>
      <c r="BBC429" s="300"/>
      <c r="BBD429" s="300"/>
      <c r="BBE429" s="300"/>
      <c r="BBF429" s="300"/>
      <c r="BBG429" s="300"/>
      <c r="BBH429" s="300"/>
      <c r="BBI429" s="300"/>
      <c r="BBJ429" s="300"/>
      <c r="BBK429" s="300"/>
      <c r="BBL429" s="300"/>
      <c r="BBM429" s="300"/>
      <c r="BBN429" s="300"/>
      <c r="BBO429" s="300"/>
      <c r="BBP429" s="300"/>
      <c r="BBQ429" s="300"/>
      <c r="BBR429" s="300"/>
      <c r="BBS429" s="300"/>
      <c r="BBT429" s="300"/>
      <c r="BBU429" s="300"/>
      <c r="BBV429" s="300"/>
      <c r="BBW429" s="300"/>
      <c r="BBX429" s="300"/>
      <c r="BBY429" s="300"/>
      <c r="BBZ429" s="300"/>
      <c r="BCA429" s="300"/>
      <c r="BCB429" s="300"/>
      <c r="BCC429" s="300"/>
      <c r="BCD429" s="300"/>
      <c r="BCE429" s="300"/>
      <c r="BCF429" s="300"/>
      <c r="BCG429" s="300"/>
      <c r="BCH429" s="300"/>
      <c r="BCI429" s="300"/>
      <c r="BCJ429" s="300"/>
      <c r="BCK429" s="300"/>
      <c r="BCL429" s="300"/>
      <c r="BCM429" s="300"/>
      <c r="BCN429" s="300"/>
      <c r="BCO429" s="300"/>
      <c r="BCP429" s="300"/>
      <c r="BCQ429" s="300"/>
      <c r="BCR429" s="300"/>
      <c r="BCS429" s="300"/>
      <c r="BCT429" s="300"/>
      <c r="BCU429" s="300"/>
      <c r="BCV429" s="300"/>
      <c r="BCW429" s="300"/>
      <c r="BCX429" s="300"/>
      <c r="BCY429" s="300"/>
      <c r="BCZ429" s="300"/>
      <c r="BDA429" s="300"/>
      <c r="BDB429" s="300"/>
      <c r="BDC429" s="300"/>
      <c r="BDD429" s="300"/>
      <c r="BDE429" s="300"/>
      <c r="BDF429" s="300"/>
      <c r="BDG429" s="300"/>
      <c r="BDH429" s="300"/>
      <c r="BDI429" s="300"/>
      <c r="BDJ429" s="300"/>
      <c r="BDK429" s="300"/>
      <c r="BDL429" s="300"/>
      <c r="BDM429" s="300"/>
      <c r="BDN429" s="300"/>
      <c r="BDO429" s="300"/>
      <c r="BDP429" s="300"/>
      <c r="BDQ429" s="300"/>
      <c r="BDR429" s="300"/>
      <c r="BDS429" s="300"/>
      <c r="BDT429" s="300"/>
      <c r="BDU429" s="300"/>
      <c r="BDV429" s="300"/>
      <c r="BDW429" s="300"/>
      <c r="BDX429" s="300"/>
      <c r="BDY429" s="300"/>
      <c r="BDZ429" s="300"/>
      <c r="BEA429" s="300"/>
      <c r="BEB429" s="300"/>
      <c r="BEC429" s="300"/>
      <c r="BED429" s="300"/>
      <c r="BEE429" s="300"/>
      <c r="BEF429" s="300"/>
      <c r="BEG429" s="300"/>
      <c r="BEH429" s="300"/>
      <c r="BEI429" s="300"/>
      <c r="BEJ429" s="300"/>
      <c r="BEK429" s="300"/>
      <c r="BEL429" s="300"/>
      <c r="BEM429" s="300"/>
      <c r="BEN429" s="300"/>
      <c r="BEO429" s="300"/>
      <c r="BEP429" s="300"/>
      <c r="BEQ429" s="300"/>
      <c r="BER429" s="300"/>
      <c r="BES429" s="300"/>
      <c r="BET429" s="300"/>
      <c r="BEU429" s="300"/>
      <c r="BEV429" s="300"/>
      <c r="BEW429" s="300"/>
      <c r="BEX429" s="300"/>
      <c r="BEY429" s="300"/>
      <c r="BEZ429" s="300"/>
      <c r="BFA429" s="300"/>
      <c r="BFB429" s="300"/>
      <c r="BFC429" s="300"/>
      <c r="BFD429" s="300"/>
      <c r="BFE429" s="300"/>
      <c r="BFF429" s="300"/>
      <c r="BFG429" s="300"/>
      <c r="BFH429" s="300"/>
      <c r="BFI429" s="300"/>
      <c r="BFJ429" s="300"/>
      <c r="BFK429" s="300"/>
      <c r="BFL429" s="300"/>
      <c r="BFM429" s="300"/>
      <c r="BFN429" s="300"/>
      <c r="BFO429" s="300"/>
      <c r="BFP429" s="300"/>
      <c r="BFQ429" s="300"/>
      <c r="BFR429" s="300"/>
      <c r="BFS429" s="300"/>
      <c r="BFT429" s="300"/>
      <c r="BFU429" s="300"/>
      <c r="BFV429" s="300"/>
      <c r="BFW429" s="300"/>
      <c r="BFX429" s="300"/>
      <c r="BFY429" s="300"/>
      <c r="BFZ429" s="300"/>
      <c r="BGA429" s="300"/>
      <c r="BGB429" s="300"/>
      <c r="BGC429" s="300"/>
      <c r="BGD429" s="300"/>
      <c r="BGE429" s="300"/>
      <c r="BGF429" s="300"/>
      <c r="BGG429" s="300"/>
      <c r="BGH429" s="300"/>
      <c r="BGI429" s="300"/>
      <c r="BGJ429" s="300"/>
      <c r="BGK429" s="300"/>
      <c r="BGL429" s="300"/>
      <c r="BGM429" s="300"/>
      <c r="BGN429" s="300"/>
      <c r="BGO429" s="300"/>
      <c r="BGP429" s="300"/>
      <c r="BGQ429" s="300"/>
      <c r="BGR429" s="300"/>
      <c r="BGS429" s="300"/>
      <c r="BGT429" s="300"/>
      <c r="BGU429" s="300"/>
      <c r="BGV429" s="300"/>
      <c r="BGW429" s="300"/>
      <c r="BGX429" s="300"/>
      <c r="BGY429" s="300"/>
      <c r="BGZ429" s="300"/>
      <c r="BHA429" s="300"/>
      <c r="BHB429" s="300"/>
      <c r="BHC429" s="300"/>
      <c r="BHD429" s="300"/>
      <c r="BHE429" s="300"/>
      <c r="BHF429" s="300"/>
      <c r="BHG429" s="300"/>
      <c r="BHH429" s="300"/>
      <c r="BHI429" s="300"/>
      <c r="BHJ429" s="300"/>
      <c r="BHK429" s="300"/>
      <c r="BHL429" s="300"/>
      <c r="BHM429" s="300"/>
      <c r="BHN429" s="300"/>
      <c r="BHO429" s="300"/>
      <c r="BHP429" s="300"/>
      <c r="BHQ429" s="300"/>
      <c r="BHR429" s="300"/>
      <c r="BHS429" s="300"/>
      <c r="BHT429" s="300"/>
      <c r="BHU429" s="300"/>
      <c r="BHV429" s="300"/>
      <c r="BHW429" s="300"/>
      <c r="BHX429" s="300"/>
      <c r="BHY429" s="300"/>
      <c r="BHZ429" s="300"/>
      <c r="BIA429" s="300"/>
      <c r="BIB429" s="300"/>
      <c r="BIC429" s="300"/>
      <c r="BID429" s="300"/>
      <c r="BIE429" s="300"/>
      <c r="BIF429" s="300"/>
      <c r="BIG429" s="300"/>
      <c r="BIH429" s="300"/>
      <c r="BII429" s="300"/>
      <c r="BIJ429" s="300"/>
      <c r="BIK429" s="300"/>
      <c r="BIL429" s="300"/>
      <c r="BIM429" s="300"/>
      <c r="BIN429" s="300"/>
      <c r="BIO429" s="300"/>
      <c r="BIP429" s="300"/>
      <c r="BIQ429" s="300"/>
      <c r="BIR429" s="300"/>
      <c r="BIS429" s="300"/>
      <c r="BIT429" s="300"/>
      <c r="BIU429" s="300"/>
      <c r="BIV429" s="300"/>
      <c r="BIW429" s="300"/>
      <c r="BIX429" s="300"/>
      <c r="BIY429" s="300"/>
      <c r="BIZ429" s="300"/>
      <c r="BJA429" s="300"/>
      <c r="BJB429" s="300"/>
      <c r="BJC429" s="300"/>
      <c r="BJD429" s="300"/>
      <c r="BJE429" s="300"/>
      <c r="BJF429" s="300"/>
      <c r="BJG429" s="300"/>
      <c r="BJH429" s="300"/>
      <c r="BJI429" s="300"/>
      <c r="BJJ429" s="300"/>
      <c r="BJK429" s="300"/>
      <c r="BJL429" s="300"/>
      <c r="BJM429" s="300"/>
      <c r="BJN429" s="300"/>
      <c r="BJO429" s="300"/>
      <c r="BJP429" s="300"/>
      <c r="BJQ429" s="300"/>
      <c r="BJR429" s="300"/>
      <c r="BJS429" s="300"/>
      <c r="BJT429" s="300"/>
      <c r="BJU429" s="300"/>
      <c r="BJV429" s="300"/>
      <c r="BJW429" s="300"/>
      <c r="BJX429" s="300"/>
      <c r="BJY429" s="300"/>
      <c r="BJZ429" s="300"/>
      <c r="BKA429" s="300"/>
      <c r="BKB429" s="300"/>
      <c r="BKC429" s="300"/>
      <c r="BKD429" s="300"/>
      <c r="BKE429" s="300"/>
      <c r="BKF429" s="300"/>
      <c r="BKG429" s="300"/>
      <c r="BKH429" s="300"/>
      <c r="BKI429" s="300"/>
      <c r="BKJ429" s="300"/>
      <c r="BKK429" s="300"/>
      <c r="BKL429" s="300"/>
      <c r="BKM429" s="300"/>
      <c r="BKN429" s="300"/>
      <c r="BKO429" s="300"/>
      <c r="BKP429" s="300"/>
      <c r="BKQ429" s="300"/>
      <c r="BKR429" s="300"/>
      <c r="BKS429" s="300"/>
      <c r="BKT429" s="300"/>
      <c r="BKU429" s="300"/>
      <c r="BKV429" s="300"/>
      <c r="BKW429" s="300"/>
      <c r="BKX429" s="300"/>
      <c r="BKY429" s="300"/>
      <c r="BKZ429" s="300"/>
      <c r="BLA429" s="300"/>
      <c r="BLB429" s="300"/>
      <c r="BLC429" s="300"/>
      <c r="BLD429" s="300"/>
      <c r="BLE429" s="300"/>
      <c r="BLF429" s="300"/>
      <c r="BLG429" s="300"/>
      <c r="BLH429" s="300"/>
      <c r="BLI429" s="300"/>
      <c r="BLJ429" s="300"/>
      <c r="BLK429" s="300"/>
      <c r="BLL429" s="300"/>
      <c r="BLM429" s="300"/>
      <c r="BLN429" s="300"/>
      <c r="BLO429" s="300"/>
      <c r="BLP429" s="300"/>
      <c r="BLQ429" s="300"/>
      <c r="BLR429" s="300"/>
      <c r="BLS429" s="300"/>
      <c r="BLT429" s="300"/>
      <c r="BLU429" s="300"/>
      <c r="BLV429" s="300"/>
      <c r="BLW429" s="300"/>
      <c r="BLX429" s="300"/>
      <c r="BLY429" s="300"/>
      <c r="BLZ429" s="300"/>
      <c r="BMA429" s="300"/>
      <c r="BMB429" s="300"/>
      <c r="BMC429" s="300"/>
      <c r="BMD429" s="300"/>
      <c r="BME429" s="300"/>
      <c r="BMF429" s="300"/>
      <c r="BMG429" s="300"/>
      <c r="BMH429" s="300"/>
      <c r="BMI429" s="300"/>
      <c r="BMJ429" s="300"/>
      <c r="BMK429" s="300"/>
      <c r="BML429" s="300"/>
      <c r="BMM429" s="300"/>
      <c r="BMN429" s="300"/>
      <c r="BMO429" s="300"/>
      <c r="BMP429" s="300"/>
      <c r="BMQ429" s="300"/>
      <c r="BMR429" s="300"/>
      <c r="BMS429" s="300"/>
      <c r="BMT429" s="300"/>
      <c r="BMU429" s="300"/>
      <c r="BMV429" s="300"/>
      <c r="BMW429" s="300"/>
      <c r="BMX429" s="300"/>
      <c r="BMY429" s="300"/>
      <c r="BMZ429" s="300"/>
      <c r="BNA429" s="300"/>
      <c r="BNB429" s="300"/>
      <c r="BNC429" s="300"/>
      <c r="BND429" s="300"/>
      <c r="BNE429" s="300"/>
      <c r="BNF429" s="300"/>
      <c r="BNG429" s="300"/>
      <c r="BNH429" s="300"/>
      <c r="BNI429" s="300"/>
      <c r="BNJ429" s="300"/>
      <c r="BNK429" s="300"/>
      <c r="BNL429" s="300"/>
      <c r="BNM429" s="300"/>
      <c r="BNN429" s="300"/>
      <c r="BNO429" s="300"/>
      <c r="BNP429" s="300"/>
      <c r="BNQ429" s="300"/>
      <c r="BNR429" s="300"/>
      <c r="BNS429" s="300"/>
      <c r="BNT429" s="300"/>
      <c r="BNU429" s="300"/>
      <c r="BNV429" s="300"/>
      <c r="BNW429" s="300"/>
      <c r="BNX429" s="300"/>
      <c r="BNY429" s="300"/>
      <c r="BNZ429" s="300"/>
      <c r="BOA429" s="300"/>
      <c r="BOB429" s="300"/>
      <c r="BOC429" s="300"/>
      <c r="BOD429" s="300"/>
      <c r="BOE429" s="300"/>
      <c r="BOF429" s="300"/>
      <c r="BOG429" s="300"/>
      <c r="BOH429" s="300"/>
      <c r="BOI429" s="300"/>
      <c r="BOJ429" s="300"/>
      <c r="BOK429" s="300"/>
      <c r="BOL429" s="300"/>
      <c r="BOM429" s="300"/>
      <c r="BON429" s="300"/>
      <c r="BOO429" s="300"/>
      <c r="BOP429" s="300"/>
      <c r="BOQ429" s="300"/>
      <c r="BOR429" s="300"/>
      <c r="BOS429" s="300"/>
      <c r="BOT429" s="300"/>
    </row>
    <row r="430" spans="1:1762" s="294" customFormat="1" ht="11.25">
      <c r="A430" s="309"/>
      <c r="E430" s="293"/>
      <c r="F430" s="295"/>
      <c r="G430" s="296"/>
      <c r="H430" s="296"/>
      <c r="K430" s="293"/>
      <c r="M430" s="293"/>
      <c r="N430" s="293"/>
      <c r="O430" s="293"/>
      <c r="P430" s="293"/>
      <c r="Q430" s="293"/>
      <c r="R430" s="293"/>
      <c r="S430" s="293"/>
      <c r="T430" s="293"/>
    </row>
    <row r="431" spans="1:1762" s="294" customFormat="1" ht="11.25">
      <c r="A431" s="310"/>
      <c r="E431" s="293"/>
      <c r="F431" s="295"/>
      <c r="G431" s="296"/>
      <c r="H431" s="296"/>
      <c r="K431" s="293"/>
      <c r="M431" s="293"/>
      <c r="N431" s="293"/>
      <c r="O431" s="293"/>
      <c r="P431" s="293"/>
      <c r="Q431" s="293"/>
      <c r="R431" s="293"/>
      <c r="S431" s="293"/>
      <c r="T431" s="293"/>
    </row>
    <row r="432" spans="1:1762" s="294" customFormat="1" ht="11.25">
      <c r="A432" s="311"/>
      <c r="E432" s="293"/>
      <c r="F432" s="295"/>
      <c r="G432" s="296"/>
      <c r="H432" s="296"/>
      <c r="K432" s="293"/>
      <c r="M432" s="293"/>
      <c r="N432" s="293"/>
      <c r="O432" s="293"/>
      <c r="P432" s="293"/>
      <c r="Q432" s="293"/>
      <c r="R432" s="293"/>
      <c r="S432" s="293"/>
      <c r="T432" s="293"/>
    </row>
    <row r="433" spans="1:20" s="294" customFormat="1" ht="11.25">
      <c r="A433" s="312"/>
      <c r="E433" s="293"/>
      <c r="F433" s="295"/>
      <c r="G433" s="296"/>
      <c r="H433" s="296"/>
      <c r="K433" s="293"/>
      <c r="M433" s="293"/>
      <c r="N433" s="293"/>
      <c r="O433" s="293"/>
      <c r="P433" s="293"/>
      <c r="Q433" s="293"/>
      <c r="R433" s="293"/>
      <c r="S433" s="293"/>
      <c r="T433" s="293"/>
    </row>
    <row r="434" spans="1:20" s="294" customFormat="1" ht="11.25">
      <c r="A434" s="309"/>
      <c r="E434" s="293"/>
      <c r="F434" s="295"/>
      <c r="G434" s="296"/>
      <c r="H434" s="296"/>
      <c r="K434" s="293"/>
      <c r="M434" s="293"/>
      <c r="N434" s="293"/>
      <c r="O434" s="293"/>
      <c r="P434" s="293"/>
      <c r="Q434" s="293"/>
      <c r="R434" s="293"/>
      <c r="S434" s="293"/>
      <c r="T434" s="293"/>
    </row>
    <row r="435" spans="1:20" s="294" customFormat="1" ht="11.25">
      <c r="A435" s="309"/>
      <c r="E435" s="293"/>
      <c r="F435" s="295"/>
      <c r="G435" s="296"/>
      <c r="H435" s="296"/>
      <c r="K435" s="293"/>
      <c r="M435" s="293"/>
      <c r="N435" s="293"/>
      <c r="O435" s="293"/>
      <c r="P435" s="293"/>
      <c r="Q435" s="293"/>
      <c r="R435" s="293"/>
      <c r="S435" s="293"/>
      <c r="T435" s="293"/>
    </row>
    <row r="436" spans="1:20" s="294" customFormat="1" ht="11.25">
      <c r="A436" s="309"/>
      <c r="E436" s="293"/>
      <c r="F436" s="295"/>
      <c r="G436" s="296"/>
      <c r="H436" s="296"/>
      <c r="K436" s="293"/>
      <c r="M436" s="293"/>
      <c r="N436" s="293"/>
      <c r="O436" s="293"/>
      <c r="P436" s="293"/>
      <c r="Q436" s="293"/>
      <c r="R436" s="293"/>
      <c r="S436" s="293"/>
      <c r="T436" s="293"/>
    </row>
    <row r="437" spans="1:20" s="294" customFormat="1" ht="11.25">
      <c r="A437" s="309"/>
      <c r="E437" s="293"/>
      <c r="F437" s="295"/>
      <c r="G437" s="296"/>
      <c r="H437" s="296"/>
      <c r="K437" s="293"/>
      <c r="M437" s="293"/>
      <c r="N437" s="293"/>
      <c r="O437" s="293"/>
      <c r="P437" s="293"/>
      <c r="Q437" s="293"/>
      <c r="R437" s="293"/>
      <c r="S437" s="293"/>
      <c r="T437" s="293"/>
    </row>
    <row r="438" spans="1:20" s="294" customFormat="1" ht="11.25">
      <c r="A438" s="309"/>
      <c r="E438" s="293"/>
      <c r="F438" s="295"/>
      <c r="G438" s="296"/>
      <c r="H438" s="296"/>
      <c r="K438" s="293"/>
      <c r="M438" s="293"/>
      <c r="N438" s="293"/>
      <c r="O438" s="293"/>
      <c r="P438" s="293"/>
      <c r="Q438" s="293"/>
      <c r="R438" s="293"/>
      <c r="S438" s="293"/>
      <c r="T438" s="293"/>
    </row>
    <row r="439" spans="1:20" s="294" customFormat="1" ht="11.25">
      <c r="A439" s="309"/>
      <c r="E439" s="293"/>
      <c r="F439" s="295"/>
      <c r="G439" s="296"/>
      <c r="H439" s="296"/>
      <c r="K439" s="293"/>
      <c r="M439" s="293"/>
      <c r="N439" s="293"/>
      <c r="O439" s="293"/>
      <c r="P439" s="293"/>
      <c r="Q439" s="293"/>
      <c r="R439" s="293"/>
      <c r="S439" s="293"/>
      <c r="T439" s="293"/>
    </row>
    <row r="440" spans="1:20" s="294" customFormat="1" ht="11.25">
      <c r="A440" s="309"/>
      <c r="E440" s="293"/>
      <c r="F440" s="295"/>
      <c r="G440" s="296"/>
      <c r="H440" s="296"/>
      <c r="K440" s="293"/>
      <c r="M440" s="293"/>
      <c r="N440" s="293"/>
      <c r="O440" s="293"/>
      <c r="P440" s="293"/>
      <c r="Q440" s="293"/>
      <c r="R440" s="293"/>
      <c r="S440" s="293"/>
      <c r="T440" s="293"/>
    </row>
    <row r="441" spans="1:20" s="294" customFormat="1" ht="11.25">
      <c r="A441" s="309"/>
      <c r="E441" s="293"/>
      <c r="F441" s="295"/>
      <c r="G441" s="296"/>
      <c r="H441" s="296"/>
      <c r="K441" s="293"/>
      <c r="M441" s="293"/>
      <c r="N441" s="293"/>
      <c r="O441" s="293"/>
      <c r="P441" s="293"/>
      <c r="Q441" s="293"/>
      <c r="R441" s="293"/>
      <c r="S441" s="293"/>
      <c r="T441" s="293"/>
    </row>
    <row r="442" spans="1:20" s="294" customFormat="1" ht="11.25">
      <c r="A442" s="309"/>
      <c r="E442" s="293"/>
      <c r="F442" s="295"/>
      <c r="G442" s="296"/>
      <c r="H442" s="296"/>
      <c r="K442" s="293"/>
      <c r="M442" s="293"/>
      <c r="N442" s="293"/>
      <c r="O442" s="293"/>
      <c r="P442" s="293"/>
      <c r="Q442" s="293"/>
      <c r="R442" s="293"/>
      <c r="S442" s="293"/>
      <c r="T442" s="293"/>
    </row>
    <row r="443" spans="1:20" s="294" customFormat="1" ht="11.25">
      <c r="A443" s="309"/>
      <c r="E443" s="293"/>
      <c r="F443" s="295"/>
      <c r="G443" s="296"/>
      <c r="H443" s="296"/>
      <c r="K443" s="293"/>
      <c r="M443" s="293"/>
      <c r="N443" s="293"/>
      <c r="O443" s="293"/>
      <c r="P443" s="293"/>
      <c r="Q443" s="293"/>
      <c r="R443" s="293"/>
      <c r="S443" s="293"/>
      <c r="T443" s="293"/>
    </row>
    <row r="444" spans="1:20" s="294" customFormat="1" ht="11.25">
      <c r="A444" s="309"/>
      <c r="E444" s="293"/>
      <c r="F444" s="295"/>
      <c r="G444" s="296"/>
      <c r="H444" s="296"/>
      <c r="K444" s="293"/>
      <c r="M444" s="293"/>
      <c r="N444" s="293"/>
      <c r="O444" s="293"/>
      <c r="P444" s="293"/>
      <c r="Q444" s="293"/>
      <c r="R444" s="293"/>
      <c r="S444" s="293"/>
      <c r="T444" s="293"/>
    </row>
    <row r="445" spans="1:20" s="294" customFormat="1" ht="11.25">
      <c r="A445" s="309"/>
      <c r="E445" s="293"/>
      <c r="F445" s="295"/>
      <c r="G445" s="296"/>
      <c r="H445" s="296"/>
      <c r="K445" s="293"/>
      <c r="M445" s="293"/>
      <c r="N445" s="293"/>
      <c r="O445" s="293"/>
      <c r="P445" s="293"/>
      <c r="Q445" s="293"/>
      <c r="R445" s="293"/>
      <c r="S445" s="293"/>
      <c r="T445" s="293"/>
    </row>
    <row r="446" spans="1:20" s="294" customFormat="1" ht="11.25">
      <c r="A446" s="309"/>
      <c r="E446" s="293"/>
      <c r="F446" s="295"/>
      <c r="G446" s="296"/>
      <c r="H446" s="296"/>
      <c r="K446" s="293"/>
      <c r="M446" s="293"/>
      <c r="N446" s="293"/>
      <c r="O446" s="293"/>
      <c r="P446" s="293"/>
      <c r="Q446" s="293"/>
      <c r="R446" s="293"/>
      <c r="S446" s="293"/>
      <c r="T446" s="293"/>
    </row>
    <row r="447" spans="1:20" s="294" customFormat="1" ht="11.25">
      <c r="A447" s="309"/>
      <c r="E447" s="293"/>
      <c r="F447" s="295"/>
      <c r="G447" s="296"/>
      <c r="H447" s="296"/>
      <c r="K447" s="293"/>
      <c r="M447" s="293"/>
      <c r="N447" s="293"/>
      <c r="O447" s="293"/>
      <c r="P447" s="293"/>
      <c r="Q447" s="293"/>
      <c r="R447" s="293"/>
      <c r="S447" s="293"/>
      <c r="T447" s="293"/>
    </row>
    <row r="448" spans="1:20" s="294" customFormat="1" ht="11.25">
      <c r="A448" s="309"/>
      <c r="E448" s="293"/>
      <c r="F448" s="295"/>
      <c r="G448" s="296"/>
      <c r="H448" s="296"/>
      <c r="K448" s="293"/>
      <c r="M448" s="293"/>
      <c r="N448" s="293"/>
      <c r="O448" s="293"/>
      <c r="P448" s="293"/>
      <c r="Q448" s="293"/>
      <c r="R448" s="293"/>
      <c r="S448" s="293"/>
      <c r="T448" s="293"/>
    </row>
    <row r="449" spans="1:20" s="294" customFormat="1" ht="11.25">
      <c r="A449" s="309"/>
      <c r="E449" s="293"/>
      <c r="F449" s="295"/>
      <c r="G449" s="296"/>
      <c r="H449" s="296"/>
      <c r="K449" s="293"/>
      <c r="M449" s="293"/>
      <c r="N449" s="293"/>
      <c r="O449" s="293"/>
      <c r="P449" s="293"/>
      <c r="Q449" s="293"/>
      <c r="R449" s="293"/>
      <c r="S449" s="293"/>
      <c r="T449" s="293"/>
    </row>
    <row r="450" spans="1:20" s="294" customFormat="1" ht="11.25">
      <c r="A450" s="309"/>
      <c r="E450" s="293"/>
      <c r="F450" s="295"/>
      <c r="G450" s="296"/>
      <c r="H450" s="296"/>
      <c r="K450" s="293"/>
      <c r="M450" s="293"/>
      <c r="N450" s="293"/>
      <c r="O450" s="293"/>
      <c r="P450" s="293"/>
      <c r="Q450" s="293"/>
      <c r="R450" s="293"/>
      <c r="S450" s="293"/>
      <c r="T450" s="293"/>
    </row>
    <row r="451" spans="1:20" s="294" customFormat="1" ht="11.25">
      <c r="A451" s="309"/>
      <c r="E451" s="293"/>
      <c r="F451" s="295"/>
      <c r="G451" s="296"/>
      <c r="H451" s="296"/>
      <c r="K451" s="293"/>
      <c r="M451" s="293"/>
      <c r="N451" s="293"/>
      <c r="O451" s="293"/>
      <c r="P451" s="293"/>
      <c r="Q451" s="293"/>
      <c r="R451" s="293"/>
      <c r="S451" s="293"/>
      <c r="T451" s="293"/>
    </row>
    <row r="452" spans="1:20" s="294" customFormat="1" ht="11.25">
      <c r="A452" s="309"/>
      <c r="E452" s="293"/>
      <c r="F452" s="295"/>
      <c r="G452" s="296"/>
      <c r="H452" s="296"/>
      <c r="K452" s="293"/>
      <c r="M452" s="293"/>
      <c r="N452" s="293"/>
      <c r="O452" s="293"/>
      <c r="P452" s="293"/>
      <c r="Q452" s="293"/>
      <c r="R452" s="293"/>
      <c r="S452" s="293"/>
      <c r="T452" s="293"/>
    </row>
    <row r="453" spans="1:20" s="294" customFormat="1" ht="11.25">
      <c r="A453" s="309"/>
      <c r="E453" s="293"/>
      <c r="F453" s="295"/>
      <c r="G453" s="296"/>
      <c r="H453" s="296"/>
      <c r="K453" s="293"/>
      <c r="M453" s="293"/>
      <c r="N453" s="293"/>
      <c r="O453" s="293"/>
      <c r="P453" s="293"/>
      <c r="Q453" s="293"/>
      <c r="R453" s="293"/>
      <c r="S453" s="293"/>
      <c r="T453" s="293"/>
    </row>
    <row r="454" spans="1:20" s="294" customFormat="1" ht="11.25">
      <c r="A454" s="309"/>
      <c r="E454" s="293"/>
      <c r="F454" s="295"/>
      <c r="G454" s="296"/>
      <c r="H454" s="296"/>
      <c r="K454" s="293"/>
      <c r="M454" s="293"/>
      <c r="N454" s="293"/>
      <c r="O454" s="293"/>
      <c r="P454" s="293"/>
      <c r="Q454" s="293"/>
      <c r="R454" s="293"/>
      <c r="S454" s="293"/>
      <c r="T454" s="293"/>
    </row>
    <row r="455" spans="1:20" s="294" customFormat="1" ht="11.25">
      <c r="A455" s="309"/>
      <c r="E455" s="293"/>
      <c r="F455" s="295"/>
      <c r="G455" s="296"/>
      <c r="H455" s="296"/>
      <c r="K455" s="293"/>
      <c r="M455" s="293"/>
      <c r="N455" s="293"/>
      <c r="O455" s="293"/>
      <c r="P455" s="293"/>
      <c r="Q455" s="293"/>
      <c r="R455" s="293"/>
      <c r="S455" s="293"/>
      <c r="T455" s="293"/>
    </row>
    <row r="456" spans="1:20" s="294" customFormat="1" ht="11.25">
      <c r="A456" s="309"/>
      <c r="E456" s="293"/>
      <c r="F456" s="295"/>
      <c r="G456" s="296"/>
      <c r="H456" s="296"/>
      <c r="K456" s="293"/>
      <c r="M456" s="293"/>
      <c r="N456" s="293"/>
      <c r="O456" s="293"/>
      <c r="P456" s="293"/>
      <c r="Q456" s="293"/>
      <c r="R456" s="293"/>
      <c r="S456" s="293"/>
      <c r="T456" s="293"/>
    </row>
    <row r="457" spans="1:20" s="294" customFormat="1" ht="11.25">
      <c r="A457" s="309"/>
      <c r="E457" s="293"/>
      <c r="F457" s="295"/>
      <c r="G457" s="296"/>
      <c r="H457" s="296"/>
      <c r="K457" s="293"/>
      <c r="M457" s="293"/>
      <c r="N457" s="293"/>
      <c r="O457" s="293"/>
      <c r="P457" s="293"/>
      <c r="Q457" s="293"/>
      <c r="R457" s="293"/>
      <c r="S457" s="293"/>
      <c r="T457" s="293"/>
    </row>
    <row r="458" spans="1:20" s="294" customFormat="1" ht="11.25">
      <c r="A458" s="309"/>
      <c r="E458" s="293"/>
      <c r="F458" s="295"/>
      <c r="G458" s="296"/>
      <c r="H458" s="296"/>
      <c r="K458" s="293"/>
      <c r="M458" s="293"/>
      <c r="N458" s="293"/>
      <c r="O458" s="293"/>
      <c r="P458" s="293"/>
      <c r="Q458" s="293"/>
      <c r="R458" s="293"/>
      <c r="S458" s="293"/>
      <c r="T458" s="293"/>
    </row>
    <row r="459" spans="1:20" s="294" customFormat="1" ht="11.25">
      <c r="A459" s="309"/>
      <c r="E459" s="293"/>
      <c r="F459" s="295"/>
      <c r="G459" s="296"/>
      <c r="H459" s="296"/>
      <c r="K459" s="293"/>
      <c r="M459" s="293"/>
      <c r="N459" s="293"/>
      <c r="O459" s="293"/>
      <c r="P459" s="293"/>
      <c r="Q459" s="293"/>
      <c r="R459" s="293"/>
      <c r="S459" s="293"/>
      <c r="T459" s="293"/>
    </row>
    <row r="460" spans="1:20" s="294" customFormat="1" ht="11.25">
      <c r="A460" s="309"/>
      <c r="E460" s="293"/>
      <c r="F460" s="295"/>
      <c r="G460" s="296"/>
      <c r="H460" s="296"/>
      <c r="K460" s="293"/>
      <c r="M460" s="293"/>
      <c r="N460" s="293"/>
      <c r="O460" s="293"/>
      <c r="P460" s="293"/>
      <c r="Q460" s="293"/>
      <c r="R460" s="293"/>
      <c r="S460" s="293"/>
      <c r="T460" s="293"/>
    </row>
    <row r="461" spans="1:20" s="294" customFormat="1" ht="11.25">
      <c r="A461" s="309"/>
      <c r="E461" s="293"/>
      <c r="F461" s="295"/>
      <c r="G461" s="296"/>
      <c r="H461" s="296"/>
      <c r="K461" s="293"/>
      <c r="M461" s="293"/>
      <c r="N461" s="293"/>
      <c r="O461" s="293"/>
      <c r="P461" s="293"/>
      <c r="Q461" s="293"/>
      <c r="R461" s="293"/>
      <c r="S461" s="293"/>
      <c r="T461" s="293"/>
    </row>
    <row r="462" spans="1:20" s="294" customFormat="1" ht="11.25">
      <c r="A462" s="309"/>
      <c r="E462" s="293"/>
      <c r="F462" s="295"/>
      <c r="G462" s="296"/>
      <c r="H462" s="296"/>
      <c r="K462" s="293"/>
      <c r="M462" s="293"/>
      <c r="N462" s="293"/>
      <c r="O462" s="293"/>
      <c r="P462" s="293"/>
      <c r="Q462" s="293"/>
      <c r="R462" s="293"/>
      <c r="S462" s="293"/>
      <c r="T462" s="293"/>
    </row>
    <row r="463" spans="1:20" s="294" customFormat="1" ht="11.25">
      <c r="A463" s="309"/>
      <c r="E463" s="293"/>
      <c r="F463" s="295"/>
      <c r="G463" s="296"/>
      <c r="H463" s="296"/>
      <c r="K463" s="293"/>
      <c r="M463" s="293"/>
      <c r="N463" s="293"/>
      <c r="O463" s="293"/>
      <c r="P463" s="293"/>
      <c r="Q463" s="293"/>
      <c r="R463" s="293"/>
      <c r="S463" s="293"/>
      <c r="T463" s="293"/>
    </row>
    <row r="464" spans="1:20" s="294" customFormat="1" ht="11.25">
      <c r="A464" s="309"/>
      <c r="E464" s="293"/>
      <c r="F464" s="295"/>
      <c r="G464" s="296"/>
      <c r="H464" s="296"/>
      <c r="K464" s="293"/>
      <c r="M464" s="293"/>
      <c r="N464" s="293"/>
      <c r="O464" s="293"/>
      <c r="P464" s="293"/>
      <c r="Q464" s="293"/>
      <c r="R464" s="293"/>
      <c r="S464" s="293"/>
      <c r="T464" s="293"/>
    </row>
    <row r="465" spans="1:20" s="294" customFormat="1" ht="11.25">
      <c r="A465" s="309"/>
      <c r="E465" s="293"/>
      <c r="F465" s="295"/>
      <c r="G465" s="296"/>
      <c r="H465" s="296"/>
      <c r="K465" s="293"/>
      <c r="M465" s="293"/>
      <c r="N465" s="293"/>
      <c r="O465" s="293"/>
      <c r="P465" s="293"/>
      <c r="Q465" s="293"/>
      <c r="R465" s="293"/>
      <c r="S465" s="293"/>
      <c r="T465" s="293"/>
    </row>
    <row r="466" spans="1:20" s="294" customFormat="1" ht="11.25">
      <c r="A466" s="309"/>
      <c r="E466" s="293"/>
      <c r="F466" s="295"/>
      <c r="G466" s="296"/>
      <c r="H466" s="296"/>
      <c r="K466" s="293"/>
      <c r="M466" s="293"/>
      <c r="N466" s="293"/>
      <c r="O466" s="293"/>
      <c r="P466" s="293"/>
      <c r="Q466" s="293"/>
      <c r="R466" s="293"/>
      <c r="S466" s="293"/>
      <c r="T466" s="293"/>
    </row>
    <row r="467" spans="1:20" s="294" customFormat="1" ht="11.25">
      <c r="A467" s="309"/>
      <c r="E467" s="293"/>
      <c r="F467" s="295"/>
      <c r="G467" s="296"/>
      <c r="H467" s="296"/>
      <c r="K467" s="293"/>
      <c r="M467" s="293"/>
      <c r="N467" s="293"/>
      <c r="O467" s="293"/>
      <c r="P467" s="293"/>
      <c r="Q467" s="293"/>
      <c r="R467" s="293"/>
      <c r="S467" s="293"/>
      <c r="T467" s="293"/>
    </row>
    <row r="468" spans="1:20" s="294" customFormat="1" ht="11.25">
      <c r="A468" s="309"/>
      <c r="E468" s="293"/>
      <c r="F468" s="295"/>
      <c r="G468" s="296"/>
      <c r="H468" s="296"/>
      <c r="K468" s="293"/>
      <c r="M468" s="293"/>
      <c r="N468" s="293"/>
      <c r="O468" s="293"/>
      <c r="P468" s="293"/>
      <c r="Q468" s="293"/>
      <c r="R468" s="293"/>
      <c r="S468" s="293"/>
      <c r="T468" s="293"/>
    </row>
    <row r="469" spans="1:20" s="294" customFormat="1" ht="11.25">
      <c r="A469" s="309"/>
      <c r="E469" s="293"/>
      <c r="F469" s="295"/>
      <c r="G469" s="296"/>
      <c r="H469" s="296"/>
      <c r="K469" s="293"/>
      <c r="M469" s="293"/>
      <c r="N469" s="293"/>
      <c r="O469" s="293"/>
      <c r="P469" s="293"/>
      <c r="Q469" s="293"/>
      <c r="R469" s="293"/>
      <c r="S469" s="293"/>
      <c r="T469" s="293"/>
    </row>
    <row r="470" spans="1:20" s="294" customFormat="1" ht="11.25">
      <c r="A470" s="309"/>
      <c r="E470" s="293"/>
      <c r="F470" s="295"/>
      <c r="G470" s="296"/>
      <c r="H470" s="296"/>
      <c r="K470" s="293"/>
      <c r="M470" s="293"/>
      <c r="N470" s="293"/>
      <c r="O470" s="293"/>
      <c r="P470" s="293"/>
      <c r="Q470" s="293"/>
      <c r="R470" s="293"/>
      <c r="S470" s="293"/>
      <c r="T470" s="293"/>
    </row>
    <row r="471" spans="1:20" s="294" customFormat="1" ht="11.25">
      <c r="A471" s="309"/>
      <c r="E471" s="293"/>
      <c r="F471" s="295"/>
      <c r="G471" s="296"/>
      <c r="H471" s="296"/>
      <c r="K471" s="293"/>
      <c r="M471" s="293"/>
      <c r="N471" s="293"/>
      <c r="O471" s="293"/>
      <c r="P471" s="293"/>
      <c r="Q471" s="293"/>
      <c r="R471" s="293"/>
      <c r="S471" s="293"/>
      <c r="T471" s="293"/>
    </row>
    <row r="472" spans="1:20" s="294" customFormat="1" ht="11.25">
      <c r="A472" s="309"/>
      <c r="E472" s="293"/>
      <c r="F472" s="295"/>
      <c r="G472" s="296"/>
      <c r="H472" s="296"/>
      <c r="K472" s="293"/>
      <c r="M472" s="293"/>
      <c r="N472" s="293"/>
      <c r="O472" s="293"/>
      <c r="P472" s="293"/>
      <c r="Q472" s="293"/>
      <c r="R472" s="293"/>
      <c r="S472" s="293"/>
      <c r="T472" s="293"/>
    </row>
    <row r="473" spans="1:20" s="294" customFormat="1" ht="11.25">
      <c r="A473" s="309"/>
      <c r="E473" s="293"/>
      <c r="F473" s="295"/>
      <c r="G473" s="296"/>
      <c r="H473" s="296"/>
      <c r="K473" s="293"/>
      <c r="M473" s="293"/>
      <c r="N473" s="293"/>
      <c r="O473" s="293"/>
      <c r="P473" s="293"/>
      <c r="Q473" s="293"/>
      <c r="R473" s="293"/>
      <c r="S473" s="293"/>
      <c r="T473" s="293"/>
    </row>
    <row r="474" spans="1:20" s="294" customFormat="1" ht="11.25">
      <c r="A474" s="309"/>
      <c r="E474" s="293"/>
      <c r="F474" s="295"/>
      <c r="G474" s="296"/>
      <c r="H474" s="296"/>
      <c r="K474" s="293"/>
      <c r="M474" s="293"/>
      <c r="N474" s="293"/>
      <c r="O474" s="293"/>
      <c r="P474" s="293"/>
      <c r="Q474" s="293"/>
      <c r="R474" s="293"/>
      <c r="S474" s="293"/>
      <c r="T474" s="293"/>
    </row>
    <row r="475" spans="1:20" s="294" customFormat="1" ht="11.25">
      <c r="A475" s="309"/>
      <c r="E475" s="293"/>
      <c r="F475" s="295"/>
      <c r="G475" s="296"/>
      <c r="H475" s="296"/>
      <c r="K475" s="293"/>
      <c r="M475" s="293"/>
      <c r="N475" s="293"/>
      <c r="O475" s="293"/>
      <c r="P475" s="293"/>
      <c r="Q475" s="293"/>
      <c r="R475" s="293"/>
      <c r="S475" s="293"/>
      <c r="T475" s="293"/>
    </row>
    <row r="476" spans="1:20" s="294" customFormat="1" ht="11.25">
      <c r="A476" s="309"/>
      <c r="E476" s="293"/>
      <c r="F476" s="295"/>
      <c r="G476" s="296"/>
      <c r="H476" s="296"/>
      <c r="K476" s="293"/>
      <c r="M476" s="293"/>
      <c r="N476" s="293"/>
      <c r="O476" s="293"/>
      <c r="P476" s="293"/>
      <c r="Q476" s="293"/>
      <c r="R476" s="293"/>
      <c r="S476" s="293"/>
      <c r="T476" s="293"/>
    </row>
    <row r="477" spans="1:20" s="294" customFormat="1" ht="11.25">
      <c r="A477" s="309"/>
      <c r="E477" s="293"/>
      <c r="F477" s="295"/>
      <c r="G477" s="296"/>
      <c r="H477" s="296"/>
      <c r="K477" s="293"/>
      <c r="M477" s="293"/>
      <c r="N477" s="293"/>
      <c r="O477" s="293"/>
      <c r="P477" s="293"/>
      <c r="Q477" s="293"/>
      <c r="R477" s="293"/>
      <c r="S477" s="293"/>
      <c r="T477" s="293"/>
    </row>
    <row r="478" spans="1:20" s="294" customFormat="1" ht="11.25">
      <c r="A478" s="309"/>
      <c r="E478" s="293"/>
      <c r="F478" s="295"/>
      <c r="G478" s="296"/>
      <c r="H478" s="296"/>
      <c r="K478" s="293"/>
      <c r="M478" s="293"/>
      <c r="N478" s="293"/>
      <c r="O478" s="293"/>
      <c r="P478" s="293"/>
      <c r="Q478" s="293"/>
      <c r="R478" s="293"/>
      <c r="S478" s="293"/>
      <c r="T478" s="293"/>
    </row>
    <row r="479" spans="1:20" s="294" customFormat="1" ht="11.25">
      <c r="A479" s="309"/>
      <c r="E479" s="293"/>
      <c r="F479" s="295"/>
      <c r="G479" s="296"/>
      <c r="H479" s="296"/>
      <c r="K479" s="293"/>
      <c r="M479" s="293"/>
      <c r="N479" s="293"/>
      <c r="O479" s="293"/>
      <c r="P479" s="293"/>
      <c r="Q479" s="293"/>
      <c r="R479" s="293"/>
      <c r="S479" s="293"/>
      <c r="T479" s="293"/>
    </row>
    <row r="480" spans="1:20" s="294" customFormat="1" ht="11.25">
      <c r="A480" s="309"/>
      <c r="E480" s="293"/>
      <c r="F480" s="295"/>
      <c r="G480" s="296"/>
      <c r="H480" s="296"/>
      <c r="K480" s="293"/>
      <c r="M480" s="293"/>
      <c r="N480" s="293"/>
      <c r="O480" s="293"/>
      <c r="P480" s="293"/>
      <c r="Q480" s="293"/>
      <c r="R480" s="293"/>
      <c r="S480" s="293"/>
      <c r="T480" s="293"/>
    </row>
    <row r="481" spans="1:20" s="294" customFormat="1" ht="11.25">
      <c r="A481" s="309"/>
      <c r="E481" s="293"/>
      <c r="F481" s="295"/>
      <c r="G481" s="296"/>
      <c r="H481" s="296"/>
      <c r="K481" s="293"/>
      <c r="M481" s="293"/>
      <c r="N481" s="293"/>
      <c r="O481" s="293"/>
      <c r="P481" s="293"/>
      <c r="Q481" s="293"/>
      <c r="R481" s="293"/>
      <c r="S481" s="293"/>
      <c r="T481" s="293"/>
    </row>
    <row r="482" spans="1:20" s="294" customFormat="1" ht="11.25">
      <c r="A482" s="309"/>
      <c r="E482" s="293"/>
      <c r="F482" s="295"/>
      <c r="G482" s="296"/>
      <c r="H482" s="296"/>
      <c r="K482" s="293"/>
      <c r="M482" s="293"/>
      <c r="N482" s="293"/>
      <c r="O482" s="293"/>
      <c r="P482" s="293"/>
      <c r="Q482" s="293"/>
      <c r="R482" s="293"/>
      <c r="S482" s="293"/>
      <c r="T482" s="293"/>
    </row>
    <row r="483" spans="1:20" s="294" customFormat="1" ht="11.25">
      <c r="A483" s="309"/>
      <c r="E483" s="293"/>
      <c r="F483" s="295"/>
      <c r="G483" s="296"/>
      <c r="H483" s="296"/>
      <c r="K483" s="293"/>
      <c r="M483" s="293"/>
      <c r="N483" s="293"/>
      <c r="O483" s="293"/>
      <c r="P483" s="293"/>
      <c r="Q483" s="293"/>
      <c r="R483" s="293"/>
      <c r="S483" s="293"/>
      <c r="T483" s="293"/>
    </row>
    <row r="484" spans="1:20" s="294" customFormat="1" ht="11.25">
      <c r="A484" s="309"/>
      <c r="E484" s="293"/>
      <c r="F484" s="295"/>
      <c r="G484" s="296"/>
      <c r="H484" s="296"/>
      <c r="K484" s="293"/>
      <c r="M484" s="293"/>
      <c r="N484" s="293"/>
      <c r="O484" s="293"/>
      <c r="P484" s="293"/>
      <c r="Q484" s="293"/>
      <c r="R484" s="293"/>
      <c r="S484" s="293"/>
      <c r="T484" s="293"/>
    </row>
    <row r="485" spans="1:20" s="294" customFormat="1" ht="11.25">
      <c r="A485" s="309"/>
      <c r="E485" s="293"/>
      <c r="F485" s="295"/>
      <c r="G485" s="296"/>
      <c r="H485" s="296"/>
      <c r="K485" s="293"/>
      <c r="M485" s="293"/>
      <c r="N485" s="293"/>
      <c r="O485" s="293"/>
      <c r="P485" s="293"/>
      <c r="Q485" s="293"/>
      <c r="R485" s="293"/>
      <c r="S485" s="293"/>
      <c r="T485" s="293"/>
    </row>
    <row r="486" spans="1:20" s="294" customFormat="1" ht="11.25">
      <c r="A486" s="309"/>
      <c r="E486" s="293"/>
      <c r="F486" s="295"/>
      <c r="G486" s="296"/>
      <c r="H486" s="296"/>
      <c r="K486" s="293"/>
      <c r="M486" s="293"/>
      <c r="N486" s="293"/>
      <c r="O486" s="293"/>
      <c r="P486" s="293"/>
      <c r="Q486" s="293"/>
      <c r="R486" s="293"/>
      <c r="S486" s="293"/>
      <c r="T486" s="293"/>
    </row>
    <row r="487" spans="1:20" s="294" customFormat="1" ht="11.25">
      <c r="A487" s="309"/>
      <c r="E487" s="293"/>
      <c r="F487" s="295"/>
      <c r="G487" s="296"/>
      <c r="H487" s="296"/>
      <c r="K487" s="293"/>
      <c r="M487" s="293"/>
      <c r="N487" s="293"/>
      <c r="O487" s="293"/>
      <c r="P487" s="293"/>
      <c r="Q487" s="293"/>
      <c r="R487" s="293"/>
      <c r="S487" s="293"/>
      <c r="T487" s="293"/>
    </row>
    <row r="488" spans="1:20" s="294" customFormat="1" ht="11.25">
      <c r="A488" s="309"/>
      <c r="E488" s="293"/>
      <c r="F488" s="295"/>
      <c r="G488" s="296"/>
      <c r="H488" s="296"/>
      <c r="K488" s="293"/>
      <c r="M488" s="293"/>
      <c r="N488" s="293"/>
      <c r="O488" s="293"/>
      <c r="P488" s="293"/>
      <c r="Q488" s="293"/>
      <c r="R488" s="293"/>
      <c r="S488" s="293"/>
      <c r="T488" s="293"/>
    </row>
    <row r="489" spans="1:20" s="294" customFormat="1" ht="11.25">
      <c r="A489" s="309"/>
      <c r="E489" s="293"/>
      <c r="F489" s="295"/>
      <c r="G489" s="296"/>
      <c r="H489" s="296"/>
      <c r="K489" s="293"/>
      <c r="M489" s="293"/>
      <c r="N489" s="293"/>
      <c r="O489" s="293"/>
      <c r="P489" s="293"/>
      <c r="Q489" s="293"/>
      <c r="R489" s="293"/>
      <c r="S489" s="293"/>
      <c r="T489" s="293"/>
    </row>
    <row r="490" spans="1:20" s="294" customFormat="1" ht="11.25">
      <c r="A490" s="309"/>
      <c r="E490" s="293"/>
      <c r="F490" s="295"/>
      <c r="G490" s="296"/>
      <c r="H490" s="296"/>
      <c r="K490" s="293"/>
      <c r="M490" s="293"/>
      <c r="N490" s="293"/>
      <c r="O490" s="293"/>
      <c r="P490" s="293"/>
      <c r="Q490" s="293"/>
      <c r="R490" s="293"/>
      <c r="S490" s="293"/>
      <c r="T490" s="293"/>
    </row>
    <row r="491" spans="1:20" s="294" customFormat="1" ht="11.25">
      <c r="A491" s="309"/>
      <c r="E491" s="293"/>
      <c r="F491" s="295"/>
      <c r="G491" s="296"/>
      <c r="H491" s="296"/>
      <c r="K491" s="293"/>
      <c r="M491" s="293"/>
      <c r="N491" s="293"/>
      <c r="O491" s="293"/>
      <c r="P491" s="293"/>
      <c r="Q491" s="293"/>
      <c r="R491" s="293"/>
      <c r="S491" s="293"/>
      <c r="T491" s="293"/>
    </row>
    <row r="492" spans="1:20" s="294" customFormat="1" ht="11.25">
      <c r="A492" s="309"/>
      <c r="E492" s="293"/>
      <c r="F492" s="295"/>
      <c r="G492" s="296"/>
      <c r="H492" s="296"/>
      <c r="K492" s="293"/>
      <c r="M492" s="293"/>
      <c r="N492" s="293"/>
      <c r="O492" s="293"/>
      <c r="P492" s="293"/>
      <c r="Q492" s="293"/>
      <c r="R492" s="293"/>
      <c r="S492" s="293"/>
      <c r="T492" s="293"/>
    </row>
    <row r="493" spans="1:20" s="294" customFormat="1" ht="11.25">
      <c r="A493" s="309"/>
      <c r="E493" s="293"/>
      <c r="F493" s="295"/>
      <c r="G493" s="296"/>
      <c r="H493" s="296"/>
      <c r="K493" s="293"/>
      <c r="M493" s="293"/>
      <c r="N493" s="293"/>
      <c r="O493" s="293"/>
      <c r="P493" s="293"/>
      <c r="Q493" s="293"/>
      <c r="R493" s="293"/>
      <c r="S493" s="293"/>
      <c r="T493" s="293"/>
    </row>
    <row r="494" spans="1:20" s="294" customFormat="1" ht="11.25">
      <c r="A494" s="309"/>
      <c r="E494" s="293"/>
      <c r="F494" s="295"/>
      <c r="G494" s="296"/>
      <c r="H494" s="296"/>
      <c r="K494" s="293"/>
      <c r="M494" s="293"/>
      <c r="N494" s="293"/>
      <c r="O494" s="293"/>
      <c r="P494" s="293"/>
      <c r="Q494" s="293"/>
      <c r="R494" s="293"/>
      <c r="S494" s="293"/>
      <c r="T494" s="293"/>
    </row>
    <row r="495" spans="1:20" s="294" customFormat="1" ht="11.25">
      <c r="A495" s="309"/>
      <c r="E495" s="293"/>
      <c r="F495" s="295"/>
      <c r="G495" s="296"/>
      <c r="H495" s="296"/>
      <c r="K495" s="293"/>
      <c r="M495" s="293"/>
      <c r="N495" s="293"/>
      <c r="O495" s="293"/>
      <c r="P495" s="293"/>
      <c r="Q495" s="293"/>
      <c r="R495" s="293"/>
      <c r="S495" s="293"/>
      <c r="T495" s="293"/>
    </row>
    <row r="496" spans="1:20" s="294" customFormat="1" ht="11.25">
      <c r="A496" s="312"/>
      <c r="E496" s="293"/>
      <c r="F496" s="295"/>
      <c r="G496" s="296"/>
      <c r="H496" s="296"/>
      <c r="K496" s="293"/>
      <c r="M496" s="293"/>
      <c r="N496" s="293"/>
      <c r="O496" s="293"/>
      <c r="P496" s="293"/>
      <c r="Q496" s="293"/>
      <c r="R496" s="293"/>
      <c r="S496" s="293"/>
      <c r="T496" s="293"/>
    </row>
    <row r="497" spans="1:20" s="294" customFormat="1" ht="11.25">
      <c r="A497" s="309"/>
      <c r="E497" s="293"/>
      <c r="F497" s="295"/>
      <c r="G497" s="296"/>
      <c r="H497" s="296"/>
      <c r="K497" s="293"/>
      <c r="M497" s="293"/>
      <c r="N497" s="293"/>
      <c r="O497" s="293"/>
      <c r="P497" s="293"/>
      <c r="Q497" s="293"/>
      <c r="R497" s="293"/>
      <c r="S497" s="293"/>
      <c r="T497" s="293"/>
    </row>
    <row r="498" spans="1:20" s="294" customFormat="1" ht="11.25">
      <c r="A498" s="309"/>
      <c r="E498" s="293"/>
      <c r="F498" s="295"/>
      <c r="G498" s="296"/>
      <c r="H498" s="296"/>
      <c r="K498" s="293"/>
      <c r="M498" s="293"/>
      <c r="N498" s="293"/>
      <c r="O498" s="293"/>
      <c r="P498" s="293"/>
      <c r="Q498" s="293"/>
      <c r="R498" s="293"/>
      <c r="S498" s="293"/>
      <c r="T498" s="293"/>
    </row>
    <row r="499" spans="1:20" s="294" customFormat="1" ht="11.25">
      <c r="A499" s="312"/>
      <c r="E499" s="293"/>
      <c r="F499" s="295"/>
      <c r="G499" s="296"/>
      <c r="H499" s="296"/>
      <c r="K499" s="293"/>
      <c r="M499" s="293"/>
      <c r="N499" s="293"/>
      <c r="O499" s="293"/>
      <c r="P499" s="293"/>
      <c r="Q499" s="293"/>
      <c r="R499" s="293"/>
      <c r="S499" s="293"/>
      <c r="T499" s="293"/>
    </row>
    <row r="500" spans="1:20" s="294" customFormat="1" ht="11.25">
      <c r="A500" s="312"/>
      <c r="E500" s="293"/>
      <c r="F500" s="295"/>
      <c r="G500" s="296"/>
      <c r="H500" s="296"/>
      <c r="K500" s="293"/>
      <c r="M500" s="293"/>
      <c r="N500" s="293"/>
      <c r="O500" s="293"/>
      <c r="P500" s="293"/>
      <c r="Q500" s="293"/>
      <c r="R500" s="293"/>
      <c r="S500" s="293"/>
      <c r="T500" s="293"/>
    </row>
    <row r="501" spans="1:20" s="294" customFormat="1" ht="11.25">
      <c r="A501" s="309"/>
      <c r="E501" s="293"/>
      <c r="F501" s="295"/>
      <c r="G501" s="296"/>
      <c r="H501" s="296"/>
      <c r="K501" s="293"/>
      <c r="M501" s="293"/>
      <c r="N501" s="293"/>
      <c r="O501" s="293"/>
      <c r="P501" s="293"/>
      <c r="Q501" s="293"/>
      <c r="R501" s="293"/>
      <c r="S501" s="293"/>
      <c r="T501" s="293"/>
    </row>
    <row r="502" spans="1:20" s="294" customFormat="1" ht="11.25">
      <c r="A502" s="309"/>
      <c r="E502" s="293"/>
      <c r="F502" s="295"/>
      <c r="G502" s="296"/>
      <c r="H502" s="296"/>
      <c r="K502" s="293"/>
      <c r="M502" s="293"/>
      <c r="N502" s="293"/>
      <c r="O502" s="293"/>
      <c r="P502" s="293"/>
      <c r="Q502" s="293"/>
      <c r="R502" s="293"/>
      <c r="S502" s="293"/>
      <c r="T502" s="293"/>
    </row>
    <row r="503" spans="1:20" s="294" customFormat="1" ht="11.25">
      <c r="A503" s="309"/>
      <c r="E503" s="293"/>
      <c r="F503" s="295"/>
      <c r="G503" s="296"/>
      <c r="H503" s="296"/>
      <c r="K503" s="293"/>
      <c r="M503" s="293"/>
      <c r="N503" s="293"/>
      <c r="O503" s="293"/>
      <c r="P503" s="293"/>
      <c r="Q503" s="293"/>
      <c r="R503" s="293"/>
      <c r="S503" s="293"/>
      <c r="T503" s="293"/>
    </row>
    <row r="504" spans="1:20" s="294" customFormat="1" ht="11.25">
      <c r="A504" s="309"/>
      <c r="E504" s="293"/>
      <c r="F504" s="295"/>
      <c r="G504" s="296"/>
      <c r="H504" s="296"/>
      <c r="K504" s="293"/>
      <c r="M504" s="293"/>
      <c r="N504" s="293"/>
      <c r="O504" s="293"/>
      <c r="P504" s="293"/>
      <c r="Q504" s="293"/>
      <c r="R504" s="293"/>
      <c r="S504" s="293"/>
      <c r="T504" s="293"/>
    </row>
    <row r="505" spans="1:20" s="294" customFormat="1" ht="11.25">
      <c r="A505" s="313"/>
      <c r="E505" s="293"/>
      <c r="F505" s="295"/>
      <c r="G505" s="296"/>
      <c r="H505" s="296"/>
      <c r="K505" s="293"/>
      <c r="M505" s="293"/>
      <c r="N505" s="293"/>
      <c r="O505" s="293"/>
      <c r="P505" s="293"/>
      <c r="Q505" s="293"/>
      <c r="R505" s="293"/>
      <c r="S505" s="293"/>
      <c r="T505" s="293"/>
    </row>
    <row r="506" spans="1:20" s="294" customFormat="1" ht="11.25">
      <c r="A506" s="309"/>
      <c r="E506" s="293"/>
      <c r="F506" s="295"/>
      <c r="G506" s="296"/>
      <c r="H506" s="296"/>
      <c r="K506" s="293"/>
      <c r="M506" s="293"/>
      <c r="N506" s="293"/>
      <c r="O506" s="293"/>
      <c r="P506" s="293"/>
      <c r="Q506" s="293"/>
      <c r="R506" s="293"/>
      <c r="S506" s="293"/>
      <c r="T506" s="293"/>
    </row>
    <row r="507" spans="1:20" s="294" customFormat="1" ht="11.25">
      <c r="A507" s="310"/>
      <c r="E507" s="293"/>
      <c r="F507" s="295"/>
      <c r="G507" s="296"/>
      <c r="H507" s="296"/>
      <c r="K507" s="293"/>
      <c r="M507" s="293"/>
      <c r="N507" s="293"/>
      <c r="O507" s="293"/>
      <c r="P507" s="293"/>
      <c r="Q507" s="293"/>
      <c r="R507" s="293"/>
      <c r="S507" s="293"/>
      <c r="T507" s="293"/>
    </row>
    <row r="508" spans="1:20" s="294" customFormat="1" ht="11.25">
      <c r="A508" s="310"/>
      <c r="E508" s="293"/>
      <c r="F508" s="295"/>
      <c r="G508" s="296"/>
      <c r="H508" s="296"/>
      <c r="K508" s="293"/>
      <c r="M508" s="293"/>
      <c r="N508" s="293"/>
      <c r="O508" s="293"/>
      <c r="P508" s="293"/>
      <c r="Q508" s="293"/>
      <c r="R508" s="293"/>
      <c r="S508" s="293"/>
      <c r="T508" s="293"/>
    </row>
    <row r="509" spans="1:20" s="294" customFormat="1" ht="11.25">
      <c r="A509" s="309"/>
      <c r="E509" s="293"/>
      <c r="F509" s="295"/>
      <c r="G509" s="296"/>
      <c r="H509" s="296"/>
      <c r="K509" s="293"/>
      <c r="M509" s="293"/>
      <c r="N509" s="293"/>
      <c r="O509" s="293"/>
      <c r="P509" s="293"/>
      <c r="Q509" s="293"/>
      <c r="R509" s="293"/>
      <c r="S509" s="293"/>
      <c r="T509" s="293"/>
    </row>
    <row r="510" spans="1:20" s="294" customFormat="1" ht="11.25">
      <c r="A510" s="310"/>
      <c r="E510" s="293"/>
      <c r="F510" s="295"/>
      <c r="G510" s="296"/>
      <c r="H510" s="296"/>
      <c r="K510" s="293"/>
      <c r="M510" s="293"/>
      <c r="N510" s="293"/>
      <c r="O510" s="293"/>
      <c r="P510" s="293"/>
      <c r="Q510" s="293"/>
      <c r="R510" s="293"/>
      <c r="S510" s="293"/>
      <c r="T510" s="293"/>
    </row>
    <row r="511" spans="1:20" s="294" customFormat="1" ht="11.25">
      <c r="A511" s="311"/>
      <c r="E511" s="293"/>
      <c r="F511" s="295"/>
      <c r="G511" s="296"/>
      <c r="H511" s="296"/>
      <c r="K511" s="293"/>
      <c r="M511" s="293"/>
      <c r="N511" s="293"/>
      <c r="O511" s="293"/>
      <c r="P511" s="293"/>
      <c r="Q511" s="293"/>
      <c r="R511" s="293"/>
      <c r="S511" s="293"/>
      <c r="T511" s="293"/>
    </row>
    <row r="512" spans="1:20" s="294" customFormat="1" ht="11.25">
      <c r="A512" s="311"/>
      <c r="E512" s="293"/>
      <c r="F512" s="295"/>
      <c r="G512" s="296"/>
      <c r="H512" s="296"/>
      <c r="K512" s="293"/>
      <c r="M512" s="293"/>
      <c r="N512" s="293"/>
      <c r="O512" s="293"/>
      <c r="P512" s="293"/>
      <c r="Q512" s="293"/>
      <c r="R512" s="293"/>
      <c r="S512" s="293"/>
      <c r="T512" s="293"/>
    </row>
    <row r="513" spans="1:20" s="294" customFormat="1" ht="11.25">
      <c r="A513" s="309"/>
      <c r="E513" s="293"/>
      <c r="F513" s="295"/>
      <c r="G513" s="296"/>
      <c r="H513" s="296"/>
      <c r="K513" s="293"/>
      <c r="M513" s="293"/>
      <c r="N513" s="293"/>
      <c r="O513" s="293"/>
      <c r="P513" s="293"/>
      <c r="Q513" s="293"/>
      <c r="R513" s="293"/>
      <c r="S513" s="293"/>
      <c r="T513" s="293"/>
    </row>
    <row r="514" spans="1:20" s="294" customFormat="1" ht="11.25">
      <c r="A514" s="314"/>
      <c r="E514" s="293"/>
      <c r="F514" s="295"/>
      <c r="G514" s="296"/>
      <c r="H514" s="296"/>
      <c r="K514" s="293"/>
      <c r="M514" s="293"/>
      <c r="N514" s="293"/>
      <c r="O514" s="293"/>
      <c r="P514" s="293"/>
      <c r="Q514" s="293"/>
      <c r="R514" s="293"/>
      <c r="S514" s="293"/>
      <c r="T514" s="293"/>
    </row>
    <row r="515" spans="1:20" s="294" customFormat="1" ht="11.25">
      <c r="A515" s="314"/>
      <c r="E515" s="293"/>
      <c r="F515" s="295"/>
      <c r="G515" s="296"/>
      <c r="H515" s="296"/>
      <c r="K515" s="293"/>
      <c r="M515" s="293"/>
      <c r="N515" s="293"/>
      <c r="O515" s="293"/>
      <c r="P515" s="293"/>
      <c r="Q515" s="293"/>
      <c r="R515" s="293"/>
      <c r="S515" s="293"/>
      <c r="T515" s="293"/>
    </row>
    <row r="516" spans="1:20" s="294" customFormat="1" ht="11.25">
      <c r="A516" s="312"/>
      <c r="E516" s="293"/>
      <c r="F516" s="295"/>
      <c r="G516" s="296"/>
      <c r="H516" s="296"/>
      <c r="K516" s="293"/>
      <c r="M516" s="293"/>
      <c r="N516" s="293"/>
      <c r="O516" s="293"/>
      <c r="P516" s="293"/>
      <c r="Q516" s="293"/>
      <c r="R516" s="293"/>
      <c r="S516" s="293"/>
      <c r="T516" s="293"/>
    </row>
    <row r="517" spans="1:20" s="294" customFormat="1" ht="11.25">
      <c r="A517" s="313"/>
      <c r="E517" s="293"/>
      <c r="F517" s="295"/>
      <c r="G517" s="296"/>
      <c r="H517" s="296"/>
      <c r="K517" s="293"/>
      <c r="M517" s="293"/>
      <c r="N517" s="293"/>
      <c r="O517" s="293"/>
      <c r="P517" s="293"/>
      <c r="Q517" s="293"/>
      <c r="R517" s="293"/>
      <c r="S517" s="293"/>
      <c r="T517" s="293"/>
    </row>
    <row r="518" spans="1:20" s="294" customFormat="1" ht="11.25">
      <c r="A518" s="309"/>
      <c r="E518" s="293"/>
      <c r="F518" s="295"/>
      <c r="G518" s="296"/>
      <c r="H518" s="296"/>
      <c r="K518" s="293"/>
      <c r="M518" s="293"/>
      <c r="N518" s="293"/>
      <c r="O518" s="293"/>
      <c r="P518" s="293"/>
      <c r="Q518" s="293"/>
      <c r="R518" s="293"/>
      <c r="S518" s="293"/>
      <c r="T518" s="293"/>
    </row>
    <row r="519" spans="1:20" s="294" customFormat="1" ht="11.25">
      <c r="A519" s="310"/>
      <c r="E519" s="293"/>
      <c r="F519" s="295"/>
      <c r="G519" s="296"/>
      <c r="H519" s="296"/>
      <c r="K519" s="293"/>
      <c r="M519" s="293"/>
      <c r="N519" s="293"/>
      <c r="O519" s="293"/>
      <c r="P519" s="293"/>
      <c r="Q519" s="293"/>
      <c r="R519" s="293"/>
      <c r="S519" s="293"/>
      <c r="T519" s="293"/>
    </row>
    <row r="520" spans="1:20" s="294" customFormat="1" ht="11.25">
      <c r="A520" s="310"/>
      <c r="E520" s="293"/>
      <c r="F520" s="295"/>
      <c r="G520" s="296"/>
      <c r="H520" s="296"/>
      <c r="K520" s="293"/>
      <c r="M520" s="293"/>
      <c r="N520" s="293"/>
      <c r="O520" s="293"/>
      <c r="P520" s="293"/>
      <c r="Q520" s="293"/>
      <c r="R520" s="293"/>
      <c r="S520" s="293"/>
      <c r="T520" s="293"/>
    </row>
    <row r="521" spans="1:20" s="294" customFormat="1" ht="11.25">
      <c r="A521" s="309"/>
      <c r="E521" s="293"/>
      <c r="F521" s="295"/>
      <c r="G521" s="296"/>
      <c r="H521" s="296"/>
      <c r="K521" s="293"/>
      <c r="M521" s="293"/>
      <c r="N521" s="293"/>
      <c r="O521" s="293"/>
      <c r="P521" s="293"/>
      <c r="Q521" s="293"/>
      <c r="R521" s="293"/>
      <c r="S521" s="293"/>
      <c r="T521" s="293"/>
    </row>
    <row r="522" spans="1:20" s="294" customFormat="1" ht="11.25">
      <c r="A522" s="309"/>
      <c r="E522" s="293"/>
      <c r="F522" s="295"/>
      <c r="G522" s="296"/>
      <c r="H522" s="296"/>
      <c r="K522" s="293"/>
      <c r="M522" s="293"/>
      <c r="N522" s="293"/>
      <c r="O522" s="293"/>
      <c r="P522" s="293"/>
      <c r="Q522" s="293"/>
      <c r="R522" s="293"/>
      <c r="S522" s="293"/>
      <c r="T522" s="293"/>
    </row>
    <row r="523" spans="1:20" s="294" customFormat="1" ht="11.25">
      <c r="A523" s="309"/>
      <c r="E523" s="293"/>
      <c r="F523" s="295"/>
      <c r="G523" s="296"/>
      <c r="H523" s="296"/>
      <c r="K523" s="293"/>
      <c r="M523" s="293"/>
      <c r="N523" s="293"/>
      <c r="O523" s="293"/>
      <c r="P523" s="293"/>
      <c r="Q523" s="293"/>
      <c r="R523" s="293"/>
      <c r="S523" s="293"/>
      <c r="T523" s="293"/>
    </row>
    <row r="524" spans="1:20" s="294" customFormat="1" ht="11.25">
      <c r="A524" s="314"/>
      <c r="E524" s="293"/>
      <c r="F524" s="295"/>
      <c r="G524" s="296"/>
      <c r="H524" s="296"/>
      <c r="K524" s="293"/>
      <c r="M524" s="293"/>
      <c r="N524" s="293"/>
      <c r="O524" s="293"/>
      <c r="P524" s="293"/>
      <c r="Q524" s="293"/>
      <c r="R524" s="293"/>
      <c r="S524" s="293"/>
      <c r="T524" s="293"/>
    </row>
    <row r="525" spans="1:20" s="294" customFormat="1" ht="11.25">
      <c r="A525" s="315"/>
      <c r="E525" s="293"/>
      <c r="F525" s="295"/>
      <c r="G525" s="296"/>
      <c r="H525" s="296"/>
      <c r="K525" s="293"/>
      <c r="M525" s="293"/>
      <c r="N525" s="293"/>
      <c r="O525" s="293"/>
      <c r="P525" s="293"/>
      <c r="Q525" s="293"/>
      <c r="R525" s="293"/>
      <c r="S525" s="293"/>
      <c r="T525" s="293"/>
    </row>
    <row r="526" spans="1:20" s="294" customFormat="1" ht="11.25">
      <c r="A526" s="315"/>
      <c r="E526" s="293"/>
      <c r="F526" s="295"/>
      <c r="G526" s="296"/>
      <c r="H526" s="296"/>
      <c r="K526" s="293"/>
      <c r="M526" s="293"/>
      <c r="N526" s="293"/>
      <c r="O526" s="293"/>
      <c r="P526" s="293"/>
      <c r="Q526" s="293"/>
      <c r="R526" s="293"/>
      <c r="S526" s="293"/>
      <c r="T526" s="293"/>
    </row>
    <row r="527" spans="1:20" s="294" customFormat="1" ht="11.25">
      <c r="A527" s="314"/>
      <c r="E527" s="293"/>
      <c r="F527" s="295"/>
      <c r="G527" s="296"/>
      <c r="H527" s="296"/>
      <c r="K527" s="293"/>
      <c r="M527" s="293"/>
      <c r="N527" s="293"/>
      <c r="O527" s="293"/>
      <c r="P527" s="293"/>
      <c r="Q527" s="293"/>
      <c r="R527" s="293"/>
      <c r="S527" s="293"/>
      <c r="T527" s="293"/>
    </row>
    <row r="528" spans="1:20" ht="11.25">
      <c r="A528" s="315"/>
    </row>
    <row r="529" spans="1:1" ht="11.25">
      <c r="A529" s="315"/>
    </row>
  </sheetData>
  <pageMargins left="0.75" right="0.75" top="1" bottom="1" header="0.5" footer="0.5"/>
  <pageSetup scale="72" fitToHeight="6" orientation="portrait" r:id="rId1"/>
  <headerFooter alignWithMargins="0">
    <oddFooter xml:space="preserve">&amp;L&amp;F - &amp;A
&amp;RPage &amp;P of &amp;N
</oddFooter>
  </headerFooter>
  <rowBreaks count="6" manualBreakCount="6">
    <brk id="51" max="5" man="1"/>
    <brk id="102" max="5" man="1"/>
    <brk id="159" max="5" man="1"/>
    <brk id="212" max="5" man="1"/>
    <brk id="258" max="5" man="1"/>
    <brk id="300" max="5"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234"/>
  <sheetViews>
    <sheetView showGridLines="0" view="pageBreakPreview" topLeftCell="A91" zoomScale="85" zoomScaleNormal="100" zoomScaleSheetLayoutView="85" workbookViewId="0">
      <selection activeCell="AI26" sqref="AI26"/>
    </sheetView>
  </sheetViews>
  <sheetFormatPr defaultRowHeight="12.75"/>
  <cols>
    <col min="1" max="1" width="17.85546875" style="569" customWidth="1"/>
    <col min="2" max="2" width="26.5703125" style="569" bestFit="1" customWidth="1"/>
    <col min="3" max="3" width="9.28515625" style="570" bestFit="1" customWidth="1"/>
    <col min="4" max="4" width="3.5703125" style="483" customWidth="1"/>
    <col min="5" max="5" width="12.7109375" style="483" bestFit="1" customWidth="1"/>
    <col min="6" max="6" width="3.5703125" style="483" customWidth="1"/>
    <col min="7" max="7" width="9.5703125" style="674" customWidth="1"/>
    <col min="8" max="8" width="2.85546875" style="483" customWidth="1"/>
    <col min="9" max="9" width="8.85546875" style="504" customWidth="1"/>
    <col min="10" max="10" width="3" style="483" customWidth="1"/>
    <col min="11" max="11" width="13" style="504" customWidth="1"/>
    <col min="12" max="12" width="3.42578125" style="504" customWidth="1"/>
    <col min="13" max="13" width="10.140625" style="504" bestFit="1" customWidth="1"/>
    <col min="14" max="14" width="3.85546875" style="504" customWidth="1"/>
    <col min="15" max="15" width="12.42578125" style="504" customWidth="1"/>
    <col min="16" max="16" width="11" style="483" bestFit="1" customWidth="1"/>
    <col min="17" max="16384" width="9.140625" style="483"/>
  </cols>
  <sheetData>
    <row r="1" spans="1:19">
      <c r="A1" s="568" t="s">
        <v>489</v>
      </c>
    </row>
    <row r="2" spans="1:19">
      <c r="A2" s="568" t="s">
        <v>490</v>
      </c>
    </row>
    <row r="3" spans="1:19">
      <c r="A3" s="568" t="s">
        <v>491</v>
      </c>
    </row>
    <row r="4" spans="1:19">
      <c r="A4" s="568"/>
    </row>
    <row r="5" spans="1:19" ht="30" customHeight="1">
      <c r="A5" s="1400" t="s">
        <v>1245</v>
      </c>
      <c r="B5" s="1400"/>
      <c r="C5" s="1400"/>
      <c r="D5" s="1400"/>
      <c r="E5" s="1400"/>
      <c r="F5" s="681"/>
      <c r="G5" s="681"/>
    </row>
    <row r="6" spans="1:19">
      <c r="A6" s="483"/>
      <c r="B6" s="483"/>
      <c r="D6" s="571"/>
      <c r="E6" s="1399" t="s">
        <v>496</v>
      </c>
      <c r="F6" s="1399"/>
      <c r="G6" s="1399"/>
      <c r="I6" s="684">
        <f>'LG Regulated'!D40</f>
        <v>3.553611937551375E-2</v>
      </c>
      <c r="J6" s="667"/>
      <c r="K6" s="671"/>
      <c r="L6" s="671"/>
      <c r="M6" s="671"/>
      <c r="N6" s="671"/>
      <c r="O6" s="671"/>
      <c r="P6" s="681"/>
      <c r="Q6" s="681"/>
      <c r="R6" s="681"/>
    </row>
    <row r="7" spans="1:19" ht="38.25">
      <c r="A7" s="572" t="s">
        <v>492</v>
      </c>
      <c r="B7" s="573" t="s">
        <v>493</v>
      </c>
      <c r="C7" s="574" t="s">
        <v>494</v>
      </c>
      <c r="E7" s="666" t="s">
        <v>1340</v>
      </c>
      <c r="F7" s="568"/>
      <c r="G7" s="675" t="s">
        <v>497</v>
      </c>
      <c r="I7" s="672" t="s">
        <v>1336</v>
      </c>
      <c r="J7" s="665"/>
      <c r="K7" s="672" t="s">
        <v>1337</v>
      </c>
      <c r="L7" s="682"/>
      <c r="M7" s="672" t="s">
        <v>1338</v>
      </c>
      <c r="N7" s="682"/>
      <c r="O7" s="672" t="s">
        <v>1339</v>
      </c>
    </row>
    <row r="8" spans="1:19">
      <c r="A8" s="575" t="s">
        <v>495</v>
      </c>
      <c r="B8" s="576"/>
      <c r="C8" s="577"/>
      <c r="D8" s="578"/>
      <c r="E8" s="578"/>
      <c r="F8" s="578"/>
      <c r="G8" s="676"/>
      <c r="H8" s="578"/>
      <c r="I8" s="669"/>
      <c r="J8" s="578"/>
      <c r="K8" s="669"/>
      <c r="L8" s="669"/>
      <c r="M8" s="669"/>
      <c r="N8" s="669"/>
      <c r="O8" s="669"/>
    </row>
    <row r="9" spans="1:19">
      <c r="A9" s="579"/>
      <c r="B9" s="580"/>
      <c r="E9" s="581"/>
      <c r="G9" s="677"/>
      <c r="I9" s="673"/>
      <c r="J9" s="581"/>
      <c r="K9" s="673"/>
      <c r="L9" s="673"/>
      <c r="M9" s="673"/>
      <c r="N9" s="673"/>
      <c r="O9" s="673"/>
    </row>
    <row r="10" spans="1:19">
      <c r="A10" s="582" t="s">
        <v>393</v>
      </c>
      <c r="B10" s="582"/>
      <c r="C10" s="583"/>
      <c r="D10" s="584"/>
      <c r="E10" s="584"/>
      <c r="F10" s="584"/>
      <c r="G10" s="678"/>
      <c r="H10" s="584"/>
      <c r="I10" s="670"/>
      <c r="J10" s="584"/>
      <c r="K10" s="670"/>
      <c r="L10" s="670"/>
      <c r="M10" s="670"/>
      <c r="N10" s="670"/>
      <c r="O10" s="670"/>
    </row>
    <row r="11" spans="1:19">
      <c r="A11" s="585" t="s">
        <v>498</v>
      </c>
      <c r="B11" s="585" t="s">
        <v>499</v>
      </c>
      <c r="C11" s="570">
        <f>+ROUND('Proposed Rates'!B60,2)</f>
        <v>7.73</v>
      </c>
      <c r="D11" s="570"/>
      <c r="E11" s="586">
        <f>+IFERROR(VLOOKUP(A11,'[51]Data Pivots'!$J$7:$Q$303,8,FALSE),0)+IFERROR(VLOOKUP(A11,'[51]Data Pivots'!$O$311:$AB$633,14,FALSE),0)</f>
        <v>21515.950000000004</v>
      </c>
      <c r="G11" s="674">
        <f t="shared" ref="G11:G44" si="0">+IFERROR((E11/C11)/12,0)</f>
        <v>231.95288917636915</v>
      </c>
      <c r="I11" s="504">
        <f>+$I$6*C11</f>
        <v>0.27469420277272133</v>
      </c>
      <c r="J11" s="586"/>
      <c r="K11" s="504">
        <f>+G11*I11*12</f>
        <v>764.59336767758532</v>
      </c>
      <c r="M11" s="504">
        <f>+C11+I11</f>
        <v>8.0046942027727219</v>
      </c>
      <c r="O11" s="504">
        <f>+E11+K11</f>
        <v>22280.54336767759</v>
      </c>
      <c r="Q11" s="599"/>
      <c r="S11" s="599"/>
    </row>
    <row r="12" spans="1:19">
      <c r="A12" s="585" t="s">
        <v>500</v>
      </c>
      <c r="B12" s="585" t="s">
        <v>501</v>
      </c>
      <c r="C12" s="570">
        <f>+ROUND('Proposed Rates'!B59,2)</f>
        <v>10.24</v>
      </c>
      <c r="D12" s="570"/>
      <c r="E12" s="586">
        <f>+IFERROR(VLOOKUP(A12,'[51]Data Pivots'!$J$7:$Q$303,8,FALSE),0)+IFERROR(VLOOKUP(A12,'[51]Data Pivots'!$O$311:$AB$633,14,FALSE),0)</f>
        <v>77073.25</v>
      </c>
      <c r="G12" s="674">
        <f t="shared" si="0"/>
        <v>627.22371419270837</v>
      </c>
      <c r="I12" s="504">
        <f t="shared" ref="I12:I44" si="1">+$I$6*C12</f>
        <v>0.36388986240526083</v>
      </c>
      <c r="J12" s="586"/>
      <c r="K12" s="504">
        <f t="shared" ref="K12:K44" si="2">+G12*I12*12</f>
        <v>2738.8842126588152</v>
      </c>
      <c r="M12" s="504">
        <f t="shared" ref="M12:M44" si="3">+C12+I12</f>
        <v>10.603889862405261</v>
      </c>
      <c r="O12" s="504">
        <f t="shared" ref="O12:O44" si="4">+E12+K12</f>
        <v>79812.134212658813</v>
      </c>
      <c r="Q12" s="599"/>
      <c r="S12" s="599"/>
    </row>
    <row r="13" spans="1:19">
      <c r="A13" s="585" t="s">
        <v>502</v>
      </c>
      <c r="B13" s="585" t="s">
        <v>503</v>
      </c>
      <c r="C13" s="570">
        <f>+ROUND('Proposed Rates'!B72,2)</f>
        <v>8.84</v>
      </c>
      <c r="D13" s="570"/>
      <c r="E13" s="586">
        <f>+IFERROR(VLOOKUP(A13,'[51]Data Pivots'!$J$7:$Q$303,8,FALSE),0)+IFERROR(VLOOKUP(A13,'[51]Data Pivots'!$O$311:$AB$633,14,FALSE),0)</f>
        <v>901835.3600000001</v>
      </c>
      <c r="G13" s="674">
        <f t="shared" si="0"/>
        <v>8501.4645550527912</v>
      </c>
      <c r="I13" s="504">
        <f t="shared" si="1"/>
        <v>0.31413929527954154</v>
      </c>
      <c r="J13" s="586"/>
      <c r="K13" s="504">
        <f t="shared" si="2"/>
        <v>32047.729010019422</v>
      </c>
      <c r="M13" s="504">
        <f t="shared" si="3"/>
        <v>9.154139295279542</v>
      </c>
      <c r="O13" s="504">
        <f t="shared" si="4"/>
        <v>933883.08901001955</v>
      </c>
      <c r="Q13" s="599"/>
      <c r="S13" s="599"/>
    </row>
    <row r="14" spans="1:19">
      <c r="A14" s="585" t="s">
        <v>504</v>
      </c>
      <c r="B14" s="585" t="s">
        <v>505</v>
      </c>
      <c r="C14" s="570">
        <f>+ROUND('Proposed Rates'!B71,2)</f>
        <v>4.8</v>
      </c>
      <c r="D14" s="570"/>
      <c r="E14" s="586">
        <f>+IFERROR(VLOOKUP(A14,'[51]Data Pivots'!$J$7:$Q$303,8,FALSE),0)+IFERROR(VLOOKUP(A14,'[51]Data Pivots'!$O$311:$AB$633,14,FALSE),0)</f>
        <v>77229.990000000005</v>
      </c>
      <c r="G14" s="674">
        <f t="shared" si="0"/>
        <v>1340.7984375000001</v>
      </c>
      <c r="I14" s="504">
        <f t="shared" si="1"/>
        <v>0.170573373002466</v>
      </c>
      <c r="J14" s="586"/>
      <c r="K14" s="504">
        <f t="shared" si="2"/>
        <v>2744.4541440097337</v>
      </c>
      <c r="M14" s="504">
        <f t="shared" si="3"/>
        <v>4.9705733730024662</v>
      </c>
      <c r="O14" s="504">
        <f t="shared" si="4"/>
        <v>79974.444144009743</v>
      </c>
      <c r="Q14" s="599"/>
      <c r="S14" s="599"/>
    </row>
    <row r="15" spans="1:19">
      <c r="A15" s="585" t="s">
        <v>506</v>
      </c>
      <c r="B15" s="585" t="s">
        <v>507</v>
      </c>
      <c r="C15" s="570">
        <f>+ROUND('Proposed Rates'!B61,2)</f>
        <v>13.01</v>
      </c>
      <c r="D15" s="570"/>
      <c r="E15" s="586">
        <f>+IFERROR(VLOOKUP(A15,'[51]Data Pivots'!$J$7:$Q$303,8,FALSE),0)+IFERROR(VLOOKUP(A15,'[51]Data Pivots'!$O$311:$AB$633,14,FALSE),0)</f>
        <v>6659357.0099999998</v>
      </c>
      <c r="G15" s="674">
        <f t="shared" si="0"/>
        <v>42655.374135280552</v>
      </c>
      <c r="I15" s="504">
        <f t="shared" si="1"/>
        <v>0.46232491307543389</v>
      </c>
      <c r="J15" s="586"/>
      <c r="K15" s="504">
        <f>+G15*I15*12</f>
        <v>236647.70567152434</v>
      </c>
      <c r="M15" s="504">
        <f t="shared" si="3"/>
        <v>13.472324913075434</v>
      </c>
      <c r="O15" s="504">
        <f t="shared" si="4"/>
        <v>6896004.7156715244</v>
      </c>
      <c r="Q15" s="599"/>
      <c r="S15" s="599"/>
    </row>
    <row r="16" spans="1:19">
      <c r="A16" s="585" t="s">
        <v>508</v>
      </c>
      <c r="B16" s="585" t="s">
        <v>509</v>
      </c>
      <c r="C16" s="570">
        <f>+ROUND('Proposed Rates'!B62,2)</f>
        <v>18.940000000000001</v>
      </c>
      <c r="D16" s="570"/>
      <c r="E16" s="586">
        <f>+IFERROR(VLOOKUP(A16,'[51]Data Pivots'!$J$7:$Q$303,8,FALSE),0)+IFERROR(VLOOKUP(A16,'[51]Data Pivots'!$O$311:$AB$633,14,FALSE),0)</f>
        <v>2396517.1999999997</v>
      </c>
      <c r="G16" s="674">
        <f t="shared" si="0"/>
        <v>10544.338261175641</v>
      </c>
      <c r="I16" s="504">
        <f t="shared" si="1"/>
        <v>0.67305410097223051</v>
      </c>
      <c r="J16" s="586"/>
      <c r="K16" s="504">
        <f t="shared" si="2"/>
        <v>85162.921304671952</v>
      </c>
      <c r="M16" s="504">
        <f t="shared" si="3"/>
        <v>19.613054100972231</v>
      </c>
      <c r="O16" s="504">
        <f t="shared" si="4"/>
        <v>2481680.1213046717</v>
      </c>
      <c r="Q16" s="599"/>
      <c r="S16" s="599"/>
    </row>
    <row r="17" spans="1:19">
      <c r="A17" s="585" t="s">
        <v>510</v>
      </c>
      <c r="B17" s="585" t="s">
        <v>511</v>
      </c>
      <c r="C17" s="570">
        <f>+ROUND('Proposed Rates'!B63,2)</f>
        <v>28.07</v>
      </c>
      <c r="D17" s="570"/>
      <c r="E17" s="586">
        <f>+IFERROR(VLOOKUP(A17,'[51]Data Pivots'!$J$7:$Q$303,8,FALSE),0)+IFERROR(VLOOKUP(A17,'[51]Data Pivots'!$O$311:$AB$633,14,FALSE),0)</f>
        <v>232291.3</v>
      </c>
      <c r="G17" s="674">
        <f t="shared" si="0"/>
        <v>689.61910699441876</v>
      </c>
      <c r="I17" s="504">
        <f t="shared" si="1"/>
        <v>0.99749887087067102</v>
      </c>
      <c r="J17" s="586"/>
      <c r="K17" s="504">
        <f t="shared" si="2"/>
        <v>8254.7313666932787</v>
      </c>
      <c r="M17" s="504">
        <f t="shared" si="3"/>
        <v>29.067498870870672</v>
      </c>
      <c r="O17" s="504">
        <f t="shared" si="4"/>
        <v>240546.03136669326</v>
      </c>
      <c r="Q17" s="599"/>
      <c r="S17" s="599"/>
    </row>
    <row r="18" spans="1:19">
      <c r="A18" s="585" t="s">
        <v>512</v>
      </c>
      <c r="B18" s="585" t="s">
        <v>513</v>
      </c>
      <c r="C18" s="570">
        <f>+ROUND('Proposed Rates'!B64,2)</f>
        <v>34.880000000000003</v>
      </c>
      <c r="D18" s="570"/>
      <c r="E18" s="586">
        <f>+IFERROR(VLOOKUP(A18,'[51]Data Pivots'!$J$7:$Q$303,8,FALSE),0)+IFERROR(VLOOKUP(A18,'[51]Data Pivots'!$O$311:$AB$633,14,FALSE),0)</f>
        <v>51410.560000000005</v>
      </c>
      <c r="G18" s="674">
        <f t="shared" si="0"/>
        <v>122.82721712538226</v>
      </c>
      <c r="I18" s="504">
        <f t="shared" si="1"/>
        <v>1.2394998438179197</v>
      </c>
      <c r="J18" s="586"/>
      <c r="K18" s="504">
        <f t="shared" si="2"/>
        <v>1826.9317973220122</v>
      </c>
      <c r="M18" s="504">
        <f t="shared" si="3"/>
        <v>36.11949984381792</v>
      </c>
      <c r="O18" s="504">
        <f t="shared" si="4"/>
        <v>53237.491797322014</v>
      </c>
      <c r="Q18" s="599"/>
      <c r="S18" s="599"/>
    </row>
    <row r="19" spans="1:19">
      <c r="A19" s="585" t="s">
        <v>514</v>
      </c>
      <c r="B19" s="585" t="s">
        <v>515</v>
      </c>
      <c r="C19" s="570">
        <f>+ROUND('Proposed Rates'!B65,2)</f>
        <v>43.54</v>
      </c>
      <c r="D19" s="570"/>
      <c r="E19" s="586">
        <f>+IFERROR(VLOOKUP(A19,'[51]Data Pivots'!$J$7:$Q$303,8,FALSE),0)+IFERROR(VLOOKUP(A19,'[51]Data Pivots'!$O$311:$AB$633,14,FALSE),0)</f>
        <v>8185.53</v>
      </c>
      <c r="G19" s="674">
        <f t="shared" si="0"/>
        <v>15.666685806155259</v>
      </c>
      <c r="I19" s="504">
        <f t="shared" si="1"/>
        <v>1.5472426376098687</v>
      </c>
      <c r="J19" s="586"/>
      <c r="K19" s="504">
        <f t="shared" si="2"/>
        <v>290.88197123184904</v>
      </c>
      <c r="M19" s="504">
        <f t="shared" si="3"/>
        <v>45.087242637609869</v>
      </c>
      <c r="O19" s="504">
        <f t="shared" si="4"/>
        <v>8476.4119712318479</v>
      </c>
      <c r="Q19" s="599"/>
      <c r="S19" s="599"/>
    </row>
    <row r="20" spans="1:19">
      <c r="A20" s="585" t="s">
        <v>516</v>
      </c>
      <c r="B20" s="585" t="s">
        <v>517</v>
      </c>
      <c r="C20" s="570">
        <f>+ROUND('Proposed Rates'!B66,2)</f>
        <v>52.29</v>
      </c>
      <c r="D20" s="570"/>
      <c r="E20" s="586">
        <f>+IFERROR(VLOOKUP(A20,'[51]Data Pivots'!$J$7:$Q$303,8,FALSE),0)+IFERROR(VLOOKUP(A20,'[51]Data Pivots'!$O$311:$AB$633,14,FALSE),0)</f>
        <v>2954.38</v>
      </c>
      <c r="G20" s="674">
        <f t="shared" si="0"/>
        <v>4.7083253649518708</v>
      </c>
      <c r="I20" s="504">
        <f t="shared" si="1"/>
        <v>1.8581836821456139</v>
      </c>
      <c r="J20" s="586"/>
      <c r="K20" s="504">
        <f t="shared" si="2"/>
        <v>104.98720036063031</v>
      </c>
      <c r="M20" s="504">
        <f t="shared" si="3"/>
        <v>54.148183682145614</v>
      </c>
      <c r="O20" s="504">
        <f t="shared" si="4"/>
        <v>3059.3672003606302</v>
      </c>
      <c r="Q20" s="599"/>
      <c r="S20" s="599"/>
    </row>
    <row r="21" spans="1:19">
      <c r="A21" s="585" t="s">
        <v>518</v>
      </c>
      <c r="B21" s="585" t="s">
        <v>519</v>
      </c>
      <c r="C21" s="570">
        <f>+ROUND('Proposed Rates'!B67,2)</f>
        <v>60.59</v>
      </c>
      <c r="D21" s="570"/>
      <c r="E21" s="586">
        <f>+IFERROR(VLOOKUP(A21,'[51]Data Pivots'!$J$7:$Q$303,8,FALSE),0)+IFERROR(VLOOKUP(A21,'[51]Data Pivots'!$O$311:$AB$633,14,FALSE),0)</f>
        <v>1711.67</v>
      </c>
      <c r="G21" s="674">
        <f t="shared" si="0"/>
        <v>2.3541701050778454</v>
      </c>
      <c r="I21" s="504">
        <f t="shared" si="1"/>
        <v>2.1531334729623781</v>
      </c>
      <c r="J21" s="586"/>
      <c r="K21" s="504">
        <f t="shared" si="2"/>
        <v>60.826109451485607</v>
      </c>
      <c r="M21" s="504">
        <f t="shared" si="3"/>
        <v>62.743133472962384</v>
      </c>
      <c r="O21" s="504">
        <f t="shared" si="4"/>
        <v>1772.4961094514856</v>
      </c>
      <c r="Q21" s="599"/>
      <c r="S21" s="599"/>
    </row>
    <row r="22" spans="1:19">
      <c r="A22" s="585" t="s">
        <v>520</v>
      </c>
      <c r="B22" s="585" t="s">
        <v>521</v>
      </c>
      <c r="C22" s="570">
        <f>+ROUND('Proposed Rates'!B68,2)</f>
        <v>66.540000000000006</v>
      </c>
      <c r="D22" s="570"/>
      <c r="E22" s="586">
        <f>+IFERROR(VLOOKUP(A22,'[51]Data Pivots'!$J$7:$Q$303,8,FALSE),0)+IFERROR(VLOOKUP(A22,'[51]Data Pivots'!$O$311:$AB$633,14,FALSE),0)</f>
        <v>3193.92</v>
      </c>
      <c r="G22" s="674">
        <f t="shared" si="0"/>
        <v>4</v>
      </c>
      <c r="I22" s="504">
        <f t="shared" si="1"/>
        <v>2.3645733832466851</v>
      </c>
      <c r="J22" s="586"/>
      <c r="K22" s="504">
        <f t="shared" si="2"/>
        <v>113.49952239584088</v>
      </c>
      <c r="M22" s="504">
        <f t="shared" si="3"/>
        <v>68.904573383246685</v>
      </c>
      <c r="O22" s="504">
        <f t="shared" si="4"/>
        <v>3307.4195223958409</v>
      </c>
      <c r="Q22" s="599"/>
      <c r="S22" s="599"/>
    </row>
    <row r="23" spans="1:19">
      <c r="A23" s="585" t="s">
        <v>523</v>
      </c>
      <c r="B23" s="585" t="s">
        <v>524</v>
      </c>
      <c r="C23" s="570">
        <f>+ROUND('Proposed Rates'!B76,2)</f>
        <v>3.59</v>
      </c>
      <c r="D23" s="570"/>
      <c r="E23" s="586">
        <f>+IFERROR(VLOOKUP(A23,'[51]Data Pivots'!$J$7:$Q$303,8,FALSE),0)+IFERROR(VLOOKUP(A23,'[51]Data Pivots'!$O$311:$AB$633,14,FALSE),0)</f>
        <v>472838.69000000006</v>
      </c>
      <c r="G23" s="674">
        <f t="shared" si="0"/>
        <v>10975.828458681526</v>
      </c>
      <c r="I23" s="504">
        <f t="shared" si="1"/>
        <v>0.12757466855809435</v>
      </c>
      <c r="J23" s="586"/>
      <c r="K23" s="504">
        <f t="shared" si="2"/>
        <v>16802.852133201544</v>
      </c>
      <c r="M23" s="504">
        <f t="shared" si="3"/>
        <v>3.7175746685580942</v>
      </c>
      <c r="O23" s="504">
        <f t="shared" si="4"/>
        <v>489641.54213320161</v>
      </c>
      <c r="Q23" s="599"/>
      <c r="S23" s="599"/>
    </row>
    <row r="24" spans="1:19">
      <c r="A24" s="585" t="s">
        <v>525</v>
      </c>
      <c r="B24" s="585" t="s">
        <v>526</v>
      </c>
      <c r="C24" s="570">
        <f>+ROUND('Proposed Rates'!B81,2)</f>
        <v>4.8</v>
      </c>
      <c r="D24" s="570"/>
      <c r="E24" s="586">
        <f>+IFERROR(VLOOKUP(A24,'[51]Data Pivots'!$J$7:$Q$303,8,FALSE),0)+IFERROR(VLOOKUP(A24,'[51]Data Pivots'!$O$311:$AB$633,14,FALSE),0)</f>
        <v>19978.34</v>
      </c>
      <c r="G24" s="674">
        <f t="shared" si="0"/>
        <v>346.84618055555558</v>
      </c>
      <c r="I24" s="504">
        <f t="shared" si="1"/>
        <v>0.170573373002466</v>
      </c>
      <c r="J24" s="586"/>
      <c r="K24" s="504">
        <f t="shared" si="2"/>
        <v>709.95267516460149</v>
      </c>
      <c r="M24" s="504">
        <f t="shared" si="3"/>
        <v>4.9705733730024662</v>
      </c>
      <c r="O24" s="504">
        <f t="shared" si="4"/>
        <v>20688.292675164601</v>
      </c>
      <c r="Q24" s="599"/>
      <c r="S24" s="599"/>
    </row>
    <row r="25" spans="1:19">
      <c r="A25" s="585" t="s">
        <v>527</v>
      </c>
      <c r="B25" s="585" t="s">
        <v>528</v>
      </c>
      <c r="C25" s="570">
        <f>+ROUND('Proposed Rates'!B20,2)</f>
        <v>4.66</v>
      </c>
      <c r="D25" s="570"/>
      <c r="E25" s="586">
        <f>+IFERROR(VLOOKUP(A25,'[51]Data Pivots'!$J$7:$Q$303,8,FALSE),0)+IFERROR(VLOOKUP(A25,'[51]Data Pivots'!$O$311:$AB$633,14,FALSE),0)</f>
        <v>53240.5</v>
      </c>
      <c r="G25" s="674">
        <f t="shared" si="0"/>
        <v>952.08333333333337</v>
      </c>
      <c r="I25" s="504">
        <f t="shared" si="1"/>
        <v>0.16559831628989408</v>
      </c>
      <c r="J25" s="586"/>
      <c r="K25" s="504">
        <f t="shared" si="2"/>
        <v>1891.96076361204</v>
      </c>
      <c r="M25" s="504">
        <f t="shared" si="3"/>
        <v>4.8255983162898941</v>
      </c>
      <c r="O25" s="504">
        <f t="shared" si="4"/>
        <v>55132.460763612042</v>
      </c>
      <c r="Q25" s="599"/>
      <c r="S25" s="599"/>
    </row>
    <row r="26" spans="1:19">
      <c r="A26" s="585" t="s">
        <v>529</v>
      </c>
      <c r="B26" s="585" t="s">
        <v>528</v>
      </c>
      <c r="C26" s="570">
        <f>+ROUND('Proposed Rates'!B20,2)</f>
        <v>4.66</v>
      </c>
      <c r="D26" s="570"/>
      <c r="E26" s="586">
        <f>+IFERROR(VLOOKUP(A26,'[51]Data Pivots'!$J$7:$Q$303,8,FALSE),0)+IFERROR(VLOOKUP(A26,'[51]Data Pivots'!$O$311:$AB$633,14,FALSE),0)</f>
        <v>438.04</v>
      </c>
      <c r="G26" s="674">
        <f t="shared" si="0"/>
        <v>7.833333333333333</v>
      </c>
      <c r="I26" s="504">
        <f t="shared" si="1"/>
        <v>0.16559831628989408</v>
      </c>
      <c r="J26" s="586"/>
      <c r="K26" s="504">
        <f t="shared" si="2"/>
        <v>15.566241731250042</v>
      </c>
      <c r="M26" s="504">
        <f t="shared" si="3"/>
        <v>4.8255983162898941</v>
      </c>
      <c r="O26" s="504">
        <f t="shared" si="4"/>
        <v>453.60624173125007</v>
      </c>
      <c r="Q26" s="599"/>
      <c r="S26" s="599"/>
    </row>
    <row r="27" spans="1:19">
      <c r="A27" s="585" t="s">
        <v>530</v>
      </c>
      <c r="B27" s="585" t="s">
        <v>531</v>
      </c>
      <c r="C27" s="570">
        <f>+ROUND('Proposed Rates'!B36*References!C11,2)</f>
        <v>1.34</v>
      </c>
      <c r="D27" s="570"/>
      <c r="E27" s="586">
        <f>+IFERROR(VLOOKUP(A27,'[51]Data Pivots'!$J$7:$Q$303,8,FALSE),0)+IFERROR(VLOOKUP(A27,'[51]Data Pivots'!$O$311:$AB$633,14,FALSE),0)</f>
        <v>2242.19</v>
      </c>
      <c r="G27" s="674">
        <f t="shared" si="0"/>
        <v>139.43967661691542</v>
      </c>
      <c r="I27" s="504">
        <f t="shared" si="1"/>
        <v>4.7618399963188431E-2</v>
      </c>
      <c r="J27" s="586"/>
      <c r="K27" s="504">
        <f t="shared" si="2"/>
        <v>79.67873150258319</v>
      </c>
      <c r="M27" s="504">
        <f t="shared" si="3"/>
        <v>1.3876183999631886</v>
      </c>
      <c r="O27" s="504">
        <f t="shared" si="4"/>
        <v>2321.8687315025832</v>
      </c>
      <c r="Q27" s="599"/>
      <c r="S27" s="599"/>
    </row>
    <row r="28" spans="1:19">
      <c r="A28" s="585" t="s">
        <v>532</v>
      </c>
      <c r="B28" s="585" t="s">
        <v>533</v>
      </c>
      <c r="C28" s="1371">
        <f>+ROUND(('Proposed Rates'!B36*References!C11)+('Proposed Rates'!B37*References!C11),2)</f>
        <v>2.68</v>
      </c>
      <c r="D28" s="570"/>
      <c r="E28" s="586">
        <f>+IFERROR(VLOOKUP(A28,'[51]Data Pivots'!$J$7:$Q$303,8,FALSE),0)+IFERROR(VLOOKUP(A28,'[51]Data Pivots'!$O$311:$AB$633,14,FALSE),0)</f>
        <v>1740.6399999999999</v>
      </c>
      <c r="G28" s="674">
        <f t="shared" si="0"/>
        <v>54.124378109452728</v>
      </c>
      <c r="I28" s="504">
        <f t="shared" si="1"/>
        <v>9.5236799926376861E-2</v>
      </c>
      <c r="J28" s="586"/>
      <c r="K28" s="504">
        <f t="shared" si="2"/>
        <v>61.855590829794252</v>
      </c>
      <c r="M28" s="504">
        <f t="shared" si="3"/>
        <v>2.7752367999263772</v>
      </c>
      <c r="O28" s="504">
        <f t="shared" si="4"/>
        <v>1802.4955908297941</v>
      </c>
      <c r="Q28" s="599"/>
      <c r="S28" s="599"/>
    </row>
    <row r="29" spans="1:19">
      <c r="A29" s="585" t="s">
        <v>534</v>
      </c>
      <c r="B29" s="585" t="s">
        <v>535</v>
      </c>
      <c r="C29" s="570">
        <f>+ROUND(('Proposed Rates'!B36*References!C11)+(('Proposed Rates'!B37*References!C11)*2),2)</f>
        <v>4.03</v>
      </c>
      <c r="D29" s="570"/>
      <c r="E29" s="586">
        <f>+IFERROR(VLOOKUP(A29,'[51]Data Pivots'!$J$7:$Q$303,8,FALSE),0)+IFERROR(VLOOKUP(A29,'[51]Data Pivots'!$O$311:$AB$633,14,FALSE),0)</f>
        <v>243.54000000000002</v>
      </c>
      <c r="G29" s="674">
        <f t="shared" si="0"/>
        <v>5.0359801488833744</v>
      </c>
      <c r="I29" s="504">
        <f t="shared" si="1"/>
        <v>0.14321056108332042</v>
      </c>
      <c r="J29" s="586"/>
      <c r="K29" s="504">
        <f t="shared" si="2"/>
        <v>8.6544665127126184</v>
      </c>
      <c r="M29" s="504">
        <f t="shared" si="3"/>
        <v>4.1732105610833203</v>
      </c>
      <c r="O29" s="504">
        <f t="shared" si="4"/>
        <v>252.19446651271264</v>
      </c>
      <c r="Q29" s="599"/>
      <c r="S29" s="599"/>
    </row>
    <row r="30" spans="1:19">
      <c r="A30" s="585" t="s">
        <v>536</v>
      </c>
      <c r="B30" s="585" t="s">
        <v>537</v>
      </c>
      <c r="C30" s="570">
        <f>+ROUND(('Proposed Rates'!B36*References!C11)+(('Proposed Rates'!B37*References!C11)*3),2)</f>
        <v>5.37</v>
      </c>
      <c r="D30" s="570"/>
      <c r="E30" s="586">
        <f>+IFERROR(VLOOKUP(A30,'[51]Data Pivots'!$J$7:$Q$303,8,FALSE),0)+IFERROR(VLOOKUP(A30,'[51]Data Pivots'!$O$311:$AB$633,14,FALSE),0)</f>
        <v>667.22</v>
      </c>
      <c r="G30" s="674">
        <f t="shared" si="0"/>
        <v>10.354127870887647</v>
      </c>
      <c r="I30" s="504">
        <f t="shared" si="1"/>
        <v>0.19082896104650884</v>
      </c>
      <c r="J30" s="586"/>
      <c r="K30" s="504">
        <f t="shared" si="2"/>
        <v>23.710409569730281</v>
      </c>
      <c r="M30" s="504">
        <f t="shared" si="3"/>
        <v>5.5608289610465089</v>
      </c>
      <c r="O30" s="504">
        <f t="shared" si="4"/>
        <v>690.93040956973027</v>
      </c>
      <c r="Q30" s="599"/>
      <c r="S30" s="599"/>
    </row>
    <row r="31" spans="1:19">
      <c r="A31" s="585" t="s">
        <v>538</v>
      </c>
      <c r="B31" s="585" t="s">
        <v>539</v>
      </c>
      <c r="C31" s="570">
        <f>+ROUND(('Proposed Rates'!B36*References!C11)+(('Proposed Rates'!B37*References!C11)*4),2)</f>
        <v>6.71</v>
      </c>
      <c r="D31" s="570"/>
      <c r="E31" s="586">
        <f>+IFERROR(VLOOKUP(A31,'[51]Data Pivots'!$J$7:$Q$303,8,FALSE),0)+IFERROR(VLOOKUP(A31,'[51]Data Pivots'!$O$311:$AB$633,14,FALSE),0)</f>
        <v>241.56</v>
      </c>
      <c r="G31" s="674">
        <f t="shared" si="0"/>
        <v>3</v>
      </c>
      <c r="I31" s="504">
        <f t="shared" si="1"/>
        <v>0.23844736100969727</v>
      </c>
      <c r="J31" s="586"/>
      <c r="K31" s="504">
        <f t="shared" si="2"/>
        <v>8.584104996349101</v>
      </c>
      <c r="M31" s="504">
        <f t="shared" si="3"/>
        <v>6.9484473610096975</v>
      </c>
      <c r="O31" s="504">
        <f t="shared" si="4"/>
        <v>250.14410499634911</v>
      </c>
      <c r="Q31" s="599"/>
      <c r="S31" s="599"/>
    </row>
    <row r="32" spans="1:19">
      <c r="A32" s="585" t="s">
        <v>540</v>
      </c>
      <c r="B32" s="585" t="s">
        <v>541</v>
      </c>
      <c r="C32" s="1371">
        <f>'Proposed Rates'!B44*References!C11</f>
        <v>7.4476000000000004</v>
      </c>
      <c r="D32" s="570"/>
      <c r="E32" s="586">
        <f>+IFERROR(VLOOKUP(A32,'[51]Data Pivots'!$J$7:$Q$303,8,FALSE),0)+IFERROR(VLOOKUP(A32,'[51]Data Pivots'!$O$311:$AB$633,14,FALSE),0)</f>
        <v>96.66</v>
      </c>
      <c r="G32" s="674">
        <f t="shared" si="0"/>
        <v>1.0815564745689885</v>
      </c>
      <c r="I32" s="504">
        <f t="shared" si="1"/>
        <v>0.26465880266107622</v>
      </c>
      <c r="J32" s="586"/>
      <c r="K32" s="504">
        <f t="shared" si="2"/>
        <v>3.4349212988371587</v>
      </c>
      <c r="M32" s="504">
        <f t="shared" si="3"/>
        <v>7.7122588026610766</v>
      </c>
      <c r="O32" s="504">
        <f t="shared" si="4"/>
        <v>100.09492129883715</v>
      </c>
      <c r="Q32" s="599"/>
      <c r="S32" s="599"/>
    </row>
    <row r="33" spans="1:19">
      <c r="A33" s="585" t="s">
        <v>542</v>
      </c>
      <c r="B33" s="585" t="s">
        <v>543</v>
      </c>
      <c r="C33" s="570">
        <f>C32+C27</f>
        <v>8.7876000000000012</v>
      </c>
      <c r="D33" s="570"/>
      <c r="E33" s="586">
        <f>+IFERROR(VLOOKUP(A33,'[51]Data Pivots'!$J$7:$Q$303,8,FALSE),0)+IFERROR(VLOOKUP(A33,'[51]Data Pivots'!$O$311:$AB$633,14,FALSE),0)</f>
        <v>108.03999999999999</v>
      </c>
      <c r="G33" s="674">
        <f t="shared" si="0"/>
        <v>1.0245497443367166</v>
      </c>
      <c r="I33" s="504">
        <f t="shared" si="1"/>
        <v>0.31227720262426467</v>
      </c>
      <c r="J33" s="586"/>
      <c r="K33" s="504">
        <f t="shared" si="2"/>
        <v>3.8393223373305054</v>
      </c>
      <c r="M33" s="504">
        <f t="shared" si="3"/>
        <v>9.0998772026242651</v>
      </c>
      <c r="O33" s="504">
        <f t="shared" si="4"/>
        <v>111.87932233733049</v>
      </c>
      <c r="Q33" s="599"/>
      <c r="S33" s="599"/>
    </row>
    <row r="34" spans="1:19">
      <c r="A34" s="585" t="s">
        <v>544</v>
      </c>
      <c r="B34" s="585" t="s">
        <v>545</v>
      </c>
      <c r="C34" s="570">
        <f>+ROUND('Proposed Rates'!B44*References!C11,2)</f>
        <v>7.45</v>
      </c>
      <c r="D34" s="570"/>
      <c r="E34" s="586">
        <f>+IFERROR(VLOOKUP(A34,'[51]Data Pivots'!$J$7:$Q$303,8,FALSE),0)+IFERROR(VLOOKUP(A34,'[51]Data Pivots'!$O$311:$AB$633,14,FALSE),0)</f>
        <v>8591.4299999999985</v>
      </c>
      <c r="G34" s="674">
        <f t="shared" si="0"/>
        <v>96.101006711409369</v>
      </c>
      <c r="I34" s="504">
        <f t="shared" si="1"/>
        <v>0.26474408934757743</v>
      </c>
      <c r="J34" s="586"/>
      <c r="K34" s="504">
        <f t="shared" si="2"/>
        <v>305.30608208637</v>
      </c>
      <c r="M34" s="504">
        <f t="shared" si="3"/>
        <v>7.7147440893475778</v>
      </c>
      <c r="O34" s="504">
        <f t="shared" si="4"/>
        <v>8896.7360820863687</v>
      </c>
      <c r="Q34" s="599"/>
      <c r="S34" s="599"/>
    </row>
    <row r="35" spans="1:19">
      <c r="A35" s="585" t="s">
        <v>546</v>
      </c>
      <c r="B35" s="585" t="s">
        <v>547</v>
      </c>
      <c r="C35" s="570">
        <f>+'Proposed Rates'!B14</f>
        <v>10</v>
      </c>
      <c r="D35" s="570"/>
      <c r="E35" s="586">
        <f>+IFERROR(VLOOKUP(A35,'[51]Data Pivots'!$J$7:$Q$303,8,FALSE),0)+IFERROR(VLOOKUP(A35,'[51]Data Pivots'!$O$311:$AB$633,14,FALSE),0)</f>
        <v>32700</v>
      </c>
      <c r="G35" s="674">
        <f t="shared" si="0"/>
        <v>272.5</v>
      </c>
      <c r="I35" s="504">
        <f t="shared" si="1"/>
        <v>0.35536119375513753</v>
      </c>
      <c r="J35" s="586"/>
      <c r="K35" s="504">
        <f t="shared" si="2"/>
        <v>1162.0311035792997</v>
      </c>
      <c r="M35" s="504">
        <f t="shared" si="3"/>
        <v>10.355361193755137</v>
      </c>
      <c r="O35" s="504">
        <f t="shared" si="4"/>
        <v>33862.031103579298</v>
      </c>
      <c r="Q35" s="599"/>
      <c r="S35" s="599"/>
    </row>
    <row r="36" spans="1:19">
      <c r="A36" s="585" t="s">
        <v>548</v>
      </c>
      <c r="B36" s="585" t="s">
        <v>549</v>
      </c>
      <c r="C36" s="570">
        <f>+'Proposed Rates'!B93</f>
        <v>86.88</v>
      </c>
      <c r="D36" s="570"/>
      <c r="E36" s="586">
        <f>+IFERROR(VLOOKUP(A36,'[51]Data Pivots'!$J$7:$Q$303,8,FALSE),0)+IFERROR(VLOOKUP(A36,'[51]Data Pivots'!$O$311:$AB$633,14,FALSE),0)</f>
        <v>13216.26</v>
      </c>
      <c r="G36" s="674">
        <f t="shared" si="0"/>
        <v>12.67673802946593</v>
      </c>
      <c r="I36" s="504">
        <f t="shared" si="1"/>
        <v>3.0873780513446345</v>
      </c>
      <c r="J36" s="586"/>
      <c r="K36" s="504">
        <f t="shared" si="2"/>
        <v>469.65459305782736</v>
      </c>
      <c r="M36" s="504">
        <f t="shared" si="3"/>
        <v>89.967378051344625</v>
      </c>
      <c r="O36" s="504">
        <f t="shared" si="4"/>
        <v>13685.914593057827</v>
      </c>
      <c r="Q36" s="599"/>
      <c r="S36" s="599"/>
    </row>
    <row r="37" spans="1:19">
      <c r="A37" s="585" t="s">
        <v>550</v>
      </c>
      <c r="B37" s="585" t="s">
        <v>551</v>
      </c>
      <c r="C37" s="570">
        <f>+'Proposed Rates'!B105</f>
        <v>95.6</v>
      </c>
      <c r="D37" s="570"/>
      <c r="E37" s="586">
        <f>+IFERROR(VLOOKUP(A37,'[51]Data Pivots'!$J$7:$Q$303,8,FALSE),0)+IFERROR(VLOOKUP(A37,'[51]Data Pivots'!$O$311:$AB$633,14,FALSE),0)</f>
        <v>584.85</v>
      </c>
      <c r="G37" s="674">
        <f t="shared" si="0"/>
        <v>0.50980648535564865</v>
      </c>
      <c r="I37" s="504">
        <f t="shared" si="1"/>
        <v>3.3972530122991142</v>
      </c>
      <c r="J37" s="586"/>
      <c r="K37" s="504">
        <f t="shared" si="2"/>
        <v>20.783299416769218</v>
      </c>
      <c r="M37" s="504">
        <f t="shared" si="3"/>
        <v>98.997253012299112</v>
      </c>
      <c r="O37" s="504">
        <f t="shared" si="4"/>
        <v>605.6332994167692</v>
      </c>
      <c r="Q37" s="599"/>
      <c r="S37" s="599"/>
    </row>
    <row r="38" spans="1:19">
      <c r="A38" s="585" t="s">
        <v>552</v>
      </c>
      <c r="B38" s="585" t="s">
        <v>553</v>
      </c>
      <c r="C38" s="570">
        <f>+'Proposed Rates'!B92</f>
        <v>60.4</v>
      </c>
      <c r="D38" s="570"/>
      <c r="E38" s="586">
        <f>+IFERROR(VLOOKUP(A38,'[51]Data Pivots'!$J$7:$Q$303,8,FALSE),0)+IFERROR(VLOOKUP(A38,'[51]Data Pivots'!$O$311:$AB$633,14,FALSE),0)</f>
        <v>1909.91</v>
      </c>
      <c r="G38" s="674">
        <f t="shared" si="0"/>
        <v>2.6350855408388525</v>
      </c>
      <c r="I38" s="504">
        <f t="shared" si="1"/>
        <v>2.1463816102810305</v>
      </c>
      <c r="J38" s="586"/>
      <c r="K38" s="504">
        <f t="shared" si="2"/>
        <v>67.870789756487483</v>
      </c>
      <c r="M38" s="504">
        <f t="shared" si="3"/>
        <v>62.546381610281031</v>
      </c>
      <c r="O38" s="504">
        <f t="shared" si="4"/>
        <v>1977.7807897564876</v>
      </c>
      <c r="Q38" s="599"/>
      <c r="S38" s="599"/>
    </row>
    <row r="39" spans="1:19">
      <c r="A39" s="585" t="s">
        <v>554</v>
      </c>
      <c r="B39" s="585" t="s">
        <v>555</v>
      </c>
      <c r="C39" s="570">
        <f>+ROUND('Proposed Rates'!B28,2)</f>
        <v>10.5</v>
      </c>
      <c r="D39" s="570"/>
      <c r="E39" s="586">
        <f>+IFERROR(VLOOKUP(A39,'[51]Data Pivots'!$J$7:$Q$303,8,FALSE),0)+IFERROR(VLOOKUP(A39,'[51]Data Pivots'!$O$311:$AB$633,14,FALSE),0)</f>
        <v>650.53</v>
      </c>
      <c r="G39" s="674">
        <f t="shared" si="0"/>
        <v>5.1629365079365082</v>
      </c>
      <c r="I39" s="504">
        <f t="shared" si="1"/>
        <v>0.37312925344289438</v>
      </c>
      <c r="J39" s="586"/>
      <c r="K39" s="504">
        <f t="shared" si="2"/>
        <v>23.11731173735296</v>
      </c>
      <c r="M39" s="504">
        <f t="shared" si="3"/>
        <v>10.873129253442894</v>
      </c>
      <c r="O39" s="504">
        <f t="shared" si="4"/>
        <v>673.64731173735288</v>
      </c>
      <c r="Q39" s="599"/>
      <c r="S39" s="599"/>
    </row>
    <row r="40" spans="1:19">
      <c r="A40" s="585" t="s">
        <v>556</v>
      </c>
      <c r="B40" s="585" t="s">
        <v>557</v>
      </c>
      <c r="C40" s="570">
        <f>+'Proposed Rates'!B84</f>
        <v>16.12</v>
      </c>
      <c r="D40" s="570"/>
      <c r="E40" s="586">
        <f>+IFERROR(VLOOKUP(A40,'[51]Data Pivots'!$J$7:$Q$303,8,FALSE),0)+IFERROR(VLOOKUP(A40,'[51]Data Pivots'!$O$311:$AB$633,14,FALSE),0)</f>
        <v>15544.64</v>
      </c>
      <c r="G40" s="674">
        <f t="shared" si="0"/>
        <v>80.358974358974351</v>
      </c>
      <c r="I40" s="504">
        <f t="shared" si="1"/>
        <v>0.57284224433328168</v>
      </c>
      <c r="J40" s="586"/>
      <c r="K40" s="504">
        <f t="shared" si="2"/>
        <v>552.39618268938602</v>
      </c>
      <c r="M40" s="504">
        <f t="shared" si="3"/>
        <v>16.692842244333281</v>
      </c>
      <c r="O40" s="504">
        <f t="shared" si="4"/>
        <v>16097.036182689386</v>
      </c>
      <c r="Q40" s="599"/>
      <c r="S40" s="599"/>
    </row>
    <row r="41" spans="1:19">
      <c r="A41" s="585" t="s">
        <v>558</v>
      </c>
      <c r="B41" s="585" t="s">
        <v>559</v>
      </c>
      <c r="C41" s="1371">
        <f>+ROUND('Proposed Rates'!$B$84,2)</f>
        <v>16.12</v>
      </c>
      <c r="D41" s="570"/>
      <c r="E41" s="586">
        <f>+IFERROR(VLOOKUP(A41,'[51]Data Pivots'!$J$7:$Q$303,8,FALSE),0)+IFERROR(VLOOKUP(A41,'[51]Data Pivots'!$O$311:$AB$633,14,FALSE),0)</f>
        <v>2654.05</v>
      </c>
      <c r="G41" s="674">
        <f t="shared" si="0"/>
        <v>13.720275020678246</v>
      </c>
      <c r="I41" s="504">
        <f t="shared" si="1"/>
        <v>0.57284224433328168</v>
      </c>
      <c r="J41" s="586"/>
      <c r="K41" s="504">
        <f t="shared" si="2"/>
        <v>94.314637628582275</v>
      </c>
      <c r="M41" s="504">
        <f t="shared" si="3"/>
        <v>16.692842244333281</v>
      </c>
      <c r="O41" s="504">
        <f t="shared" si="4"/>
        <v>2748.3646376285824</v>
      </c>
      <c r="Q41" s="599"/>
      <c r="S41" s="599"/>
    </row>
    <row r="42" spans="1:19">
      <c r="A42" s="585" t="s">
        <v>560</v>
      </c>
      <c r="B42" s="585" t="s">
        <v>561</v>
      </c>
      <c r="C42" s="1371">
        <f>+ROUND('Proposed Rates'!$B$84,2)</f>
        <v>16.12</v>
      </c>
      <c r="D42" s="570"/>
      <c r="E42" s="586">
        <f>+IFERROR(VLOOKUP(A42,'[51]Data Pivots'!$J$7:$Q$303,8,FALSE),0)+IFERROR(VLOOKUP(A42,'[51]Data Pivots'!$O$311:$AB$633,14,FALSE),0)</f>
        <v>34.5</v>
      </c>
      <c r="G42" s="674">
        <f t="shared" si="0"/>
        <v>0.1783498759305211</v>
      </c>
      <c r="I42" s="504">
        <f t="shared" si="1"/>
        <v>0.57284224433328168</v>
      </c>
      <c r="J42" s="586"/>
      <c r="K42" s="504">
        <f t="shared" si="2"/>
        <v>1.2259961184552244</v>
      </c>
      <c r="M42" s="504">
        <f t="shared" si="3"/>
        <v>16.692842244333281</v>
      </c>
      <c r="O42" s="504">
        <f t="shared" si="4"/>
        <v>35.725996118455221</v>
      </c>
      <c r="Q42" s="599"/>
      <c r="S42" s="599"/>
    </row>
    <row r="43" spans="1:19">
      <c r="A43" s="585" t="s">
        <v>562</v>
      </c>
      <c r="B43" s="585" t="s">
        <v>563</v>
      </c>
      <c r="C43" s="1371">
        <f>+ROUND('Proposed Rates'!B84,2)</f>
        <v>16.12</v>
      </c>
      <c r="D43" s="570"/>
      <c r="E43" s="586">
        <f>+IFERROR(VLOOKUP(A43,'[51]Data Pivots'!$J$7:$Q$303,8,FALSE),0)+IFERROR(VLOOKUP(A43,'[51]Data Pivots'!$O$311:$AB$633,14,FALSE),0)</f>
        <v>4384.6400000000003</v>
      </c>
      <c r="G43" s="674">
        <f t="shared" si="0"/>
        <v>22.666666666666668</v>
      </c>
      <c r="I43" s="504">
        <f t="shared" si="1"/>
        <v>0.57284224433328168</v>
      </c>
      <c r="J43" s="586"/>
      <c r="K43" s="504">
        <f t="shared" si="2"/>
        <v>155.81309045865262</v>
      </c>
      <c r="M43" s="504">
        <f t="shared" si="3"/>
        <v>16.692842244333281</v>
      </c>
      <c r="O43" s="504">
        <f t="shared" si="4"/>
        <v>4540.4530904586527</v>
      </c>
      <c r="Q43" s="599"/>
      <c r="S43" s="599"/>
    </row>
    <row r="44" spans="1:19">
      <c r="A44" s="585" t="s">
        <v>564</v>
      </c>
      <c r="B44" s="585" t="s">
        <v>565</v>
      </c>
      <c r="C44" s="1371">
        <f>+ROUND('Proposed Rates'!B84,2)</f>
        <v>16.12</v>
      </c>
      <c r="D44" s="570"/>
      <c r="E44" s="586">
        <f>+IFERROR(VLOOKUP(A44,'[51]Data Pivots'!$J$7:$Q$303,8,FALSE),0)+IFERROR(VLOOKUP(A44,'[51]Data Pivots'!$O$311:$AB$633,14,FALSE),0)</f>
        <v>10970.96</v>
      </c>
      <c r="G44" s="674">
        <f t="shared" si="0"/>
        <v>56.715053763440856</v>
      </c>
      <c r="I44" s="504">
        <f t="shared" si="1"/>
        <v>0.57284224433328168</v>
      </c>
      <c r="J44" s="586"/>
      <c r="K44" s="504">
        <f t="shared" si="2"/>
        <v>389.86534422398631</v>
      </c>
      <c r="M44" s="504">
        <f t="shared" si="3"/>
        <v>16.692842244333281</v>
      </c>
      <c r="O44" s="504">
        <f t="shared" si="4"/>
        <v>11360.825344223986</v>
      </c>
      <c r="Q44" s="599"/>
      <c r="S44" s="599"/>
    </row>
    <row r="45" spans="1:19">
      <c r="A45" s="587"/>
      <c r="B45" s="587"/>
    </row>
    <row r="46" spans="1:19">
      <c r="A46" s="588"/>
      <c r="B46" s="589" t="s">
        <v>566</v>
      </c>
      <c r="E46" s="590">
        <f>+SUM(E11:E45)</f>
        <v>11076353.310000001</v>
      </c>
      <c r="F46" s="591"/>
      <c r="G46" s="679">
        <f>+SUM(G11:G45)</f>
        <v>77800.203965603534</v>
      </c>
      <c r="H46" s="683"/>
      <c r="I46" s="679"/>
      <c r="J46" s="590"/>
      <c r="K46" s="679">
        <f>+SUM(K11:K45)</f>
        <v>393610.61346952681</v>
      </c>
      <c r="L46" s="679"/>
      <c r="M46" s="679">
        <f>+SUM(M11:M45)</f>
        <v>781.80408883275243</v>
      </c>
      <c r="N46" s="679"/>
      <c r="O46" s="679">
        <f>+SUM(O11:O45)</f>
        <v>11469963.923469525</v>
      </c>
      <c r="P46" s="599"/>
    </row>
    <row r="47" spans="1:19">
      <c r="A47" s="588"/>
      <c r="B47" s="588"/>
      <c r="K47" s="1150"/>
    </row>
    <row r="48" spans="1:19">
      <c r="A48" s="575" t="s">
        <v>567</v>
      </c>
      <c r="B48" s="576"/>
      <c r="C48" s="577"/>
      <c r="D48" s="578"/>
      <c r="E48" s="578"/>
      <c r="F48" s="578"/>
      <c r="G48" s="676"/>
      <c r="H48" s="578"/>
      <c r="I48" s="669"/>
      <c r="J48" s="578"/>
      <c r="K48" s="669"/>
      <c r="L48" s="669"/>
      <c r="M48" s="669"/>
      <c r="N48" s="669"/>
      <c r="O48" s="669"/>
    </row>
    <row r="49" spans="1:19">
      <c r="A49" s="579"/>
      <c r="B49" s="579"/>
    </row>
    <row r="50" spans="1:19">
      <c r="A50" s="582" t="s">
        <v>1246</v>
      </c>
      <c r="B50" s="582"/>
      <c r="C50" s="583"/>
      <c r="D50" s="584"/>
      <c r="E50" s="584"/>
      <c r="F50" s="584"/>
      <c r="G50" s="678"/>
      <c r="H50" s="584"/>
      <c r="I50" s="670"/>
      <c r="J50" s="584"/>
      <c r="K50" s="670"/>
      <c r="L50" s="670"/>
      <c r="M50" s="670"/>
      <c r="N50" s="670"/>
      <c r="O50" s="670"/>
    </row>
    <row r="51" spans="1:19">
      <c r="A51" s="585" t="s">
        <v>568</v>
      </c>
      <c r="B51" s="585" t="s">
        <v>569</v>
      </c>
      <c r="C51" s="570">
        <f>+ROUND('Proposed Rates'!B173*References!C11,2)</f>
        <v>73.180000000000007</v>
      </c>
      <c r="D51" s="570"/>
      <c r="E51" s="586">
        <f>+IFERROR(VLOOKUP(A51,'[51]Data Pivots'!$J$7:$Q$303,8,FALSE),0)+IFERROR(VLOOKUP(A51,'[51]Data Pivots'!$O$311:$AB$633,14,FALSE),0)</f>
        <v>290433.82</v>
      </c>
      <c r="G51" s="674">
        <f t="shared" ref="G51:G115" si="5">+IFERROR((E51/C51)/12,0)</f>
        <v>330.72995809419695</v>
      </c>
      <c r="I51" s="504">
        <f t="shared" ref="I51:I114" si="6">+$I$6*C51</f>
        <v>2.6005332159000965</v>
      </c>
      <c r="J51" s="586"/>
      <c r="K51" s="504">
        <f t="shared" ref="K51:K114" si="7">+G51*I51*12</f>
        <v>10320.890898206473</v>
      </c>
      <c r="M51" s="504">
        <f t="shared" ref="M51:M114" si="8">+C51+I51</f>
        <v>75.780533215900107</v>
      </c>
      <c r="O51" s="504">
        <f t="shared" ref="O51:O114" si="9">+E51+K51</f>
        <v>300754.71089820645</v>
      </c>
      <c r="Q51" s="599"/>
      <c r="S51" s="599"/>
    </row>
    <row r="52" spans="1:19">
      <c r="A52" s="585" t="s">
        <v>570</v>
      </c>
      <c r="B52" s="585" t="s">
        <v>571</v>
      </c>
      <c r="C52" s="570">
        <f>+ROUND('Proposed Rates'!B173*References!C10,2)</f>
        <v>146.35</v>
      </c>
      <c r="D52" s="570"/>
      <c r="E52" s="586">
        <f>+IFERROR(VLOOKUP(A52,'[51]Data Pivots'!$J$7:$Q$303,8,FALSE),0)+IFERROR(VLOOKUP(A52,'[51]Data Pivots'!$O$311:$AB$633,14,FALSE),0)</f>
        <v>10976.33</v>
      </c>
      <c r="G52" s="674">
        <f t="shared" si="5"/>
        <v>6.2500455528983032</v>
      </c>
      <c r="I52" s="504">
        <f t="shared" si="6"/>
        <v>5.2007110706064372</v>
      </c>
      <c r="J52" s="586"/>
      <c r="K52" s="504">
        <f t="shared" si="7"/>
        <v>390.05617318503278</v>
      </c>
      <c r="M52" s="504">
        <f t="shared" si="8"/>
        <v>151.55071107060644</v>
      </c>
      <c r="O52" s="504">
        <f t="shared" si="9"/>
        <v>11366.386173185032</v>
      </c>
      <c r="Q52" s="599"/>
      <c r="S52" s="599"/>
    </row>
    <row r="53" spans="1:19">
      <c r="A53" s="585" t="s">
        <v>572</v>
      </c>
      <c r="B53" s="585" t="s">
        <v>573</v>
      </c>
      <c r="C53" s="570">
        <f>+ROUND('Proposed Rates'!B173*References!C12,2)</f>
        <v>36.67</v>
      </c>
      <c r="D53" s="570"/>
      <c r="E53" s="586">
        <f>+IFERROR(VLOOKUP(A53,'[51]Data Pivots'!$J$7:$Q$303,8,FALSE),0)+IFERROR(VLOOKUP(A53,'[51]Data Pivots'!$O$311:$AB$633,14,FALSE),0)</f>
        <v>314280.62</v>
      </c>
      <c r="G53" s="674">
        <f t="shared" si="5"/>
        <v>714.20920825379505</v>
      </c>
      <c r="I53" s="504">
        <f t="shared" si="6"/>
        <v>1.3031094975000892</v>
      </c>
      <c r="J53" s="586"/>
      <c r="K53" s="504">
        <f t="shared" si="7"/>
        <v>11168.313629730474</v>
      </c>
      <c r="M53" s="504">
        <f t="shared" si="8"/>
        <v>37.97310949750009</v>
      </c>
      <c r="O53" s="504">
        <f t="shared" si="9"/>
        <v>325448.93362973048</v>
      </c>
      <c r="Q53" s="599"/>
      <c r="S53" s="599"/>
    </row>
    <row r="54" spans="1:19">
      <c r="A54" s="585" t="s">
        <v>574</v>
      </c>
      <c r="B54" s="585" t="s">
        <v>575</v>
      </c>
      <c r="C54" s="570">
        <f>+ROUND('Proposed Rates'!B174*References!C11,2)</f>
        <v>98.59</v>
      </c>
      <c r="D54" s="570"/>
      <c r="E54" s="586">
        <f>+IFERROR(VLOOKUP(A54,'[51]Data Pivots'!$J$7:$Q$303,8,FALSE),0)+IFERROR(VLOOKUP(A54,'[51]Data Pivots'!$O$311:$AB$633,14,FALSE),0)</f>
        <v>126453.20999999999</v>
      </c>
      <c r="G54" s="674">
        <f t="shared" si="5"/>
        <v>106.88474997464245</v>
      </c>
      <c r="I54" s="504">
        <f t="shared" si="6"/>
        <v>3.5035060092319008</v>
      </c>
      <c r="J54" s="586"/>
      <c r="K54" s="504">
        <f t="shared" si="7"/>
        <v>4493.656365976909</v>
      </c>
      <c r="M54" s="504">
        <f t="shared" si="8"/>
        <v>102.0935060092319</v>
      </c>
      <c r="O54" s="504">
        <f t="shared" si="9"/>
        <v>130946.86636597689</v>
      </c>
      <c r="Q54" s="599"/>
      <c r="S54" s="599"/>
    </row>
    <row r="55" spans="1:19">
      <c r="A55" s="585" t="s">
        <v>576</v>
      </c>
      <c r="B55" s="585" t="s">
        <v>577</v>
      </c>
      <c r="C55" s="570">
        <f>+ROUND('Proposed Rates'!B174*References!C10,2)</f>
        <v>197.19</v>
      </c>
      <c r="D55" s="570"/>
      <c r="E55" s="586">
        <f>+IFERROR(VLOOKUP(A55,'[51]Data Pivots'!$J$7:$Q$303,8,FALSE),0)+IFERROR(VLOOKUP(A55,'[51]Data Pivots'!$O$311:$AB$633,14,FALSE),0)</f>
        <v>3056.45</v>
      </c>
      <c r="G55" s="674">
        <f t="shared" si="5"/>
        <v>1.2916687796879489</v>
      </c>
      <c r="I55" s="504">
        <f t="shared" si="6"/>
        <v>7.0073673796575564</v>
      </c>
      <c r="J55" s="586"/>
      <c r="K55" s="504">
        <f t="shared" si="7"/>
        <v>108.61437206528899</v>
      </c>
      <c r="M55" s="504">
        <f t="shared" si="8"/>
        <v>204.19736737965755</v>
      </c>
      <c r="O55" s="504">
        <f t="shared" si="9"/>
        <v>3165.0643720652888</v>
      </c>
      <c r="Q55" s="599"/>
      <c r="S55" s="599"/>
    </row>
    <row r="56" spans="1:19">
      <c r="A56" s="585" t="s">
        <v>578</v>
      </c>
      <c r="B56" s="585" t="s">
        <v>579</v>
      </c>
      <c r="C56" s="570">
        <f>+ROUND('Proposed Rates'!B174*References!C12,2)</f>
        <v>49.41</v>
      </c>
      <c r="D56" s="570"/>
      <c r="E56" s="586">
        <f>+IFERROR(VLOOKUP(A56,'[51]Data Pivots'!$J$7:$Q$303,8,FALSE),0)+IFERROR(VLOOKUP(A56,'[51]Data Pivots'!$O$311:$AB$633,14,FALSE),0)</f>
        <v>99548.959999999992</v>
      </c>
      <c r="G56" s="674">
        <f t="shared" si="5"/>
        <v>167.89610740066112</v>
      </c>
      <c r="I56" s="504">
        <f t="shared" si="6"/>
        <v>1.7558396583441342</v>
      </c>
      <c r="J56" s="586"/>
      <c r="K56" s="504">
        <f t="shared" si="7"/>
        <v>3537.583726268243</v>
      </c>
      <c r="M56" s="504">
        <f t="shared" si="8"/>
        <v>51.165839658344133</v>
      </c>
      <c r="O56" s="504">
        <f t="shared" si="9"/>
        <v>103086.54372626824</v>
      </c>
      <c r="Q56" s="599"/>
      <c r="S56" s="599"/>
    </row>
    <row r="57" spans="1:19">
      <c r="A57" s="585" t="s">
        <v>580</v>
      </c>
      <c r="B57" s="585" t="s">
        <v>581</v>
      </c>
      <c r="C57" s="570">
        <f>+ROUND('Proposed Rates'!B175*References!C11,2)</f>
        <v>117.17</v>
      </c>
      <c r="D57" s="570"/>
      <c r="E57" s="586">
        <f>+IFERROR(VLOOKUP(A57,'[51]Data Pivots'!$J$7:$Q$303,8,FALSE),0)+IFERROR(VLOOKUP(A57,'[51]Data Pivots'!$O$311:$AB$633,14,FALSE),0)</f>
        <v>575026.48</v>
      </c>
      <c r="G57" s="674">
        <f t="shared" si="5"/>
        <v>408.96879178401747</v>
      </c>
      <c r="I57" s="504">
        <f t="shared" si="6"/>
        <v>4.1637671072289457</v>
      </c>
      <c r="J57" s="586"/>
      <c r="K57" s="504">
        <f t="shared" si="7"/>
        <v>20434.209637361466</v>
      </c>
      <c r="M57" s="504">
        <f t="shared" si="8"/>
        <v>121.33376710722895</v>
      </c>
      <c r="O57" s="504">
        <f t="shared" si="9"/>
        <v>595460.68963736144</v>
      </c>
      <c r="Q57" s="599"/>
      <c r="S57" s="599"/>
    </row>
    <row r="58" spans="1:19">
      <c r="A58" s="585" t="s">
        <v>582</v>
      </c>
      <c r="B58" s="585" t="s">
        <v>583</v>
      </c>
      <c r="C58" s="570">
        <f>+ROUND('Proposed Rates'!B175*References!C10,2)</f>
        <v>234.34</v>
      </c>
      <c r="D58" s="570"/>
      <c r="E58" s="586">
        <f>+IFERROR(VLOOKUP(A58,'[51]Data Pivots'!$J$7:$Q$303,8,FALSE),0)+IFERROR(VLOOKUP(A58,'[51]Data Pivots'!$O$311:$AB$633,14,FALSE),0)</f>
        <v>142037.50999999998</v>
      </c>
      <c r="G58" s="674">
        <f t="shared" si="5"/>
        <v>50.509768569884208</v>
      </c>
      <c r="I58" s="504">
        <f t="shared" si="6"/>
        <v>8.3275342144578914</v>
      </c>
      <c r="J58" s="586"/>
      <c r="K58" s="504">
        <f t="shared" si="7"/>
        <v>5047.4619111607271</v>
      </c>
      <c r="M58" s="504">
        <f t="shared" si="8"/>
        <v>242.6675342144579</v>
      </c>
      <c r="O58" s="504">
        <f t="shared" si="9"/>
        <v>147084.97191116071</v>
      </c>
      <c r="Q58" s="599"/>
      <c r="S58" s="599"/>
    </row>
    <row r="59" spans="1:19">
      <c r="A59" s="585" t="s">
        <v>584</v>
      </c>
      <c r="B59" s="585" t="s">
        <v>585</v>
      </c>
      <c r="C59" s="570">
        <f>+ROUND('Proposed Rates'!B175*References!C9,2)</f>
        <v>351.51</v>
      </c>
      <c r="D59" s="570"/>
      <c r="E59" s="586">
        <f>+IFERROR(VLOOKUP(A59,'[51]Data Pivots'!$J$7:$Q$303,8,FALSE),0)+IFERROR(VLOOKUP(A59,'[51]Data Pivots'!$O$311:$AB$633,14,FALSE),0)</f>
        <v>24815.26</v>
      </c>
      <c r="G59" s="674">
        <f t="shared" si="5"/>
        <v>5.8830142338292886</v>
      </c>
      <c r="I59" s="504">
        <f t="shared" si="6"/>
        <v>12.491301321686837</v>
      </c>
      <c r="J59" s="586"/>
      <c r="K59" s="504">
        <f t="shared" si="7"/>
        <v>881.83804169441123</v>
      </c>
      <c r="M59" s="504">
        <f t="shared" si="8"/>
        <v>364.00130132168681</v>
      </c>
      <c r="O59" s="504">
        <f t="shared" si="9"/>
        <v>25697.098041694411</v>
      </c>
      <c r="Q59" s="599"/>
      <c r="S59" s="599"/>
    </row>
    <row r="60" spans="1:19">
      <c r="A60" s="585" t="s">
        <v>586</v>
      </c>
      <c r="B60" s="585" t="s">
        <v>587</v>
      </c>
      <c r="C60" s="570">
        <f>+ROUND('Proposed Rates'!B175*References!C8,2)</f>
        <v>468.68</v>
      </c>
      <c r="D60" s="570"/>
      <c r="E60" s="586">
        <f>+IFERROR(VLOOKUP(A60,'[51]Data Pivots'!$J$7:$Q$303,8,FALSE),0)+IFERROR(VLOOKUP(A60,'[51]Data Pivots'!$O$311:$AB$633,14,FALSE),0)</f>
        <v>5038.3099999999995</v>
      </c>
      <c r="G60" s="674">
        <f t="shared" si="5"/>
        <v>0.89583333333333315</v>
      </c>
      <c r="I60" s="504">
        <f t="shared" si="6"/>
        <v>16.655068428915783</v>
      </c>
      <c r="J60" s="586"/>
      <c r="K60" s="504">
        <f t="shared" si="7"/>
        <v>179.04198561084462</v>
      </c>
      <c r="M60" s="504">
        <f t="shared" si="8"/>
        <v>485.3350684289158</v>
      </c>
      <c r="O60" s="504">
        <f t="shared" si="9"/>
        <v>5217.3519856108442</v>
      </c>
      <c r="Q60" s="599"/>
      <c r="S60" s="599"/>
    </row>
    <row r="61" spans="1:19">
      <c r="A61" s="569" t="s">
        <v>588</v>
      </c>
      <c r="B61" s="585" t="s">
        <v>589</v>
      </c>
      <c r="C61" s="570">
        <f>+ROUND('Proposed Rates'!B175*References!C7,2)</f>
        <v>585.85</v>
      </c>
      <c r="D61" s="570"/>
      <c r="E61" s="586">
        <f>+IFERROR(VLOOKUP(A61,'[51]Data Pivots'!$J$7:$Q$303,8,FALSE),0)+IFERROR(VLOOKUP(A61,'[51]Data Pivots'!$O$311:$AB$633,14,FALSE),0)</f>
        <v>937.37</v>
      </c>
      <c r="G61" s="674">
        <f t="shared" si="5"/>
        <v>0.13333475576797246</v>
      </c>
      <c r="I61" s="504">
        <f t="shared" si="6"/>
        <v>20.818835536144732</v>
      </c>
      <c r="J61" s="586"/>
      <c r="K61" s="504">
        <f t="shared" si="7"/>
        <v>33.310492219025328</v>
      </c>
      <c r="M61" s="504">
        <f t="shared" si="8"/>
        <v>606.6688355361448</v>
      </c>
      <c r="O61" s="504">
        <f t="shared" si="9"/>
        <v>970.68049221902538</v>
      </c>
      <c r="Q61" s="599"/>
      <c r="S61" s="599"/>
    </row>
    <row r="62" spans="1:19">
      <c r="A62" s="585" t="s">
        <v>590</v>
      </c>
      <c r="B62" s="585" t="s">
        <v>591</v>
      </c>
      <c r="C62" s="570">
        <f>+ROUND('Proposed Rates'!B175*References!C12,2)</f>
        <v>58.72</v>
      </c>
      <c r="D62" s="570"/>
      <c r="E62" s="586">
        <f>+IFERROR(VLOOKUP(A62,'[51]Data Pivots'!$J$7:$Q$303,8,FALSE),0)+IFERROR(VLOOKUP(A62,'[51]Data Pivots'!$O$311:$AB$633,14,FALSE),0)</f>
        <v>230641.67</v>
      </c>
      <c r="G62" s="674">
        <f t="shared" si="5"/>
        <v>327.31844629881931</v>
      </c>
      <c r="I62" s="504">
        <f t="shared" si="6"/>
        <v>2.0866809297301674</v>
      </c>
      <c r="J62" s="586"/>
      <c r="K62" s="504">
        <f t="shared" si="7"/>
        <v>8196.1099180878482</v>
      </c>
      <c r="M62" s="504">
        <f t="shared" si="8"/>
        <v>60.806680929730163</v>
      </c>
      <c r="O62" s="504">
        <f t="shared" si="9"/>
        <v>238837.77991808785</v>
      </c>
      <c r="Q62" s="599"/>
      <c r="S62" s="599"/>
    </row>
    <row r="63" spans="1:19">
      <c r="A63" s="585" t="s">
        <v>592</v>
      </c>
      <c r="B63" s="585" t="s">
        <v>593</v>
      </c>
      <c r="C63" s="570">
        <f>+ROUND('Proposed Rates'!B176*References!C11,2)</f>
        <v>163.33000000000001</v>
      </c>
      <c r="D63" s="570"/>
      <c r="E63" s="586">
        <f>+IFERROR(VLOOKUP(A63,'[51]Data Pivots'!$J$7:$Q$303,8,FALSE),0)+IFERROR(VLOOKUP(A63,'[51]Data Pivots'!$O$311:$AB$633,14,FALSE),0)</f>
        <v>363866.63</v>
      </c>
      <c r="G63" s="674">
        <f t="shared" si="5"/>
        <v>185.65002857201168</v>
      </c>
      <c r="I63" s="504">
        <f t="shared" si="6"/>
        <v>5.8041143776026614</v>
      </c>
      <c r="J63" s="586"/>
      <c r="K63" s="504">
        <f t="shared" si="7"/>
        <v>12930.408000445896</v>
      </c>
      <c r="M63" s="504">
        <f t="shared" si="8"/>
        <v>169.13411437760269</v>
      </c>
      <c r="O63" s="504">
        <f t="shared" si="9"/>
        <v>376797.03800044593</v>
      </c>
      <c r="Q63" s="599"/>
      <c r="S63" s="599"/>
    </row>
    <row r="64" spans="1:19">
      <c r="A64" s="585" t="s">
        <v>594</v>
      </c>
      <c r="B64" s="585" t="s">
        <v>595</v>
      </c>
      <c r="C64" s="570">
        <f>+ROUND('Proposed Rates'!B176*References!C10,2)</f>
        <v>326.66000000000003</v>
      </c>
      <c r="D64" s="570"/>
      <c r="E64" s="586">
        <f>+IFERROR(VLOOKUP(A64,'[51]Data Pivots'!$J$7:$Q$303,8,FALSE),0)+IFERROR(VLOOKUP(A64,'[51]Data Pivots'!$O$311:$AB$633,14,FALSE),0)</f>
        <v>216689.93999999997</v>
      </c>
      <c r="G64" s="674">
        <f t="shared" si="5"/>
        <v>55.279174064776818</v>
      </c>
      <c r="I64" s="504">
        <f t="shared" si="6"/>
        <v>11.608228755205323</v>
      </c>
      <c r="J64" s="586"/>
      <c r="K64" s="504">
        <f t="shared" si="7"/>
        <v>7700.3195753129112</v>
      </c>
      <c r="M64" s="504">
        <f t="shared" si="8"/>
        <v>338.26822875520537</v>
      </c>
      <c r="O64" s="504">
        <f t="shared" si="9"/>
        <v>224390.2595753129</v>
      </c>
      <c r="Q64" s="599"/>
      <c r="S64" s="599"/>
    </row>
    <row r="65" spans="1:19">
      <c r="A65" s="585" t="s">
        <v>596</v>
      </c>
      <c r="B65" s="585" t="s">
        <v>597</v>
      </c>
      <c r="C65" s="570">
        <f>+ROUND('Proposed Rates'!B176*References!C9,2)</f>
        <v>489.98</v>
      </c>
      <c r="D65" s="570"/>
      <c r="E65" s="586">
        <f>+IFERROR(VLOOKUP(A65,'[51]Data Pivots'!$J$7:$Q$303,8,FALSE),0)+IFERROR(VLOOKUP(A65,'[51]Data Pivots'!$O$311:$AB$633,14,FALSE),0)</f>
        <v>66351.459999999992</v>
      </c>
      <c r="G65" s="674">
        <f t="shared" si="5"/>
        <v>11.284722505680501</v>
      </c>
      <c r="I65" s="504">
        <f t="shared" si="6"/>
        <v>17.411987771614228</v>
      </c>
      <c r="J65" s="586"/>
      <c r="K65" s="504">
        <f t="shared" si="7"/>
        <v>2357.8734032996254</v>
      </c>
      <c r="M65" s="504">
        <f t="shared" si="8"/>
        <v>507.39198777161425</v>
      </c>
      <c r="O65" s="504">
        <f t="shared" si="9"/>
        <v>68709.333403299621</v>
      </c>
      <c r="Q65" s="599"/>
      <c r="S65" s="599"/>
    </row>
    <row r="66" spans="1:19">
      <c r="A66" s="585" t="s">
        <v>598</v>
      </c>
      <c r="B66" s="585" t="s">
        <v>599</v>
      </c>
      <c r="C66" s="570">
        <f>+ROUND('Proposed Rates'!B176*References!C8,2)</f>
        <v>653.30999999999995</v>
      </c>
      <c r="D66" s="570"/>
      <c r="E66" s="586">
        <f>+IFERROR(VLOOKUP(A66,'[51]Data Pivots'!$J$7:$Q$303,8,FALSE),0)+IFERROR(VLOOKUP(A66,'[51]Data Pivots'!$O$311:$AB$633,14,FALSE),0)</f>
        <v>10942.939999999999</v>
      </c>
      <c r="G66" s="674">
        <f t="shared" si="5"/>
        <v>1.3958330144443936</v>
      </c>
      <c r="I66" s="504">
        <f t="shared" si="6"/>
        <v>23.216102149216887</v>
      </c>
      <c r="J66" s="586"/>
      <c r="K66" s="504">
        <f t="shared" si="7"/>
        <v>388.86962215908443</v>
      </c>
      <c r="M66" s="504">
        <f t="shared" si="8"/>
        <v>676.52610214921685</v>
      </c>
      <c r="O66" s="504">
        <f t="shared" si="9"/>
        <v>11331.809622159082</v>
      </c>
      <c r="Q66" s="599"/>
      <c r="S66" s="599"/>
    </row>
    <row r="67" spans="1:19">
      <c r="A67" s="585" t="s">
        <v>600</v>
      </c>
      <c r="B67" s="585" t="s">
        <v>601</v>
      </c>
      <c r="C67" s="570">
        <f>+ROUND('Proposed Rates'!B176*References!C7,2)</f>
        <v>816.64</v>
      </c>
      <c r="D67" s="570"/>
      <c r="E67" s="586">
        <f>+IFERROR(VLOOKUP(A67,'[51]Data Pivots'!$J$7:$Q$303,8,FALSE),0)+IFERROR(VLOOKUP(A67,'[51]Data Pivots'!$O$311:$AB$633,14,FALSE),0)</f>
        <v>4899.84</v>
      </c>
      <c r="G67" s="674">
        <f t="shared" si="5"/>
        <v>0.5</v>
      </c>
      <c r="I67" s="504">
        <f t="shared" si="6"/>
        <v>29.020216526819549</v>
      </c>
      <c r="J67" s="586"/>
      <c r="K67" s="504">
        <f t="shared" si="7"/>
        <v>174.12129916091729</v>
      </c>
      <c r="M67" s="504">
        <f t="shared" si="8"/>
        <v>845.66021652681957</v>
      </c>
      <c r="O67" s="504">
        <f t="shared" si="9"/>
        <v>5073.9612991609174</v>
      </c>
      <c r="Q67" s="599"/>
      <c r="S67" s="599"/>
    </row>
    <row r="68" spans="1:19">
      <c r="A68" s="585" t="s">
        <v>602</v>
      </c>
      <c r="B68" s="585" t="s">
        <v>603</v>
      </c>
      <c r="C68" s="570">
        <f>+ROUND('Proposed Rates'!B176*References!C12,2)</f>
        <v>81.849999999999994</v>
      </c>
      <c r="D68" s="570"/>
      <c r="E68" s="586">
        <f>+IFERROR(VLOOKUP(A68,'[51]Data Pivots'!$J$7:$Q$303,8,FALSE),0)+IFERROR(VLOOKUP(A68,'[51]Data Pivots'!$O$311:$AB$633,14,FALSE),0)</f>
        <v>31888.17</v>
      </c>
      <c r="G68" s="674">
        <f t="shared" si="5"/>
        <v>32.466065974343316</v>
      </c>
      <c r="I68" s="504">
        <f t="shared" si="6"/>
        <v>2.9086313708858</v>
      </c>
      <c r="J68" s="586"/>
      <c r="K68" s="504">
        <f t="shared" si="7"/>
        <v>1133.1818157866762</v>
      </c>
      <c r="M68" s="504">
        <f t="shared" si="8"/>
        <v>84.758631370885794</v>
      </c>
      <c r="O68" s="504">
        <f t="shared" si="9"/>
        <v>33021.351815786671</v>
      </c>
      <c r="Q68" s="599"/>
      <c r="S68" s="599"/>
    </row>
    <row r="69" spans="1:19">
      <c r="A69" s="585" t="s">
        <v>604</v>
      </c>
      <c r="B69" s="585" t="s">
        <v>605</v>
      </c>
      <c r="C69" s="570">
        <f>+ROUND('Proposed Rates'!B177*References!C11,2)</f>
        <v>211.39</v>
      </c>
      <c r="D69" s="570"/>
      <c r="E69" s="586">
        <f>+IFERROR(VLOOKUP(A69,'[51]Data Pivots'!$J$7:$Q$303,8,FALSE),0)+IFERROR(VLOOKUP(A69,'[51]Data Pivots'!$O$311:$AB$633,14,FALSE),0)</f>
        <v>439636.82999999996</v>
      </c>
      <c r="G69" s="674">
        <f t="shared" si="5"/>
        <v>173.31189980604572</v>
      </c>
      <c r="I69" s="504">
        <f t="shared" si="6"/>
        <v>7.5119802747898508</v>
      </c>
      <c r="J69" s="586"/>
      <c r="K69" s="504">
        <f t="shared" si="7"/>
        <v>15622.986872752444</v>
      </c>
      <c r="M69" s="504">
        <f t="shared" si="8"/>
        <v>218.90198027478985</v>
      </c>
      <c r="O69" s="504">
        <f t="shared" si="9"/>
        <v>455259.81687275239</v>
      </c>
      <c r="Q69" s="599"/>
      <c r="S69" s="599"/>
    </row>
    <row r="70" spans="1:19">
      <c r="A70" s="585" t="s">
        <v>606</v>
      </c>
      <c r="B70" s="585" t="s">
        <v>607</v>
      </c>
      <c r="C70" s="570">
        <f>+ROUND('Proposed Rates'!B177*References!C10,2)</f>
        <v>422.78</v>
      </c>
      <c r="D70" s="570"/>
      <c r="E70" s="586">
        <f>+IFERROR(VLOOKUP(A70,'[51]Data Pivots'!$J$7:$Q$303,8,FALSE),0)+IFERROR(VLOOKUP(A70,'[51]Data Pivots'!$O$311:$AB$633,14,FALSE),0)</f>
        <v>400496.08999999997</v>
      </c>
      <c r="G70" s="674">
        <f t="shared" si="5"/>
        <v>78.940995710929244</v>
      </c>
      <c r="I70" s="504">
        <f t="shared" si="6"/>
        <v>15.023960549579702</v>
      </c>
      <c r="J70" s="586"/>
      <c r="K70" s="504">
        <f t="shared" si="7"/>
        <v>14232.076863666498</v>
      </c>
      <c r="M70" s="504">
        <f t="shared" si="8"/>
        <v>437.8039605495797</v>
      </c>
      <c r="O70" s="504">
        <f t="shared" si="9"/>
        <v>414728.16686366644</v>
      </c>
      <c r="Q70" s="599"/>
      <c r="S70" s="599"/>
    </row>
    <row r="71" spans="1:19">
      <c r="A71" s="585" t="s">
        <v>608</v>
      </c>
      <c r="B71" s="585" t="s">
        <v>609</v>
      </c>
      <c r="C71" s="570">
        <f>+ROUND('Proposed Rates'!B177*References!C9,2)</f>
        <v>634.16999999999996</v>
      </c>
      <c r="D71" s="570"/>
      <c r="E71" s="586">
        <f>+IFERROR(VLOOKUP(A71,'[51]Data Pivots'!$J$7:$Q$303,8,FALSE),0)+IFERROR(VLOOKUP(A71,'[51]Data Pivots'!$O$311:$AB$633,14,FALSE),0)</f>
        <v>189730.59000000003</v>
      </c>
      <c r="G71" s="674">
        <f t="shared" si="5"/>
        <v>24.931615339735405</v>
      </c>
      <c r="I71" s="504">
        <f t="shared" si="6"/>
        <v>22.535940824369554</v>
      </c>
      <c r="J71" s="586"/>
      <c r="K71" s="504">
        <f t="shared" si="7"/>
        <v>6742.2888954266564</v>
      </c>
      <c r="M71" s="504">
        <f t="shared" si="8"/>
        <v>656.70594082436946</v>
      </c>
      <c r="O71" s="504">
        <f t="shared" si="9"/>
        <v>196472.87889542669</v>
      </c>
      <c r="Q71" s="599"/>
      <c r="S71" s="599"/>
    </row>
    <row r="72" spans="1:19">
      <c r="A72" s="585" t="s">
        <v>610</v>
      </c>
      <c r="B72" s="585" t="s">
        <v>611</v>
      </c>
      <c r="C72" s="570">
        <f>+ROUND('Proposed Rates'!B177*References!C8,2)</f>
        <v>845.56</v>
      </c>
      <c r="D72" s="570"/>
      <c r="E72" s="586">
        <f>+IFERROR(VLOOKUP(A72,'[51]Data Pivots'!$J$7:$Q$303,8,FALSE),0)+IFERROR(VLOOKUP(A72,'[51]Data Pivots'!$O$311:$AB$633,14,FALSE),0)</f>
        <v>40586.87999999999</v>
      </c>
      <c r="G72" s="674">
        <f t="shared" si="5"/>
        <v>3.9999999999999996</v>
      </c>
      <c r="I72" s="504">
        <f t="shared" si="6"/>
        <v>30.047921099159403</v>
      </c>
      <c r="J72" s="586"/>
      <c r="K72" s="504">
        <f t="shared" si="7"/>
        <v>1442.3002127596512</v>
      </c>
      <c r="M72" s="504">
        <f t="shared" si="8"/>
        <v>875.6079210991594</v>
      </c>
      <c r="O72" s="504">
        <f t="shared" si="9"/>
        <v>42029.180212759638</v>
      </c>
      <c r="Q72" s="599"/>
      <c r="S72" s="599"/>
    </row>
    <row r="73" spans="1:19">
      <c r="A73" s="585" t="s">
        <v>612</v>
      </c>
      <c r="B73" s="585" t="s">
        <v>613</v>
      </c>
      <c r="C73" s="570">
        <f>+ROUND('Proposed Rates'!B177*References!C7,2)</f>
        <v>1056.95</v>
      </c>
      <c r="D73" s="570"/>
      <c r="E73" s="586">
        <f>+IFERROR(VLOOKUP(A73,'[51]Data Pivots'!$J$7:$Q$303,8,FALSE),0)+IFERROR(VLOOKUP(A73,'[51]Data Pivots'!$O$311:$AB$633,14,FALSE),0)</f>
        <v>35724.909999999996</v>
      </c>
      <c r="G73" s="674">
        <f t="shared" si="5"/>
        <v>2.8166666666666664</v>
      </c>
      <c r="I73" s="504">
        <f t="shared" si="6"/>
        <v>37.559901373949259</v>
      </c>
      <c r="J73" s="586"/>
      <c r="K73" s="504">
        <f t="shared" si="7"/>
        <v>1269.5246664394849</v>
      </c>
      <c r="M73" s="504">
        <f t="shared" si="8"/>
        <v>1094.5099013739493</v>
      </c>
      <c r="O73" s="504">
        <f t="shared" si="9"/>
        <v>36994.434666439483</v>
      </c>
      <c r="Q73" s="599"/>
      <c r="S73" s="599"/>
    </row>
    <row r="74" spans="1:19">
      <c r="A74" s="585" t="s">
        <v>614</v>
      </c>
      <c r="B74" s="585" t="s">
        <v>615</v>
      </c>
      <c r="C74" s="570">
        <f>+ROUND('Proposed Rates'!B177*References!C11*6,2)</f>
        <v>1268.3399999999999</v>
      </c>
      <c r="D74" s="570"/>
      <c r="E74" s="586">
        <f>+IFERROR(VLOOKUP(A74,'[51]Data Pivots'!$J$7:$Q$303,8,FALSE),0)+IFERROR(VLOOKUP(A74,'[51]Data Pivots'!$O$311:$AB$633,14,FALSE),0)</f>
        <v>27903.479999999996</v>
      </c>
      <c r="G74" s="674">
        <f t="shared" si="5"/>
        <v>1.833333333333333</v>
      </c>
      <c r="I74" s="504">
        <f t="shared" si="6"/>
        <v>45.071881648739108</v>
      </c>
      <c r="J74" s="586"/>
      <c r="K74" s="504">
        <f t="shared" si="7"/>
        <v>991.58139627226024</v>
      </c>
      <c r="M74" s="504">
        <f t="shared" si="8"/>
        <v>1313.4118816487389</v>
      </c>
      <c r="O74" s="504">
        <f t="shared" si="9"/>
        <v>28895.061396272256</v>
      </c>
      <c r="Q74" s="599"/>
      <c r="S74" s="599"/>
    </row>
    <row r="75" spans="1:19">
      <c r="A75" s="585" t="s">
        <v>616</v>
      </c>
      <c r="B75" s="585" t="s">
        <v>617</v>
      </c>
      <c r="C75" s="570">
        <f>+ROUND('Proposed Rates'!B177*References!C12,2)</f>
        <v>105.94</v>
      </c>
      <c r="D75" s="570"/>
      <c r="E75" s="586">
        <f>+IFERROR(VLOOKUP(A75,'[51]Data Pivots'!$J$7:$Q$303,8,FALSE),0)+IFERROR(VLOOKUP(A75,'[51]Data Pivots'!$O$311:$AB$633,14,FALSE),0)</f>
        <v>28497.86</v>
      </c>
      <c r="G75" s="674">
        <f t="shared" si="5"/>
        <v>22.416666666666668</v>
      </c>
      <c r="I75" s="504">
        <f t="shared" si="6"/>
        <v>3.7646964866419266</v>
      </c>
      <c r="J75" s="586"/>
      <c r="K75" s="504">
        <f t="shared" si="7"/>
        <v>1012.7033549066784</v>
      </c>
      <c r="M75" s="504">
        <f t="shared" si="8"/>
        <v>109.70469648664192</v>
      </c>
      <c r="O75" s="504">
        <f t="shared" si="9"/>
        <v>29510.563354906681</v>
      </c>
      <c r="Q75" s="599"/>
      <c r="S75" s="599"/>
    </row>
    <row r="76" spans="1:19">
      <c r="A76" s="585" t="s">
        <v>618</v>
      </c>
      <c r="B76" s="585" t="s">
        <v>619</v>
      </c>
      <c r="C76" s="570">
        <f>+ROUND('Proposed Rates'!B178*References!C11,2)</f>
        <v>259.63</v>
      </c>
      <c r="D76" s="570"/>
      <c r="E76" s="586">
        <f>+IFERROR(VLOOKUP(A76,'[51]Data Pivots'!$J$7:$Q$303,8,FALSE),0)+IFERROR(VLOOKUP(A76,'[51]Data Pivots'!$O$311:$AB$633,14,FALSE),0)</f>
        <v>15577.8</v>
      </c>
      <c r="G76" s="674">
        <f t="shared" si="5"/>
        <v>5</v>
      </c>
      <c r="I76" s="504">
        <f t="shared" si="6"/>
        <v>9.2262426734646343</v>
      </c>
      <c r="J76" s="586"/>
      <c r="K76" s="504">
        <f t="shared" si="7"/>
        <v>553.57456040787804</v>
      </c>
      <c r="M76" s="504">
        <f t="shared" si="8"/>
        <v>268.85624267346464</v>
      </c>
      <c r="O76" s="504">
        <f t="shared" si="9"/>
        <v>16131.374560407878</v>
      </c>
      <c r="Q76" s="599"/>
      <c r="S76" s="599"/>
    </row>
    <row r="77" spans="1:19">
      <c r="A77" s="585" t="s">
        <v>620</v>
      </c>
      <c r="B77" s="585" t="s">
        <v>621</v>
      </c>
      <c r="C77" s="570">
        <f>+ROUND('Proposed Rates'!B178*References!C12,2)</f>
        <v>130.11000000000001</v>
      </c>
      <c r="D77" s="570"/>
      <c r="E77" s="586">
        <f>+IFERROR(VLOOKUP(A77,'[51]Data Pivots'!$J$7:$Q$303,8,FALSE),0)+IFERROR(VLOOKUP(A77,'[51]Data Pivots'!$O$311:$AB$633,14,FALSE),0)</f>
        <v>1496.27</v>
      </c>
      <c r="G77" s="674">
        <f t="shared" si="5"/>
        <v>0.95833653575179956</v>
      </c>
      <c r="I77" s="504">
        <f t="shared" si="6"/>
        <v>4.6236044919480941</v>
      </c>
      <c r="J77" s="586"/>
      <c r="K77" s="504">
        <f t="shared" si="7"/>
        <v>53.171629337999953</v>
      </c>
      <c r="M77" s="504">
        <f t="shared" si="8"/>
        <v>134.73360449194811</v>
      </c>
      <c r="O77" s="504">
        <f t="shared" si="9"/>
        <v>1549.441629338</v>
      </c>
      <c r="Q77" s="599"/>
      <c r="S77" s="599"/>
    </row>
    <row r="78" spans="1:19">
      <c r="A78" s="585" t="s">
        <v>622</v>
      </c>
      <c r="B78" s="585" t="s">
        <v>623</v>
      </c>
      <c r="C78" s="570">
        <f>+ROUND('Proposed Rates'!B179*References!C11,2)</f>
        <v>307.47000000000003</v>
      </c>
      <c r="D78" s="570"/>
      <c r="E78" s="586">
        <f>+IFERROR(VLOOKUP(A78,'[51]Data Pivots'!$J$7:$Q$303,8,FALSE),0)+IFERROR(VLOOKUP(A78,'[51]Data Pivots'!$O$311:$AB$633,14,FALSE),0)</f>
        <v>340584.57</v>
      </c>
      <c r="G78" s="674">
        <f t="shared" si="5"/>
        <v>92.308347155820073</v>
      </c>
      <c r="I78" s="504">
        <f t="shared" si="6"/>
        <v>10.926290624389214</v>
      </c>
      <c r="J78" s="586"/>
      <c r="K78" s="504">
        <f t="shared" si="7"/>
        <v>12103.05393697802</v>
      </c>
      <c r="M78" s="504">
        <f t="shared" si="8"/>
        <v>318.39629062438922</v>
      </c>
      <c r="O78" s="504">
        <f t="shared" si="9"/>
        <v>352687.62393697805</v>
      </c>
      <c r="Q78" s="599"/>
      <c r="S78" s="599"/>
    </row>
    <row r="79" spans="1:19">
      <c r="A79" s="585" t="s">
        <v>624</v>
      </c>
      <c r="B79" s="585" t="s">
        <v>625</v>
      </c>
      <c r="C79" s="570">
        <f>+ROUND('Proposed Rates'!B179*References!C10,2)</f>
        <v>614.95000000000005</v>
      </c>
      <c r="D79" s="570"/>
      <c r="E79" s="586">
        <f>+IFERROR(VLOOKUP(A79,'[51]Data Pivots'!$J$7:$Q$303,8,FALSE),0)+IFERROR(VLOOKUP(A79,'[51]Data Pivots'!$O$311:$AB$633,14,FALSE),0)</f>
        <v>169171.07</v>
      </c>
      <c r="G79" s="674">
        <f t="shared" si="5"/>
        <v>22.924773016776431</v>
      </c>
      <c r="I79" s="504">
        <f t="shared" si="6"/>
        <v>21.852936609972183</v>
      </c>
      <c r="J79" s="586"/>
      <c r="K79" s="504">
        <f t="shared" si="7"/>
        <v>6011.6833384033935</v>
      </c>
      <c r="M79" s="504">
        <f t="shared" si="8"/>
        <v>636.80293660997222</v>
      </c>
      <c r="O79" s="504">
        <f t="shared" si="9"/>
        <v>175182.75333840339</v>
      </c>
      <c r="Q79" s="599"/>
      <c r="S79" s="599"/>
    </row>
    <row r="80" spans="1:19">
      <c r="A80" s="585" t="s">
        <v>626</v>
      </c>
      <c r="B80" s="585" t="s">
        <v>627</v>
      </c>
      <c r="C80" s="570">
        <f>+ROUND('Proposed Rates'!B179*References!C9,2)</f>
        <v>922.42</v>
      </c>
      <c r="D80" s="570"/>
      <c r="E80" s="586">
        <f>+IFERROR(VLOOKUP(A80,'[51]Data Pivots'!$J$7:$Q$303,8,FALSE),0)+IFERROR(VLOOKUP(A80,'[51]Data Pivots'!$O$311:$AB$633,14,FALSE),0)</f>
        <v>83869.220000000016</v>
      </c>
      <c r="G80" s="674">
        <f t="shared" si="5"/>
        <v>7.5769190462768243</v>
      </c>
      <c r="I80" s="504">
        <f t="shared" si="6"/>
        <v>32.779227234361393</v>
      </c>
      <c r="J80" s="586"/>
      <c r="K80" s="504">
        <f t="shared" si="7"/>
        <v>2980.3866138512262</v>
      </c>
      <c r="M80" s="504">
        <f t="shared" si="8"/>
        <v>955.19922723436139</v>
      </c>
      <c r="O80" s="504">
        <f t="shared" si="9"/>
        <v>86849.60661385124</v>
      </c>
      <c r="Q80" s="599"/>
      <c r="S80" s="599"/>
    </row>
    <row r="81" spans="1:19">
      <c r="A81" s="585" t="s">
        <v>628</v>
      </c>
      <c r="B81" s="585" t="s">
        <v>629</v>
      </c>
      <c r="C81" s="570">
        <f>+ROUND('Proposed Rates'!B179*References!C7,2)</f>
        <v>1537.37</v>
      </c>
      <c r="D81" s="570"/>
      <c r="E81" s="586">
        <f>+IFERROR(VLOOKUP(A81,'[51]Data Pivots'!$J$7:$Q$303,8,FALSE),0)+IFERROR(VLOOKUP(A81,'[51]Data Pivots'!$O$311:$AB$633,14,FALSE),0)</f>
        <v>24597.919999999998</v>
      </c>
      <c r="G81" s="674">
        <f t="shared" si="5"/>
        <v>1.3333333333333333</v>
      </c>
      <c r="I81" s="504">
        <f t="shared" si="6"/>
        <v>54.632163844333569</v>
      </c>
      <c r="J81" s="586"/>
      <c r="K81" s="504">
        <f t="shared" si="7"/>
        <v>874.11462150933698</v>
      </c>
      <c r="M81" s="504">
        <f t="shared" si="8"/>
        <v>1592.0021638443334</v>
      </c>
      <c r="O81" s="504">
        <f t="shared" si="9"/>
        <v>25472.034621509334</v>
      </c>
      <c r="Q81" s="599"/>
      <c r="S81" s="599"/>
    </row>
    <row r="82" spans="1:19">
      <c r="A82" s="585" t="s">
        <v>630</v>
      </c>
      <c r="B82" s="585" t="s">
        <v>631</v>
      </c>
      <c r="C82" s="570">
        <f>+ROUND('Proposed Rates'!B179*References!C12,2)</f>
        <v>154.09</v>
      </c>
      <c r="D82" s="570"/>
      <c r="E82" s="586">
        <f>+IFERROR(VLOOKUP(A82,'[51]Data Pivots'!$J$7:$Q$303,8,FALSE),0)+IFERROR(VLOOKUP(A82,'[51]Data Pivots'!$O$311:$AB$633,14,FALSE),0)</f>
        <v>34593.219999999994</v>
      </c>
      <c r="G82" s="674">
        <f t="shared" si="5"/>
        <v>18.708341445475586</v>
      </c>
      <c r="I82" s="504">
        <f t="shared" si="6"/>
        <v>5.4757606345729135</v>
      </c>
      <c r="J82" s="586"/>
      <c r="K82" s="504">
        <f t="shared" si="7"/>
        <v>1229.3087955034098</v>
      </c>
      <c r="M82" s="504">
        <f t="shared" si="8"/>
        <v>159.56576063457291</v>
      </c>
      <c r="O82" s="504">
        <f t="shared" si="9"/>
        <v>35822.5287955034</v>
      </c>
      <c r="Q82" s="599"/>
      <c r="S82" s="599"/>
    </row>
    <row r="83" spans="1:19">
      <c r="A83" s="585" t="s">
        <v>632</v>
      </c>
      <c r="B83" s="585" t="s">
        <v>633</v>
      </c>
      <c r="C83" s="570">
        <f>+ROUND('Proposed Rates'!B180*References!C11,2)</f>
        <v>402.56</v>
      </c>
      <c r="D83" s="570"/>
      <c r="E83" s="586">
        <f>+IFERROR(VLOOKUP(A83,'[51]Data Pivots'!$J$7:$Q$303,8,FALSE),0)+IFERROR(VLOOKUP(A83,'[51]Data Pivots'!$O$311:$AB$633,14,FALSE),0)</f>
        <v>194829.30000000002</v>
      </c>
      <c r="G83" s="674">
        <f t="shared" si="5"/>
        <v>40.331317070747225</v>
      </c>
      <c r="I83" s="504">
        <f t="shared" si="6"/>
        <v>14.305420215806816</v>
      </c>
      <c r="J83" s="586"/>
      <c r="K83" s="504">
        <f t="shared" si="7"/>
        <v>6923.4772626477825</v>
      </c>
      <c r="M83" s="504">
        <f t="shared" si="8"/>
        <v>416.86542021580681</v>
      </c>
      <c r="O83" s="504">
        <f t="shared" si="9"/>
        <v>201752.77726264781</v>
      </c>
      <c r="Q83" s="599"/>
      <c r="S83" s="599"/>
    </row>
    <row r="84" spans="1:19">
      <c r="A84" s="585" t="s">
        <v>634</v>
      </c>
      <c r="B84" s="585" t="s">
        <v>635</v>
      </c>
      <c r="C84" s="570">
        <f>+ROUND('Proposed Rates'!B180*References!C10,2)</f>
        <v>805.12</v>
      </c>
      <c r="D84" s="570"/>
      <c r="E84" s="586">
        <f>+IFERROR(VLOOKUP(A84,'[51]Data Pivots'!$J$7:$Q$303,8,FALSE),0)+IFERROR(VLOOKUP(A84,'[51]Data Pivots'!$O$311:$AB$633,14,FALSE),0)</f>
        <v>126001.28</v>
      </c>
      <c r="G84" s="674">
        <f t="shared" si="5"/>
        <v>13.041666666666666</v>
      </c>
      <c r="I84" s="504">
        <f t="shared" si="6"/>
        <v>28.610840431613632</v>
      </c>
      <c r="J84" s="586"/>
      <c r="K84" s="504">
        <f t="shared" si="7"/>
        <v>4477.5965275475337</v>
      </c>
      <c r="M84" s="504">
        <f t="shared" si="8"/>
        <v>833.73084043161361</v>
      </c>
      <c r="O84" s="504">
        <f t="shared" si="9"/>
        <v>130478.87652754753</v>
      </c>
      <c r="Q84" s="599"/>
      <c r="S84" s="599"/>
    </row>
    <row r="85" spans="1:19">
      <c r="A85" s="585" t="s">
        <v>636</v>
      </c>
      <c r="B85" s="585" t="s">
        <v>637</v>
      </c>
      <c r="C85" s="570">
        <f>+ROUND('Proposed Rates'!B180*References!C9,2)</f>
        <v>1207.68</v>
      </c>
      <c r="D85" s="570"/>
      <c r="E85" s="586">
        <f>+IFERROR(VLOOKUP(A85,'[51]Data Pivots'!$J$7:$Q$303,8,FALSE),0)+IFERROR(VLOOKUP(A85,'[51]Data Pivots'!$O$311:$AB$633,14,FALSE),0)</f>
        <v>57968.639999999999</v>
      </c>
      <c r="G85" s="674">
        <f t="shared" si="5"/>
        <v>4</v>
      </c>
      <c r="I85" s="504">
        <f t="shared" si="6"/>
        <v>42.916260647420451</v>
      </c>
      <c r="J85" s="586"/>
      <c r="K85" s="504">
        <f t="shared" si="7"/>
        <v>2059.9805110761818</v>
      </c>
      <c r="M85" s="504">
        <f t="shared" si="8"/>
        <v>1250.5962606474204</v>
      </c>
      <c r="O85" s="504">
        <f t="shared" si="9"/>
        <v>60028.62051107618</v>
      </c>
      <c r="Q85" s="599"/>
      <c r="S85" s="599"/>
    </row>
    <row r="86" spans="1:19">
      <c r="A86" s="585" t="s">
        <v>638</v>
      </c>
      <c r="B86" s="585" t="s">
        <v>639</v>
      </c>
      <c r="C86" s="570">
        <f>+ROUND('Proposed Rates'!B180*References!C8,2)</f>
        <v>1610.24</v>
      </c>
      <c r="D86" s="570"/>
      <c r="E86" s="586">
        <f>+IFERROR(VLOOKUP(A86,'[51]Data Pivots'!$J$7:$Q$303,8,FALSE),0)+IFERROR(VLOOKUP(A86,'[51]Data Pivots'!$O$311:$AB$633,14,FALSE),0)</f>
        <v>19322.88</v>
      </c>
      <c r="G86" s="674">
        <f t="shared" si="5"/>
        <v>1</v>
      </c>
      <c r="I86" s="504">
        <f t="shared" si="6"/>
        <v>57.221680863227263</v>
      </c>
      <c r="J86" s="586"/>
      <c r="K86" s="504">
        <f t="shared" si="7"/>
        <v>686.6601703587271</v>
      </c>
      <c r="M86" s="504">
        <f t="shared" si="8"/>
        <v>1667.4616808632272</v>
      </c>
      <c r="O86" s="504">
        <f t="shared" si="9"/>
        <v>20009.540170358727</v>
      </c>
      <c r="Q86" s="599"/>
      <c r="S86" s="599"/>
    </row>
    <row r="87" spans="1:19">
      <c r="A87" s="585" t="s">
        <v>640</v>
      </c>
      <c r="B87" s="585" t="s">
        <v>641</v>
      </c>
      <c r="C87" s="570">
        <f>+ROUND('Proposed Rates'!B180*References!C12,2)</f>
        <v>201.74</v>
      </c>
      <c r="D87" s="570"/>
      <c r="E87" s="586">
        <f>+IFERROR(VLOOKUP(A87,'[51]Data Pivots'!$J$7:$Q$303,8,FALSE),0)+IFERROR(VLOOKUP(A87,'[51]Data Pivots'!$O$311:$AB$633,14,FALSE),0)</f>
        <v>8271.34</v>
      </c>
      <c r="G87" s="674">
        <f t="shared" si="5"/>
        <v>3.4166666666666665</v>
      </c>
      <c r="I87" s="504">
        <f t="shared" si="6"/>
        <v>7.1690567228161441</v>
      </c>
      <c r="J87" s="586"/>
      <c r="K87" s="504">
        <f t="shared" si="7"/>
        <v>293.93132563546192</v>
      </c>
      <c r="M87" s="504">
        <f t="shared" si="8"/>
        <v>208.90905672281616</v>
      </c>
      <c r="O87" s="504">
        <f t="shared" si="9"/>
        <v>8565.2713256354618</v>
      </c>
      <c r="Q87" s="599"/>
      <c r="S87" s="599"/>
    </row>
    <row r="88" spans="1:19">
      <c r="A88" s="585" t="s">
        <v>642</v>
      </c>
      <c r="B88" s="585" t="s">
        <v>643</v>
      </c>
      <c r="C88" s="570">
        <f>+ROUND('Proposed Rates'!B271*References!C11,2)</f>
        <v>244.77</v>
      </c>
      <c r="D88" s="570"/>
      <c r="E88" s="586">
        <f>+IFERROR(VLOOKUP(A88,'[51]Data Pivots'!$J$7:$Q$303,8,FALSE),0)+IFERROR(VLOOKUP(A88,'[51]Data Pivots'!$O$311:$AB$633,14,FALSE),0)</f>
        <v>2937.2400000000002</v>
      </c>
      <c r="G88" s="674">
        <f t="shared" si="5"/>
        <v>1</v>
      </c>
      <c r="I88" s="504">
        <f t="shared" si="6"/>
        <v>8.6981759395445017</v>
      </c>
      <c r="J88" s="586"/>
      <c r="K88" s="504">
        <f t="shared" si="7"/>
        <v>104.37811127453402</v>
      </c>
      <c r="M88" s="504">
        <f t="shared" si="8"/>
        <v>253.46817593954452</v>
      </c>
      <c r="O88" s="504">
        <f t="shared" si="9"/>
        <v>3041.6181112745344</v>
      </c>
      <c r="Q88" s="599"/>
      <c r="S88" s="599"/>
    </row>
    <row r="89" spans="1:19">
      <c r="A89" s="585" t="s">
        <v>644</v>
      </c>
      <c r="B89" s="585" t="s">
        <v>645</v>
      </c>
      <c r="C89" s="570">
        <f>+ROUND('Proposed Rates'!B272*References!C11,2)</f>
        <v>334.75</v>
      </c>
      <c r="D89" s="570"/>
      <c r="E89" s="586">
        <f>+IFERROR(VLOOKUP(A89,'[51]Data Pivots'!$J$7:$Q$303,8,FALSE),0)+IFERROR(VLOOKUP(A89,'[51]Data Pivots'!$O$311:$AB$633,14,FALSE),0)</f>
        <v>7364.5</v>
      </c>
      <c r="G89" s="674">
        <f t="shared" si="5"/>
        <v>1.8333333333333333</v>
      </c>
      <c r="I89" s="504">
        <f t="shared" si="6"/>
        <v>11.895715960953227</v>
      </c>
      <c r="J89" s="586"/>
      <c r="K89" s="504">
        <f t="shared" si="7"/>
        <v>261.70575114097096</v>
      </c>
      <c r="M89" s="504">
        <f t="shared" si="8"/>
        <v>346.64571596095323</v>
      </c>
      <c r="O89" s="504">
        <f t="shared" si="9"/>
        <v>7626.2057511409712</v>
      </c>
      <c r="Q89" s="599"/>
      <c r="S89" s="599"/>
    </row>
    <row r="90" spans="1:19">
      <c r="A90" s="585" t="s">
        <v>646</v>
      </c>
      <c r="B90" s="585" t="s">
        <v>647</v>
      </c>
      <c r="C90" s="570">
        <f>+ROUND('Proposed Rates'!B273*References!C11,2)</f>
        <v>435.17</v>
      </c>
      <c r="D90" s="570"/>
      <c r="E90" s="586">
        <f>+IFERROR(VLOOKUP(A90,'[51]Data Pivots'!$J$7:$Q$303,8,FALSE),0)+IFERROR(VLOOKUP(A90,'[51]Data Pivots'!$O$311:$AB$633,14,FALSE),0)</f>
        <v>26110.199999999997</v>
      </c>
      <c r="G90" s="674">
        <f t="shared" si="5"/>
        <v>4.9999999999999991</v>
      </c>
      <c r="I90" s="504">
        <f t="shared" si="6"/>
        <v>15.46425306864232</v>
      </c>
      <c r="J90" s="586"/>
      <c r="K90" s="504">
        <f t="shared" si="7"/>
        <v>927.855184118539</v>
      </c>
      <c r="M90" s="504">
        <f t="shared" si="8"/>
        <v>450.63425306864235</v>
      </c>
      <c r="O90" s="504">
        <f t="shared" si="9"/>
        <v>27038.055184118537</v>
      </c>
      <c r="Q90" s="599"/>
      <c r="S90" s="599"/>
    </row>
    <row r="91" spans="1:19">
      <c r="A91" s="585" t="s">
        <v>648</v>
      </c>
      <c r="B91" s="585" t="s">
        <v>649</v>
      </c>
      <c r="C91" s="570">
        <f>+'Proposed Rates'!B183</f>
        <v>17.899999999999999</v>
      </c>
      <c r="D91" s="570"/>
      <c r="E91" s="586">
        <f>+IFERROR(VLOOKUP(A91,'[51]Data Pivots'!$J$7:$Q$303,8,FALSE),0)+IFERROR(VLOOKUP(A91,'[51]Data Pivots'!$O$311:$AB$633,14,FALSE),0)</f>
        <v>5540.8000000000011</v>
      </c>
      <c r="G91" s="674">
        <f t="shared" si="5"/>
        <v>25.795158286778406</v>
      </c>
      <c r="I91" s="504">
        <f t="shared" si="6"/>
        <v>0.63609653682169609</v>
      </c>
      <c r="J91" s="586"/>
      <c r="K91" s="504">
        <f t="shared" si="7"/>
        <v>196.89853023584664</v>
      </c>
      <c r="M91" s="504">
        <f t="shared" si="8"/>
        <v>18.536096536821695</v>
      </c>
      <c r="O91" s="504">
        <f t="shared" si="9"/>
        <v>5737.698530235848</v>
      </c>
      <c r="Q91" s="599"/>
      <c r="S91" s="599"/>
    </row>
    <row r="92" spans="1:19">
      <c r="A92" s="585" t="s">
        <v>650</v>
      </c>
      <c r="B92" s="585" t="s">
        <v>651</v>
      </c>
      <c r="C92" s="570">
        <f>+'Proposed Rates'!B184</f>
        <v>23.77</v>
      </c>
      <c r="D92" s="570"/>
      <c r="E92" s="586">
        <f>+IFERROR(VLOOKUP(A92,'[51]Data Pivots'!$J$7:$Q$303,8,FALSE),0)+IFERROR(VLOOKUP(A92,'[51]Data Pivots'!$O$311:$AB$633,14,FALSE),0)</f>
        <v>1140.96</v>
      </c>
      <c r="G92" s="674">
        <f t="shared" si="5"/>
        <v>4</v>
      </c>
      <c r="I92" s="504">
        <f t="shared" si="6"/>
        <v>0.84469355755596187</v>
      </c>
      <c r="J92" s="586"/>
      <c r="K92" s="504">
        <f t="shared" si="7"/>
        <v>40.545290762686172</v>
      </c>
      <c r="M92" s="504">
        <f t="shared" si="8"/>
        <v>24.614693557555963</v>
      </c>
      <c r="O92" s="504">
        <f t="shared" si="9"/>
        <v>1181.5052907626862</v>
      </c>
      <c r="Q92" s="599"/>
      <c r="S92" s="599"/>
    </row>
    <row r="93" spans="1:19">
      <c r="A93" s="585" t="s">
        <v>652</v>
      </c>
      <c r="B93" s="585" t="s">
        <v>653</v>
      </c>
      <c r="C93" s="570">
        <f>+'Proposed Rates'!B185</f>
        <v>28.06</v>
      </c>
      <c r="D93" s="570"/>
      <c r="E93" s="586">
        <f>+IFERROR(VLOOKUP(A93,'[51]Data Pivots'!$J$7:$Q$303,8,FALSE),0)+IFERROR(VLOOKUP(A93,'[51]Data Pivots'!$O$311:$AB$633,14,FALSE),0)</f>
        <v>5668.1200000000008</v>
      </c>
      <c r="G93" s="674">
        <f t="shared" si="5"/>
        <v>16.833333333333336</v>
      </c>
      <c r="I93" s="504">
        <f t="shared" si="6"/>
        <v>0.99714350967691578</v>
      </c>
      <c r="J93" s="586"/>
      <c r="K93" s="504">
        <f t="shared" si="7"/>
        <v>201.42298895473701</v>
      </c>
      <c r="M93" s="504">
        <f t="shared" si="8"/>
        <v>29.057143509676916</v>
      </c>
      <c r="O93" s="504">
        <f t="shared" si="9"/>
        <v>5869.5429889547377</v>
      </c>
      <c r="Q93" s="599"/>
      <c r="S93" s="599"/>
    </row>
    <row r="94" spans="1:19">
      <c r="A94" s="585" t="s">
        <v>654</v>
      </c>
      <c r="B94" s="585" t="s">
        <v>655</v>
      </c>
      <c r="C94" s="570">
        <f>+'Proposed Rates'!B186</f>
        <v>38.72</v>
      </c>
      <c r="D94" s="570"/>
      <c r="E94" s="586">
        <f>+IFERROR(VLOOKUP(A94,'[51]Data Pivots'!$J$7:$Q$303,8,FALSE),0)+IFERROR(VLOOKUP(A94,'[51]Data Pivots'!$O$311:$AB$633,14,FALSE),0)</f>
        <v>1122.8800000000001</v>
      </c>
      <c r="G94" s="674">
        <f t="shared" si="5"/>
        <v>2.416666666666667</v>
      </c>
      <c r="I94" s="504">
        <f t="shared" si="6"/>
        <v>1.3759585422198923</v>
      </c>
      <c r="J94" s="586"/>
      <c r="K94" s="504">
        <f t="shared" si="7"/>
        <v>39.902797724376882</v>
      </c>
      <c r="M94" s="504">
        <f t="shared" si="8"/>
        <v>40.09595854221989</v>
      </c>
      <c r="O94" s="504">
        <f t="shared" si="9"/>
        <v>1162.7827977243769</v>
      </c>
      <c r="Q94" s="599"/>
      <c r="S94" s="599"/>
    </row>
    <row r="95" spans="1:19">
      <c r="A95" s="585" t="s">
        <v>656</v>
      </c>
      <c r="B95" s="585" t="s">
        <v>657</v>
      </c>
      <c r="C95" s="570">
        <f>+'Proposed Rates'!B277</f>
        <v>57.53</v>
      </c>
      <c r="D95" s="570"/>
      <c r="E95" s="586">
        <f>+IFERROR(VLOOKUP(A95,'[51]Data Pivots'!$J$7:$Q$303,8,FALSE),0)+IFERROR(VLOOKUP(A95,'[51]Data Pivots'!$O$311:$AB$633,14,FALSE),0)</f>
        <v>114.62</v>
      </c>
      <c r="G95" s="674">
        <f t="shared" si="5"/>
        <v>0.16602931803696622</v>
      </c>
      <c r="I95" s="504">
        <f t="shared" si="6"/>
        <v>2.0443929476733063</v>
      </c>
      <c r="J95" s="586"/>
      <c r="K95" s="504">
        <f t="shared" si="7"/>
        <v>4.0731500028213867</v>
      </c>
      <c r="M95" s="504">
        <f t="shared" si="8"/>
        <v>59.57439294767331</v>
      </c>
      <c r="O95" s="504">
        <f t="shared" si="9"/>
        <v>118.6931500028214</v>
      </c>
      <c r="Q95" s="599"/>
      <c r="S95" s="599"/>
    </row>
    <row r="96" spans="1:19">
      <c r="A96" s="585" t="s">
        <v>658</v>
      </c>
      <c r="B96" s="585" t="s">
        <v>659</v>
      </c>
      <c r="C96" s="570">
        <f>+'Proposed Rates'!B278</f>
        <v>78.31</v>
      </c>
      <c r="D96" s="570"/>
      <c r="E96" s="586">
        <f>+IFERROR(VLOOKUP(A96,'[51]Data Pivots'!$J$7:$Q$303,8,FALSE),0)+IFERROR(VLOOKUP(A96,'[51]Data Pivots'!$O$311:$AB$633,14,FALSE),0)</f>
        <v>4872</v>
      </c>
      <c r="G96" s="674">
        <f t="shared" si="5"/>
        <v>5.1845230494189751</v>
      </c>
      <c r="I96" s="504">
        <f t="shared" si="6"/>
        <v>2.7828335082964819</v>
      </c>
      <c r="J96" s="586"/>
      <c r="K96" s="504">
        <f t="shared" si="7"/>
        <v>173.13197359750299</v>
      </c>
      <c r="M96" s="504">
        <f t="shared" si="8"/>
        <v>81.092833508296479</v>
      </c>
      <c r="O96" s="504">
        <f t="shared" si="9"/>
        <v>5045.131973597503</v>
      </c>
      <c r="Q96" s="599"/>
      <c r="S96" s="599"/>
    </row>
    <row r="97" spans="1:19">
      <c r="A97" s="585" t="s">
        <v>660</v>
      </c>
      <c r="B97" s="585" t="s">
        <v>661</v>
      </c>
      <c r="C97" s="570">
        <f>+'Proposed Rates'!B187</f>
        <v>49.82</v>
      </c>
      <c r="D97" s="570"/>
      <c r="E97" s="586">
        <f>+IFERROR(VLOOKUP(A97,'[51]Data Pivots'!$J$7:$Q$303,8,FALSE),0)+IFERROR(VLOOKUP(A97,'[51]Data Pivots'!$O$311:$AB$633,14,FALSE),0)</f>
        <v>1494.6000000000001</v>
      </c>
      <c r="G97" s="674">
        <f t="shared" si="5"/>
        <v>2.5000000000000004</v>
      </c>
      <c r="I97" s="504">
        <f t="shared" si="6"/>
        <v>1.770409467288095</v>
      </c>
      <c r="J97" s="586"/>
      <c r="K97" s="504">
        <f t="shared" si="7"/>
        <v>53.112284018642853</v>
      </c>
      <c r="M97" s="504">
        <f t="shared" si="8"/>
        <v>51.590409467288097</v>
      </c>
      <c r="O97" s="504">
        <f t="shared" si="9"/>
        <v>1547.712284018643</v>
      </c>
      <c r="Q97" s="599"/>
      <c r="S97" s="599"/>
    </row>
    <row r="98" spans="1:19">
      <c r="A98" s="585" t="s">
        <v>662</v>
      </c>
      <c r="B98" s="585" t="s">
        <v>663</v>
      </c>
      <c r="C98" s="570">
        <f>+'Proposed Rates'!B188</f>
        <v>60.96</v>
      </c>
      <c r="D98" s="570"/>
      <c r="E98" s="586">
        <f>+IFERROR(VLOOKUP(A98,'[51]Data Pivots'!$J$7:$Q$303,8,FALSE),0)+IFERROR(VLOOKUP(A98,'[51]Data Pivots'!$O$311:$AB$633,14,FALSE),0)</f>
        <v>548.64</v>
      </c>
      <c r="G98" s="674">
        <f t="shared" si="5"/>
        <v>0.75</v>
      </c>
      <c r="I98" s="504">
        <f t="shared" si="6"/>
        <v>2.1662818371313182</v>
      </c>
      <c r="J98" s="586"/>
      <c r="K98" s="504">
        <f t="shared" si="7"/>
        <v>19.496536534181864</v>
      </c>
      <c r="M98" s="504">
        <f t="shared" si="8"/>
        <v>63.126281837131316</v>
      </c>
      <c r="O98" s="504">
        <f t="shared" si="9"/>
        <v>568.1365365341818</v>
      </c>
      <c r="Q98" s="599"/>
      <c r="S98" s="599"/>
    </row>
    <row r="99" spans="1:19">
      <c r="A99" s="585" t="s">
        <v>664</v>
      </c>
      <c r="B99" s="585" t="s">
        <v>665</v>
      </c>
      <c r="C99" s="570">
        <f>+'Proposed Rates'!B189</f>
        <v>72.010000000000005</v>
      </c>
      <c r="D99" s="570"/>
      <c r="E99" s="586">
        <f>+IFERROR(VLOOKUP(A99,'[51]Data Pivots'!$J$7:$Q$303,8,FALSE),0)+IFERROR(VLOOKUP(A99,'[51]Data Pivots'!$O$311:$AB$633,14,FALSE),0)</f>
        <v>1800.25</v>
      </c>
      <c r="G99" s="674">
        <f t="shared" si="5"/>
        <v>2.0833333333333335</v>
      </c>
      <c r="I99" s="504">
        <f t="shared" si="6"/>
        <v>2.5589559562307453</v>
      </c>
      <c r="J99" s="586"/>
      <c r="K99" s="504">
        <f t="shared" si="7"/>
        <v>63.973898905768642</v>
      </c>
      <c r="M99" s="504">
        <f t="shared" si="8"/>
        <v>74.568955956230752</v>
      </c>
      <c r="O99" s="504">
        <f t="shared" si="9"/>
        <v>1864.2238989057687</v>
      </c>
      <c r="Q99" s="599"/>
      <c r="S99" s="599"/>
    </row>
    <row r="100" spans="1:19">
      <c r="A100" s="585" t="s">
        <v>666</v>
      </c>
      <c r="B100" s="585" t="s">
        <v>667</v>
      </c>
      <c r="C100" s="570">
        <f>+'Proposed Rates'!B190</f>
        <v>93.97</v>
      </c>
      <c r="D100" s="570"/>
      <c r="E100" s="586">
        <f>+IFERROR(VLOOKUP(A100,'[51]Data Pivots'!$J$7:$Q$303,8,FALSE),0)+IFERROR(VLOOKUP(A100,'[51]Data Pivots'!$O$311:$AB$633,14,FALSE),0)</f>
        <v>2139.3500000000004</v>
      </c>
      <c r="G100" s="674">
        <f t="shared" si="5"/>
        <v>1.8971923663580579</v>
      </c>
      <c r="I100" s="504">
        <f t="shared" si="6"/>
        <v>3.3393291377170269</v>
      </c>
      <c r="J100" s="586"/>
      <c r="K100" s="504">
        <f t="shared" si="7"/>
        <v>76.02419698600535</v>
      </c>
      <c r="M100" s="504">
        <f t="shared" si="8"/>
        <v>97.309329137717029</v>
      </c>
      <c r="O100" s="504">
        <f t="shared" si="9"/>
        <v>2215.3741969860057</v>
      </c>
      <c r="Q100" s="599"/>
      <c r="S100" s="599"/>
    </row>
    <row r="101" spans="1:19">
      <c r="A101" s="585" t="s">
        <v>668</v>
      </c>
      <c r="B101" s="585" t="s">
        <v>669</v>
      </c>
      <c r="C101" s="570">
        <f>+'Proposed Rates'!B204</f>
        <v>16.899999999999999</v>
      </c>
      <c r="D101" s="570"/>
      <c r="E101" s="586">
        <f>+IFERROR(VLOOKUP(A101,'[51]Data Pivots'!$J$7:$Q$303,8,FALSE),0)+IFERROR(VLOOKUP(A101,'[51]Data Pivots'!$O$311:$AB$633,14,FALSE),0)</f>
        <v>5467.15</v>
      </c>
      <c r="G101" s="674">
        <f t="shared" si="5"/>
        <v>26.958333333333332</v>
      </c>
      <c r="I101" s="504">
        <f t="shared" si="6"/>
        <v>0.60056041744618227</v>
      </c>
      <c r="J101" s="586"/>
      <c r="K101" s="504">
        <f t="shared" si="7"/>
        <v>194.28129504383995</v>
      </c>
      <c r="M101" s="504">
        <f t="shared" si="8"/>
        <v>17.500560417446181</v>
      </c>
      <c r="O101" s="504">
        <f t="shared" si="9"/>
        <v>5661.4312950438398</v>
      </c>
      <c r="Q101" s="599"/>
      <c r="S101" s="599"/>
    </row>
    <row r="102" spans="1:19">
      <c r="A102" s="585" t="s">
        <v>670</v>
      </c>
      <c r="B102" s="585" t="s">
        <v>671</v>
      </c>
      <c r="C102" s="570">
        <f>+'Proposed Rates'!B205</f>
        <v>22.77</v>
      </c>
      <c r="D102" s="570"/>
      <c r="E102" s="586">
        <f>+IFERROR(VLOOKUP(A102,'[51]Data Pivots'!$J$7:$Q$303,8,FALSE),0)+IFERROR(VLOOKUP(A102,'[51]Data Pivots'!$O$311:$AB$633,14,FALSE),0)</f>
        <v>2504.6999999999998</v>
      </c>
      <c r="G102" s="674">
        <f t="shared" si="5"/>
        <v>9.1666666666666661</v>
      </c>
      <c r="I102" s="504">
        <f t="shared" si="6"/>
        <v>0.80915743818044805</v>
      </c>
      <c r="J102" s="586"/>
      <c r="K102" s="504">
        <f t="shared" si="7"/>
        <v>89.00731819984928</v>
      </c>
      <c r="M102" s="504">
        <f t="shared" si="8"/>
        <v>23.579157438180449</v>
      </c>
      <c r="O102" s="504">
        <f t="shared" si="9"/>
        <v>2593.7073181998489</v>
      </c>
      <c r="Q102" s="599"/>
      <c r="S102" s="599"/>
    </row>
    <row r="103" spans="1:19">
      <c r="A103" s="585" t="s">
        <v>672</v>
      </c>
      <c r="B103" s="585" t="s">
        <v>673</v>
      </c>
      <c r="C103" s="570">
        <f>+'Proposed Rates'!B206</f>
        <v>27.06</v>
      </c>
      <c r="D103" s="570"/>
      <c r="E103" s="586">
        <f>+IFERROR(VLOOKUP(A103,'[51]Data Pivots'!$J$7:$Q$303,8,FALSE),0)+IFERROR(VLOOKUP(A103,'[51]Data Pivots'!$O$311:$AB$633,14,FALSE),0)</f>
        <v>31667.32</v>
      </c>
      <c r="G103" s="674">
        <f t="shared" si="5"/>
        <v>97.521926582902196</v>
      </c>
      <c r="I103" s="504">
        <f t="shared" si="6"/>
        <v>0.96160739030140208</v>
      </c>
      <c r="J103" s="586"/>
      <c r="K103" s="504">
        <f t="shared" si="7"/>
        <v>1125.3336638225942</v>
      </c>
      <c r="M103" s="504">
        <f t="shared" si="8"/>
        <v>28.021607390301401</v>
      </c>
      <c r="O103" s="504">
        <f t="shared" si="9"/>
        <v>32792.653663822595</v>
      </c>
      <c r="Q103" s="599"/>
      <c r="S103" s="599"/>
    </row>
    <row r="104" spans="1:19">
      <c r="A104" s="585" t="s">
        <v>674</v>
      </c>
      <c r="B104" s="585" t="s">
        <v>675</v>
      </c>
      <c r="C104" s="570">
        <f>+'Proposed Rates'!B207</f>
        <v>37.72</v>
      </c>
      <c r="D104" s="570"/>
      <c r="E104" s="586">
        <f>+IFERROR(VLOOKUP(A104,'[51]Data Pivots'!$J$7:$Q$303,8,FALSE),0)+IFERROR(VLOOKUP(A104,'[51]Data Pivots'!$O$311:$AB$633,14,FALSE),0)</f>
        <v>1056.1599999999999</v>
      </c>
      <c r="G104" s="674">
        <f t="shared" si="5"/>
        <v>2.333333333333333</v>
      </c>
      <c r="I104" s="504">
        <f t="shared" si="6"/>
        <v>1.3404224228443786</v>
      </c>
      <c r="J104" s="586"/>
      <c r="K104" s="504">
        <f t="shared" si="7"/>
        <v>37.531827839642595</v>
      </c>
      <c r="M104" s="504">
        <f t="shared" si="8"/>
        <v>39.060422422844375</v>
      </c>
      <c r="O104" s="504">
        <f t="shared" si="9"/>
        <v>1093.6918278396424</v>
      </c>
      <c r="Q104" s="599"/>
      <c r="S104" s="599"/>
    </row>
    <row r="105" spans="1:19">
      <c r="A105" s="585" t="s">
        <v>676</v>
      </c>
      <c r="B105" s="585" t="s">
        <v>677</v>
      </c>
      <c r="C105" s="570">
        <f>+'Proposed Rates'!B208</f>
        <v>48.82</v>
      </c>
      <c r="D105" s="570"/>
      <c r="E105" s="586">
        <f>+IFERROR(VLOOKUP(A105,'[51]Data Pivots'!$J$7:$Q$303,8,FALSE),0)+IFERROR(VLOOKUP(A105,'[51]Data Pivots'!$O$311:$AB$633,14,FALSE),0)</f>
        <v>48.82</v>
      </c>
      <c r="G105" s="674">
        <f t="shared" si="5"/>
        <v>8.3333333333333329E-2</v>
      </c>
      <c r="I105" s="504">
        <f t="shared" si="6"/>
        <v>1.7348733479125813</v>
      </c>
      <c r="J105" s="586"/>
      <c r="K105" s="504">
        <f t="shared" si="7"/>
        <v>1.7348733479125811</v>
      </c>
      <c r="M105" s="504">
        <f t="shared" si="8"/>
        <v>50.554873347912583</v>
      </c>
      <c r="O105" s="504">
        <f t="shared" si="9"/>
        <v>50.554873347912583</v>
      </c>
      <c r="Q105" s="599"/>
      <c r="S105" s="599"/>
    </row>
    <row r="106" spans="1:19">
      <c r="A106" s="585" t="s">
        <v>678</v>
      </c>
      <c r="B106" s="585" t="s">
        <v>679</v>
      </c>
      <c r="C106" s="570">
        <f>+'Proposed Rates'!B211</f>
        <v>92.97</v>
      </c>
      <c r="D106" s="570"/>
      <c r="E106" s="586">
        <f>+IFERROR(VLOOKUP(A106,'[51]Data Pivots'!$J$7:$Q$303,8,FALSE),0)+IFERROR(VLOOKUP(A106,'[51]Data Pivots'!$O$311:$AB$633,14,FALSE),0)</f>
        <v>185.94</v>
      </c>
      <c r="G106" s="674">
        <f t="shared" si="5"/>
        <v>0.16666666666666666</v>
      </c>
      <c r="I106" s="504">
        <f t="shared" si="6"/>
        <v>3.3037930183415134</v>
      </c>
      <c r="J106" s="586"/>
      <c r="K106" s="504">
        <f t="shared" si="7"/>
        <v>6.6075860366830259</v>
      </c>
      <c r="M106" s="504">
        <f t="shared" si="8"/>
        <v>96.273793018341507</v>
      </c>
      <c r="O106" s="504">
        <f t="shared" si="9"/>
        <v>192.54758603668301</v>
      </c>
      <c r="Q106" s="599"/>
      <c r="S106" s="599"/>
    </row>
    <row r="107" spans="1:19">
      <c r="A107" s="585" t="s">
        <v>680</v>
      </c>
      <c r="B107" s="585" t="s">
        <v>681</v>
      </c>
      <c r="C107" s="570">
        <f>+'Proposed Rates'!B259</f>
        <v>12.28</v>
      </c>
      <c r="D107" s="570"/>
      <c r="E107" s="586">
        <f>+IFERROR(VLOOKUP(A107,'[51]Data Pivots'!$J$7:$Q$303,8,FALSE),0)+IFERROR(VLOOKUP(A107,'[51]Data Pivots'!$O$311:$AB$633,14,FALSE),0)</f>
        <v>122169.42</v>
      </c>
      <c r="G107" s="674">
        <f t="shared" si="5"/>
        <v>829.05415309446255</v>
      </c>
      <c r="I107" s="504">
        <f t="shared" si="6"/>
        <v>0.43638354593130885</v>
      </c>
      <c r="J107" s="586"/>
      <c r="K107" s="504">
        <f t="shared" si="7"/>
        <v>4341.4270931572773</v>
      </c>
      <c r="M107" s="504">
        <f t="shared" si="8"/>
        <v>12.716383545931308</v>
      </c>
      <c r="O107" s="504">
        <f t="shared" si="9"/>
        <v>126510.84709315728</v>
      </c>
      <c r="Q107" s="599"/>
      <c r="S107" s="599"/>
    </row>
    <row r="108" spans="1:19">
      <c r="A108" s="585" t="s">
        <v>682</v>
      </c>
      <c r="B108" s="585" t="s">
        <v>509</v>
      </c>
      <c r="C108" s="570">
        <f>+ROUND('Proposed Rates'!B254*References!D11,2)</f>
        <v>23.56</v>
      </c>
      <c r="D108" s="570"/>
      <c r="E108" s="586">
        <f>+IFERROR(VLOOKUP(A108,'[51]Data Pivots'!$J$7:$Q$303,8,FALSE),0)+IFERROR(VLOOKUP(A108,'[51]Data Pivots'!$O$311:$AB$633,14,FALSE),0)</f>
        <v>20090.79</v>
      </c>
      <c r="G108" s="674">
        <f t="shared" si="5"/>
        <v>71.062500000000014</v>
      </c>
      <c r="I108" s="504">
        <f t="shared" si="6"/>
        <v>0.83723097248710387</v>
      </c>
      <c r="J108" s="586"/>
      <c r="K108" s="504">
        <f t="shared" si="7"/>
        <v>713.94871178837798</v>
      </c>
      <c r="M108" s="504">
        <f t="shared" si="8"/>
        <v>24.397230972487101</v>
      </c>
      <c r="O108" s="504">
        <f t="shared" si="9"/>
        <v>20804.738711788377</v>
      </c>
      <c r="Q108" s="599"/>
      <c r="S108" s="599"/>
    </row>
    <row r="109" spans="1:19">
      <c r="A109" s="585" t="s">
        <v>683</v>
      </c>
      <c r="B109" s="585" t="s">
        <v>511</v>
      </c>
      <c r="C109" s="570">
        <f>+ROUND('Proposed Rates'!B254*References!E11,2)</f>
        <v>35.33</v>
      </c>
      <c r="D109" s="570"/>
      <c r="E109" s="586">
        <f>+IFERROR(VLOOKUP(A109,'[51]Data Pivots'!$J$7:$Q$303,8,FALSE),0)+IFERROR(VLOOKUP(A109,'[51]Data Pivots'!$O$311:$AB$633,14,FALSE),0)</f>
        <v>8204.4900000000016</v>
      </c>
      <c r="G109" s="674">
        <f t="shared" si="5"/>
        <v>19.35203792810643</v>
      </c>
      <c r="I109" s="504">
        <f t="shared" si="6"/>
        <v>1.2554910975369007</v>
      </c>
      <c r="J109" s="586"/>
      <c r="K109" s="504">
        <f t="shared" si="7"/>
        <v>291.55573605520885</v>
      </c>
      <c r="M109" s="504">
        <f t="shared" si="8"/>
        <v>36.585491097536902</v>
      </c>
      <c r="O109" s="504">
        <f t="shared" si="9"/>
        <v>8496.04573605521</v>
      </c>
      <c r="Q109" s="599"/>
      <c r="S109" s="599"/>
    </row>
    <row r="110" spans="1:19">
      <c r="A110" s="585" t="s">
        <v>684</v>
      </c>
      <c r="B110" s="585" t="s">
        <v>513</v>
      </c>
      <c r="C110" s="570">
        <f>+ROUND('Proposed Rates'!B254*References!F11,2)</f>
        <v>47.11</v>
      </c>
      <c r="D110" s="570"/>
      <c r="E110" s="586">
        <f>+IFERROR(VLOOKUP(A110,'[51]Data Pivots'!$J$7:$Q$303,8,FALSE),0)+IFERROR(VLOOKUP(A110,'[51]Data Pivots'!$O$311:$AB$633,14,FALSE),0)</f>
        <v>4475.4500000000007</v>
      </c>
      <c r="G110" s="674">
        <f t="shared" si="5"/>
        <v>7.9166666666666679</v>
      </c>
      <c r="I110" s="504">
        <f t="shared" si="6"/>
        <v>1.6741065837804527</v>
      </c>
      <c r="J110" s="586"/>
      <c r="K110" s="504">
        <f t="shared" si="7"/>
        <v>159.04012545914304</v>
      </c>
      <c r="M110" s="504">
        <f t="shared" si="8"/>
        <v>48.784106583780449</v>
      </c>
      <c r="O110" s="504">
        <f t="shared" si="9"/>
        <v>4634.4901254591441</v>
      </c>
      <c r="Q110" s="599"/>
      <c r="S110" s="599"/>
    </row>
    <row r="111" spans="1:19">
      <c r="A111" s="585" t="s">
        <v>685</v>
      </c>
      <c r="B111" s="585" t="s">
        <v>515</v>
      </c>
      <c r="C111" s="570">
        <f>+ROUND('Proposed Rates'!B254*References!G11,2)</f>
        <v>58.89</v>
      </c>
      <c r="D111" s="570"/>
      <c r="E111" s="586">
        <f>+IFERROR(VLOOKUP(A111,'[51]Data Pivots'!$J$7:$Q$303,8,FALSE),0)+IFERROR(VLOOKUP(A111,'[51]Data Pivots'!$O$311:$AB$633,14,FALSE),0)</f>
        <v>1325.03</v>
      </c>
      <c r="G111" s="674">
        <f t="shared" si="5"/>
        <v>1.8750070753382013</v>
      </c>
      <c r="I111" s="504">
        <f t="shared" si="6"/>
        <v>2.0927220700240046</v>
      </c>
      <c r="J111" s="586"/>
      <c r="K111" s="504">
        <f t="shared" si="7"/>
        <v>47.086424256136986</v>
      </c>
      <c r="M111" s="504">
        <f t="shared" si="8"/>
        <v>60.982722070024003</v>
      </c>
      <c r="O111" s="504">
        <f t="shared" si="9"/>
        <v>1372.116424256137</v>
      </c>
      <c r="Q111" s="599"/>
      <c r="S111" s="599"/>
    </row>
    <row r="112" spans="1:19">
      <c r="A112" s="585" t="s">
        <v>686</v>
      </c>
      <c r="B112" s="585" t="s">
        <v>517</v>
      </c>
      <c r="C112" s="570">
        <f>+ROUND('Proposed Rates'!B254*References!H11,2)</f>
        <v>70.67</v>
      </c>
      <c r="D112" s="570"/>
      <c r="E112" s="586">
        <f>+IFERROR(VLOOKUP(A112,'[51]Data Pivots'!$J$7:$Q$303,8,FALSE),0)+IFERROR(VLOOKUP(A112,'[51]Data Pivots'!$O$311:$AB$633,14,FALSE),0)</f>
        <v>848.04</v>
      </c>
      <c r="G112" s="674">
        <f t="shared" si="5"/>
        <v>1</v>
      </c>
      <c r="I112" s="504">
        <f t="shared" si="6"/>
        <v>2.5113375562675566</v>
      </c>
      <c r="J112" s="586"/>
      <c r="K112" s="504">
        <f t="shared" si="7"/>
        <v>30.136050675210679</v>
      </c>
      <c r="M112" s="504">
        <f t="shared" si="8"/>
        <v>73.181337556267565</v>
      </c>
      <c r="O112" s="504">
        <f t="shared" si="9"/>
        <v>878.1760506752106</v>
      </c>
      <c r="Q112" s="599"/>
      <c r="S112" s="599"/>
    </row>
    <row r="113" spans="1:19">
      <c r="A113" s="585" t="s">
        <v>687</v>
      </c>
      <c r="B113" s="585" t="s">
        <v>521</v>
      </c>
      <c r="C113" s="570">
        <f>+ROUND('Proposed Rates'!B254*References!C11*8,2)</f>
        <v>94.22</v>
      </c>
      <c r="D113" s="570"/>
      <c r="E113" s="586">
        <f>+IFERROR(VLOOKUP(A113,'[51]Data Pivots'!$J$7:$Q$303,8,FALSE),0)+IFERROR(VLOOKUP(A113,'[51]Data Pivots'!$O$311:$AB$633,14,FALSE),0)</f>
        <v>1130.6400000000001</v>
      </c>
      <c r="G113" s="674">
        <f t="shared" si="5"/>
        <v>1.0000000000000002</v>
      </c>
      <c r="I113" s="504">
        <f t="shared" si="6"/>
        <v>3.3482131675609055</v>
      </c>
      <c r="J113" s="586"/>
      <c r="K113" s="504">
        <f t="shared" si="7"/>
        <v>40.178558010730875</v>
      </c>
      <c r="M113" s="504">
        <f t="shared" si="8"/>
        <v>97.568213167560899</v>
      </c>
      <c r="O113" s="504">
        <f t="shared" si="9"/>
        <v>1170.8185580107311</v>
      </c>
      <c r="Q113" s="599"/>
      <c r="S113" s="599"/>
    </row>
    <row r="114" spans="1:19">
      <c r="A114" s="585" t="s">
        <v>688</v>
      </c>
      <c r="B114" s="585" t="s">
        <v>522</v>
      </c>
      <c r="C114" s="570">
        <f>+ROUND('Proposed Rates'!B254*References!C11*9,2)</f>
        <v>106</v>
      </c>
      <c r="D114" s="570"/>
      <c r="E114" s="586">
        <f>+IFERROR(VLOOKUP(A114,'[51]Data Pivots'!$J$7:$Q$303,8,FALSE),0)+IFERROR(VLOOKUP(A114,'[51]Data Pivots'!$O$311:$AB$633,14,FALSE),0)</f>
        <v>1272</v>
      </c>
      <c r="G114" s="674">
        <f t="shared" si="5"/>
        <v>1</v>
      </c>
      <c r="I114" s="504">
        <f t="shared" si="6"/>
        <v>3.7668286538044575</v>
      </c>
      <c r="J114" s="586"/>
      <c r="K114" s="504">
        <f t="shared" si="7"/>
        <v>45.201943845653489</v>
      </c>
      <c r="M114" s="504">
        <f t="shared" si="8"/>
        <v>109.76682865380445</v>
      </c>
      <c r="O114" s="504">
        <f t="shared" si="9"/>
        <v>1317.2019438456534</v>
      </c>
      <c r="Q114" s="599"/>
      <c r="S114" s="599"/>
    </row>
    <row r="115" spans="1:19">
      <c r="A115" s="585" t="s">
        <v>689</v>
      </c>
      <c r="B115" s="585" t="s">
        <v>690</v>
      </c>
      <c r="C115" s="570">
        <f>+'Proposed Rates'!B260</f>
        <v>3.85</v>
      </c>
      <c r="D115" s="570"/>
      <c r="E115" s="586">
        <f>+IFERROR(VLOOKUP(A115,'[51]Data Pivots'!$J$7:$Q$303,8,FALSE),0)+IFERROR(VLOOKUP(A115,'[51]Data Pivots'!$O$311:$AB$633,14,FALSE),0)</f>
        <v>10895.34</v>
      </c>
      <c r="G115" s="674">
        <f t="shared" si="5"/>
        <v>235.8298701298701</v>
      </c>
      <c r="I115" s="504">
        <f t="shared" ref="I115:I151" si="10">+$I$6*C115</f>
        <v>0.13681405959572793</v>
      </c>
      <c r="J115" s="586"/>
      <c r="K115" s="504">
        <f t="shared" ref="K115:K151" si="11">+G115*I115*12</f>
        <v>387.17810287680993</v>
      </c>
      <c r="M115" s="504">
        <f t="shared" ref="M115:M151" si="12">+C115+I115</f>
        <v>3.9868140595957282</v>
      </c>
      <c r="O115" s="504">
        <f t="shared" ref="O115:O151" si="13">+E115+K115</f>
        <v>11282.518102876809</v>
      </c>
      <c r="Q115" s="599"/>
      <c r="S115" s="599"/>
    </row>
    <row r="116" spans="1:19">
      <c r="A116" s="585" t="s">
        <v>691</v>
      </c>
      <c r="B116" s="585" t="s">
        <v>692</v>
      </c>
      <c r="C116" s="570">
        <f>+'Proposed Rates'!B138</f>
        <v>17.579999999999998</v>
      </c>
      <c r="D116" s="570"/>
      <c r="E116" s="586">
        <f>+IFERROR(VLOOKUP(A116,'[51]Data Pivots'!$J$7:$Q$303,8,FALSE),0)+IFERROR(VLOOKUP(A116,'[51]Data Pivots'!$O$311:$AB$633,14,FALSE),0)</f>
        <v>86902.19</v>
      </c>
      <c r="G116" s="674">
        <f t="shared" ref="G116:G151" si="14">+IFERROR((E116/C116)/12,0)</f>
        <v>411.93681266590829</v>
      </c>
      <c r="I116" s="504">
        <f t="shared" si="10"/>
        <v>0.62472497862153165</v>
      </c>
      <c r="J116" s="586"/>
      <c r="K116" s="504">
        <f t="shared" si="11"/>
        <v>3088.1665978335777</v>
      </c>
      <c r="M116" s="504">
        <f t="shared" si="12"/>
        <v>18.204724978621531</v>
      </c>
      <c r="O116" s="504">
        <f t="shared" si="13"/>
        <v>89990.356597833583</v>
      </c>
      <c r="Q116" s="599"/>
      <c r="S116" s="599"/>
    </row>
    <row r="117" spans="1:19">
      <c r="A117" s="585" t="s">
        <v>693</v>
      </c>
      <c r="B117" s="585" t="s">
        <v>694</v>
      </c>
      <c r="C117" s="570">
        <f>+'Proposed Rates'!B139</f>
        <v>17.579999999999998</v>
      </c>
      <c r="D117" s="570"/>
      <c r="E117" s="586">
        <f>+IFERROR(VLOOKUP(A117,'[51]Data Pivots'!$J$7:$Q$303,8,FALSE),0)+IFERROR(VLOOKUP(A117,'[51]Data Pivots'!$O$311:$AB$633,14,FALSE),0)</f>
        <v>114.27</v>
      </c>
      <c r="G117" s="674">
        <f t="shared" si="14"/>
        <v>0.54166666666666663</v>
      </c>
      <c r="I117" s="504">
        <f t="shared" si="10"/>
        <v>0.62472497862153165</v>
      </c>
      <c r="J117" s="586"/>
      <c r="K117" s="504">
        <f t="shared" si="11"/>
        <v>4.0607123610399558</v>
      </c>
      <c r="M117" s="504">
        <f t="shared" si="12"/>
        <v>18.204724978621531</v>
      </c>
      <c r="O117" s="504">
        <f t="shared" si="13"/>
        <v>118.33071236103996</v>
      </c>
      <c r="Q117" s="599"/>
      <c r="S117" s="599"/>
    </row>
    <row r="118" spans="1:19">
      <c r="A118" s="585" t="s">
        <v>695</v>
      </c>
      <c r="B118" s="585" t="s">
        <v>696</v>
      </c>
      <c r="C118" s="1371">
        <f>+ROUND('Proposed Rates'!B308,2)</f>
        <v>8.6999999999999993</v>
      </c>
      <c r="D118" s="570"/>
      <c r="E118" s="586">
        <f>+IFERROR(VLOOKUP(A118,'[51]Data Pivots'!$J$7:$Q$303,8,FALSE),0)+IFERROR(VLOOKUP(A118,'[51]Data Pivots'!$O$311:$AB$633,14,FALSE),0)</f>
        <v>2184.86</v>
      </c>
      <c r="G118" s="674">
        <f t="shared" si="14"/>
        <v>20.927777777777781</v>
      </c>
      <c r="I118" s="504">
        <f t="shared" si="10"/>
        <v>0.30916423856696962</v>
      </c>
      <c r="J118" s="586"/>
      <c r="K118" s="504">
        <f t="shared" si="11"/>
        <v>77.64144577878497</v>
      </c>
      <c r="M118" s="504">
        <f t="shared" si="12"/>
        <v>9.009164238566969</v>
      </c>
      <c r="O118" s="504">
        <f t="shared" si="13"/>
        <v>2262.5014457787852</v>
      </c>
      <c r="Q118" s="599"/>
      <c r="S118" s="599"/>
    </row>
    <row r="119" spans="1:19">
      <c r="A119" s="585" t="s">
        <v>697</v>
      </c>
      <c r="B119" s="585" t="s">
        <v>698</v>
      </c>
      <c r="C119" s="570">
        <f>+'Proposed Rates'!B194</f>
        <v>31.4</v>
      </c>
      <c r="D119" s="570"/>
      <c r="E119" s="586">
        <f>+IFERROR(VLOOKUP(A119,'[51]Data Pivots'!$J$7:$Q$303,8,FALSE),0)+IFERROR(VLOOKUP(A119,'[51]Data Pivots'!$O$311:$AB$633,14,FALSE),0)</f>
        <v>20598.399999999998</v>
      </c>
      <c r="G119" s="674">
        <f t="shared" si="14"/>
        <v>54.666666666666664</v>
      </c>
      <c r="I119" s="504">
        <f t="shared" si="10"/>
        <v>1.1158341483911316</v>
      </c>
      <c r="J119" s="586"/>
      <c r="K119" s="504">
        <f t="shared" si="11"/>
        <v>731.98720134458233</v>
      </c>
      <c r="M119" s="504">
        <f t="shared" si="12"/>
        <v>32.515834148391129</v>
      </c>
      <c r="O119" s="504">
        <f t="shared" si="13"/>
        <v>21330.38720134458</v>
      </c>
      <c r="Q119" s="599"/>
      <c r="S119" s="599"/>
    </row>
    <row r="120" spans="1:19">
      <c r="A120" s="585" t="s">
        <v>699</v>
      </c>
      <c r="B120" s="585" t="s">
        <v>700</v>
      </c>
      <c r="C120" s="570">
        <f>+'Proposed Rates'!B194</f>
        <v>31.4</v>
      </c>
      <c r="D120" s="570"/>
      <c r="E120" s="586">
        <f>+IFERROR(VLOOKUP(A120,'[51]Data Pivots'!$J$7:$Q$303,8,FALSE),0)+IFERROR(VLOOKUP(A120,'[51]Data Pivots'!$O$311:$AB$633,14,FALSE),0)</f>
        <v>188.39999999999998</v>
      </c>
      <c r="G120" s="674">
        <f t="shared" si="14"/>
        <v>0.49999999999999994</v>
      </c>
      <c r="I120" s="504">
        <f t="shared" si="10"/>
        <v>1.1158341483911316</v>
      </c>
      <c r="J120" s="586"/>
      <c r="K120" s="504">
        <f t="shared" si="11"/>
        <v>6.6950048903467883</v>
      </c>
      <c r="M120" s="504">
        <f t="shared" si="12"/>
        <v>32.515834148391129</v>
      </c>
      <c r="O120" s="504">
        <f t="shared" si="13"/>
        <v>195.09500489034676</v>
      </c>
      <c r="Q120" s="599"/>
      <c r="S120" s="599"/>
    </row>
    <row r="121" spans="1:19">
      <c r="A121" s="585" t="s">
        <v>701</v>
      </c>
      <c r="B121" s="585" t="s">
        <v>702</v>
      </c>
      <c r="C121" s="570">
        <f>+'Proposed Rates'!B163</f>
        <v>12.03</v>
      </c>
      <c r="D121" s="570"/>
      <c r="E121" s="586">
        <f>+IFERROR(VLOOKUP(A121,'[51]Data Pivots'!$J$7:$Q$303,8,FALSE),0)+IFERROR(VLOOKUP(A121,'[51]Data Pivots'!$O$311:$AB$633,14,FALSE),0)</f>
        <v>150125.63999999998</v>
      </c>
      <c r="G121" s="674">
        <f t="shared" si="14"/>
        <v>1039.9393183707398</v>
      </c>
      <c r="I121" s="504">
        <f t="shared" si="10"/>
        <v>0.42749951608743036</v>
      </c>
      <c r="J121" s="586"/>
      <c r="K121" s="504">
        <f t="shared" si="11"/>
        <v>5334.8826643654011</v>
      </c>
      <c r="M121" s="504">
        <f t="shared" si="12"/>
        <v>12.457499516087429</v>
      </c>
      <c r="O121" s="504">
        <f t="shared" si="13"/>
        <v>155460.52266436539</v>
      </c>
      <c r="Q121" s="599"/>
      <c r="S121" s="599"/>
    </row>
    <row r="122" spans="1:19">
      <c r="A122" s="585" t="s">
        <v>703</v>
      </c>
      <c r="B122" s="585" t="s">
        <v>704</v>
      </c>
      <c r="C122" s="570">
        <f>+'Proposed Rates'!B164</f>
        <v>13.6</v>
      </c>
      <c r="D122" s="570"/>
      <c r="E122" s="586">
        <f>+IFERROR(VLOOKUP(A122,'[51]Data Pivots'!$J$7:$Q$303,8,FALSE),0)+IFERROR(VLOOKUP(A122,'[51]Data Pivots'!$O$311:$AB$633,14,FALSE),0)</f>
        <v>44531.149999999994</v>
      </c>
      <c r="G122" s="674">
        <f t="shared" si="14"/>
        <v>272.86243872549016</v>
      </c>
      <c r="I122" s="504">
        <f t="shared" si="10"/>
        <v>0.483291223506987</v>
      </c>
      <c r="J122" s="586"/>
      <c r="K122" s="504">
        <f t="shared" si="11"/>
        <v>1582.4642623289092</v>
      </c>
      <c r="M122" s="504">
        <f t="shared" si="12"/>
        <v>14.083291223506986</v>
      </c>
      <c r="O122" s="504">
        <f t="shared" si="13"/>
        <v>46113.614262328905</v>
      </c>
      <c r="Q122" s="599"/>
      <c r="S122" s="599"/>
    </row>
    <row r="123" spans="1:19">
      <c r="A123" s="585" t="s">
        <v>705</v>
      </c>
      <c r="B123" s="585" t="s">
        <v>706</v>
      </c>
      <c r="C123" s="570">
        <f>+'Proposed Rates'!B165</f>
        <v>14.64</v>
      </c>
      <c r="D123" s="570"/>
      <c r="E123" s="586">
        <f>+IFERROR(VLOOKUP(A123,'[51]Data Pivots'!$J$7:$Q$303,8,FALSE),0)+IFERROR(VLOOKUP(A123,'[51]Data Pivots'!$O$311:$AB$633,14,FALSE),0)</f>
        <v>138437.78</v>
      </c>
      <c r="G123" s="674">
        <f t="shared" si="14"/>
        <v>788.01104280510015</v>
      </c>
      <c r="I123" s="504">
        <f t="shared" si="10"/>
        <v>0.52024878765752136</v>
      </c>
      <c r="J123" s="586"/>
      <c r="K123" s="504">
        <f t="shared" si="11"/>
        <v>4919.54147616111</v>
      </c>
      <c r="M123" s="504">
        <f t="shared" si="12"/>
        <v>15.160248787657522</v>
      </c>
      <c r="O123" s="504">
        <f t="shared" si="13"/>
        <v>143357.3214761611</v>
      </c>
      <c r="Q123" s="599"/>
      <c r="S123" s="599"/>
    </row>
    <row r="124" spans="1:19">
      <c r="A124" s="585" t="s">
        <v>707</v>
      </c>
      <c r="B124" s="585" t="s">
        <v>708</v>
      </c>
      <c r="C124" s="570">
        <f>+'Proposed Rates'!B166</f>
        <v>15.69</v>
      </c>
      <c r="D124" s="570"/>
      <c r="E124" s="586">
        <f>+IFERROR(VLOOKUP(A124,'[51]Data Pivots'!$J$7:$Q$303,8,FALSE),0)+IFERROR(VLOOKUP(A124,'[51]Data Pivots'!$O$311:$AB$633,14,FALSE),0)</f>
        <v>53368.829999999994</v>
      </c>
      <c r="G124" s="674">
        <f t="shared" si="14"/>
        <v>283.45458891013385</v>
      </c>
      <c r="I124" s="504">
        <f t="shared" si="10"/>
        <v>0.55756171300181068</v>
      </c>
      <c r="J124" s="586"/>
      <c r="K124" s="504">
        <f t="shared" si="11"/>
        <v>1896.5211138114994</v>
      </c>
      <c r="M124" s="504">
        <f t="shared" si="12"/>
        <v>16.247561713001812</v>
      </c>
      <c r="O124" s="504">
        <f t="shared" si="13"/>
        <v>55265.351113811492</v>
      </c>
      <c r="Q124" s="599"/>
      <c r="S124" s="599"/>
    </row>
    <row r="125" spans="1:19">
      <c r="A125" s="585" t="s">
        <v>709</v>
      </c>
      <c r="B125" s="585" t="s">
        <v>710</v>
      </c>
      <c r="C125" s="570">
        <f>+'Proposed Rates'!B167</f>
        <v>16.73</v>
      </c>
      <c r="D125" s="570"/>
      <c r="E125" s="586">
        <f>+IFERROR(VLOOKUP(A125,'[51]Data Pivots'!$J$7:$Q$303,8,FALSE),0)+IFERROR(VLOOKUP(A125,'[51]Data Pivots'!$O$311:$AB$633,14,FALSE),0)</f>
        <v>61742.69</v>
      </c>
      <c r="G125" s="674">
        <f t="shared" si="14"/>
        <v>307.54477983662088</v>
      </c>
      <c r="I125" s="504">
        <f t="shared" si="10"/>
        <v>0.59451927715234509</v>
      </c>
      <c r="J125" s="586"/>
      <c r="K125" s="504">
        <f t="shared" si="11"/>
        <v>2194.0956024053394</v>
      </c>
      <c r="M125" s="504">
        <f t="shared" si="12"/>
        <v>17.324519277152344</v>
      </c>
      <c r="O125" s="504">
        <f t="shared" si="13"/>
        <v>63936.78560240534</v>
      </c>
      <c r="Q125" s="599"/>
      <c r="S125" s="599"/>
    </row>
    <row r="126" spans="1:19">
      <c r="A126" s="585" t="s">
        <v>711</v>
      </c>
      <c r="B126" s="585" t="s">
        <v>712</v>
      </c>
      <c r="C126" s="570">
        <f>+'Proposed Rates'!B168</f>
        <v>17.78</v>
      </c>
      <c r="D126" s="570"/>
      <c r="E126" s="586">
        <f>+IFERROR(VLOOKUP(A126,'[51]Data Pivots'!$J$7:$Q$303,8,FALSE),0)+IFERROR(VLOOKUP(A126,'[51]Data Pivots'!$O$311:$AB$633,14,FALSE),0)</f>
        <v>1271.2700000000002</v>
      </c>
      <c r="G126" s="674">
        <f t="shared" si="14"/>
        <v>5.9583333333333348</v>
      </c>
      <c r="I126" s="504">
        <f t="shared" si="10"/>
        <v>0.63183220249663452</v>
      </c>
      <c r="J126" s="586"/>
      <c r="K126" s="504">
        <f t="shared" si="11"/>
        <v>45.176002478509375</v>
      </c>
      <c r="M126" s="504">
        <f t="shared" si="12"/>
        <v>18.411832202496637</v>
      </c>
      <c r="O126" s="504">
        <f t="shared" si="13"/>
        <v>1316.4460024785096</v>
      </c>
      <c r="Q126" s="599"/>
      <c r="S126" s="599"/>
    </row>
    <row r="127" spans="1:19">
      <c r="A127" s="585" t="s">
        <v>713</v>
      </c>
      <c r="B127" s="585" t="s">
        <v>714</v>
      </c>
      <c r="C127" s="570">
        <f>+'Proposed Rates'!B169</f>
        <v>18.82</v>
      </c>
      <c r="D127" s="570"/>
      <c r="E127" s="586">
        <f>+IFERROR(VLOOKUP(A127,'[51]Data Pivots'!$J$7:$Q$303,8,FALSE),0)+IFERROR(VLOOKUP(A127,'[51]Data Pivots'!$O$311:$AB$633,14,FALSE),0)</f>
        <v>32093.460000000003</v>
      </c>
      <c r="G127" s="674">
        <f t="shared" si="14"/>
        <v>142.10706695005314</v>
      </c>
      <c r="I127" s="504">
        <f t="shared" si="10"/>
        <v>0.66878976664716883</v>
      </c>
      <c r="J127" s="586"/>
      <c r="K127" s="504">
        <f t="shared" si="11"/>
        <v>1140.4770257332757</v>
      </c>
      <c r="M127" s="504">
        <f t="shared" si="12"/>
        <v>19.488789766647169</v>
      </c>
      <c r="O127" s="504">
        <f t="shared" si="13"/>
        <v>33233.937025733278</v>
      </c>
      <c r="Q127" s="599"/>
      <c r="S127" s="599"/>
    </row>
    <row r="128" spans="1:19">
      <c r="A128" s="585" t="s">
        <v>715</v>
      </c>
      <c r="B128" s="585" t="s">
        <v>716</v>
      </c>
      <c r="C128" s="570">
        <f>+'Proposed Rates'!B170</f>
        <v>21.96</v>
      </c>
      <c r="D128" s="570"/>
      <c r="E128" s="586">
        <f>+IFERROR(VLOOKUP(A128,'[51]Data Pivots'!$J$7:$Q$303,8,FALSE),0)+IFERROR(VLOOKUP(A128,'[51]Data Pivots'!$O$311:$AB$633,14,FALSE),0)</f>
        <v>16364.62</v>
      </c>
      <c r="G128" s="674">
        <f t="shared" si="14"/>
        <v>62.100106253794785</v>
      </c>
      <c r="I128" s="504">
        <f t="shared" si="10"/>
        <v>0.78037318148628199</v>
      </c>
      <c r="J128" s="586"/>
      <c r="K128" s="504">
        <f t="shared" si="11"/>
        <v>581.53508985491987</v>
      </c>
      <c r="M128" s="504">
        <f t="shared" si="12"/>
        <v>22.740373181486284</v>
      </c>
      <c r="O128" s="504">
        <f t="shared" si="13"/>
        <v>16946.155089854921</v>
      </c>
      <c r="Q128" s="599"/>
      <c r="S128" s="599"/>
    </row>
    <row r="129" spans="1:19">
      <c r="A129" s="585" t="s">
        <v>717</v>
      </c>
      <c r="B129" s="585" t="s">
        <v>718</v>
      </c>
      <c r="C129" s="570">
        <f>+'Proposed Rates'!B224</f>
        <v>12.03</v>
      </c>
      <c r="D129" s="570"/>
      <c r="E129" s="586">
        <f>+IFERROR(VLOOKUP(A129,'[51]Data Pivots'!$J$7:$Q$303,8,FALSE),0)+IFERROR(VLOOKUP(A129,'[51]Data Pivots'!$O$311:$AB$633,14,FALSE),0)</f>
        <v>36.089999999999996</v>
      </c>
      <c r="G129" s="674">
        <f t="shared" si="14"/>
        <v>0.25</v>
      </c>
      <c r="I129" s="504">
        <f t="shared" si="10"/>
        <v>0.42749951608743036</v>
      </c>
      <c r="J129" s="586"/>
      <c r="K129" s="504">
        <f t="shared" si="11"/>
        <v>1.282498548262291</v>
      </c>
      <c r="M129" s="504">
        <f t="shared" si="12"/>
        <v>12.457499516087429</v>
      </c>
      <c r="O129" s="504">
        <f t="shared" si="13"/>
        <v>37.372498548262286</v>
      </c>
      <c r="Q129" s="599"/>
      <c r="S129" s="599"/>
    </row>
    <row r="130" spans="1:19">
      <c r="A130" s="585" t="s">
        <v>719</v>
      </c>
      <c r="B130" s="585" t="s">
        <v>720</v>
      </c>
      <c r="C130" s="570">
        <f>+'Proposed Rates'!B226</f>
        <v>14.64</v>
      </c>
      <c r="D130" s="570"/>
      <c r="E130" s="586">
        <f>+IFERROR(VLOOKUP(A130,'[51]Data Pivots'!$J$7:$Q$303,8,FALSE),0)+IFERROR(VLOOKUP(A130,'[51]Data Pivots'!$O$311:$AB$633,14,FALSE),0)</f>
        <v>58.56</v>
      </c>
      <c r="G130" s="674">
        <f t="shared" si="14"/>
        <v>0.33333333333333331</v>
      </c>
      <c r="I130" s="504">
        <f t="shared" si="10"/>
        <v>0.52024878765752136</v>
      </c>
      <c r="J130" s="586"/>
      <c r="K130" s="504">
        <f t="shared" si="11"/>
        <v>2.0809951506300854</v>
      </c>
      <c r="M130" s="504">
        <f t="shared" si="12"/>
        <v>15.160248787657522</v>
      </c>
      <c r="O130" s="504">
        <f t="shared" si="13"/>
        <v>60.64099515063009</v>
      </c>
      <c r="Q130" s="599"/>
      <c r="S130" s="599"/>
    </row>
    <row r="131" spans="1:19">
      <c r="A131" s="585" t="s">
        <v>721</v>
      </c>
      <c r="B131" s="585" t="s">
        <v>722</v>
      </c>
      <c r="C131" s="570">
        <f>+'Proposed Rates'!B227</f>
        <v>15.69</v>
      </c>
      <c r="D131" s="570"/>
      <c r="E131" s="586">
        <f>+IFERROR(VLOOKUP(A131,'[51]Data Pivots'!$J$7:$Q$303,8,FALSE),0)+IFERROR(VLOOKUP(A131,'[51]Data Pivots'!$O$311:$AB$633,14,FALSE),0)</f>
        <v>94.14</v>
      </c>
      <c r="G131" s="674">
        <f t="shared" si="14"/>
        <v>0.5</v>
      </c>
      <c r="I131" s="504">
        <f t="shared" si="10"/>
        <v>0.55756171300181068</v>
      </c>
      <c r="J131" s="586"/>
      <c r="K131" s="504">
        <f t="shared" si="11"/>
        <v>3.3453702780108641</v>
      </c>
      <c r="M131" s="504">
        <f t="shared" si="12"/>
        <v>16.247561713001812</v>
      </c>
      <c r="O131" s="504">
        <f t="shared" si="13"/>
        <v>97.485370278010862</v>
      </c>
      <c r="Q131" s="599"/>
      <c r="S131" s="599"/>
    </row>
    <row r="132" spans="1:19">
      <c r="A132" s="585" t="s">
        <v>723</v>
      </c>
      <c r="B132" s="585" t="s">
        <v>724</v>
      </c>
      <c r="C132" s="570">
        <f>+ROUND('Proposed Rates'!B224,2)</f>
        <v>12.03</v>
      </c>
      <c r="D132" s="570"/>
      <c r="E132" s="586">
        <f>+IFERROR(VLOOKUP(A132,'[51]Data Pivots'!$J$7:$Q$303,8,FALSE),0)+IFERROR(VLOOKUP(A132,'[51]Data Pivots'!$O$311:$AB$633,14,FALSE),0)</f>
        <v>1465.9899999999998</v>
      </c>
      <c r="G132" s="674">
        <f t="shared" si="14"/>
        <v>10.155098365198116</v>
      </c>
      <c r="I132" s="504">
        <f t="shared" si="10"/>
        <v>0.42749951608743036</v>
      </c>
      <c r="J132" s="586"/>
      <c r="K132" s="504">
        <f t="shared" si="11"/>
        <v>52.095595643309402</v>
      </c>
      <c r="M132" s="504">
        <f t="shared" si="12"/>
        <v>12.457499516087429</v>
      </c>
      <c r="O132" s="504">
        <f t="shared" si="13"/>
        <v>1518.0855956433093</v>
      </c>
      <c r="Q132" s="599"/>
      <c r="S132" s="599"/>
    </row>
    <row r="133" spans="1:19">
      <c r="A133" s="585" t="s">
        <v>725</v>
      </c>
      <c r="B133" s="585" t="s">
        <v>726</v>
      </c>
      <c r="C133" s="570">
        <f>+ROUND('Proposed Rates'!B225,2)</f>
        <v>13.6</v>
      </c>
      <c r="D133" s="570"/>
      <c r="E133" s="586">
        <f>+IFERROR(VLOOKUP(A133,'[51]Data Pivots'!$J$7:$Q$303,8,FALSE),0)+IFERROR(VLOOKUP(A133,'[51]Data Pivots'!$O$311:$AB$633,14,FALSE),0)</f>
        <v>1009.79</v>
      </c>
      <c r="G133" s="674">
        <f t="shared" si="14"/>
        <v>6.1874387254901961</v>
      </c>
      <c r="I133" s="504">
        <f t="shared" si="10"/>
        <v>0.483291223506987</v>
      </c>
      <c r="J133" s="586"/>
      <c r="K133" s="504">
        <f t="shared" si="11"/>
        <v>35.884017984200028</v>
      </c>
      <c r="M133" s="504">
        <f t="shared" si="12"/>
        <v>14.083291223506986</v>
      </c>
      <c r="O133" s="504">
        <f t="shared" si="13"/>
        <v>1045.6740179842</v>
      </c>
      <c r="Q133" s="599"/>
      <c r="S133" s="599"/>
    </row>
    <row r="134" spans="1:19">
      <c r="A134" s="585" t="s">
        <v>727</v>
      </c>
      <c r="B134" s="585" t="s">
        <v>728</v>
      </c>
      <c r="C134" s="570">
        <f>+ROUND('Proposed Rates'!B226,2)</f>
        <v>14.64</v>
      </c>
      <c r="D134" s="570"/>
      <c r="E134" s="586">
        <f>+IFERROR(VLOOKUP(A134,'[51]Data Pivots'!$J$7:$Q$303,8,FALSE),0)+IFERROR(VLOOKUP(A134,'[51]Data Pivots'!$O$311:$AB$633,14,FALSE),0)</f>
        <v>13625.160000000002</v>
      </c>
      <c r="G134" s="674">
        <f t="shared" si="14"/>
        <v>77.556693989071036</v>
      </c>
      <c r="I134" s="504">
        <f t="shared" si="10"/>
        <v>0.52024878765752136</v>
      </c>
      <c r="J134" s="586"/>
      <c r="K134" s="504">
        <f t="shared" si="11"/>
        <v>484.18531227047498</v>
      </c>
      <c r="M134" s="504">
        <f t="shared" si="12"/>
        <v>15.160248787657522</v>
      </c>
      <c r="O134" s="504">
        <f t="shared" si="13"/>
        <v>14109.345312270476</v>
      </c>
      <c r="Q134" s="599"/>
      <c r="S134" s="599"/>
    </row>
    <row r="135" spans="1:19">
      <c r="A135" s="585" t="s">
        <v>729</v>
      </c>
      <c r="B135" s="585" t="s">
        <v>730</v>
      </c>
      <c r="C135" s="570">
        <f>+ROUND('Proposed Rates'!B227,2)</f>
        <v>15.69</v>
      </c>
      <c r="D135" s="570"/>
      <c r="E135" s="586">
        <f>+IFERROR(VLOOKUP(A135,'[51]Data Pivots'!$J$7:$Q$303,8,FALSE),0)+IFERROR(VLOOKUP(A135,'[51]Data Pivots'!$O$311:$AB$633,14,FALSE),0)</f>
        <v>136.5</v>
      </c>
      <c r="G135" s="674">
        <f t="shared" si="14"/>
        <v>0.7249840662842576</v>
      </c>
      <c r="I135" s="504">
        <f t="shared" si="10"/>
        <v>0.55756171300181068</v>
      </c>
      <c r="J135" s="586"/>
      <c r="K135" s="504">
        <f t="shared" si="11"/>
        <v>4.8506802947576269</v>
      </c>
      <c r="M135" s="504">
        <f t="shared" si="12"/>
        <v>16.247561713001812</v>
      </c>
      <c r="O135" s="504">
        <f t="shared" si="13"/>
        <v>141.35068029475764</v>
      </c>
      <c r="Q135" s="599"/>
      <c r="S135" s="599"/>
    </row>
    <row r="136" spans="1:19">
      <c r="A136" s="585" t="s">
        <v>731</v>
      </c>
      <c r="B136" s="585" t="s">
        <v>732</v>
      </c>
      <c r="C136" s="570">
        <f>+ROUND('Proposed Rates'!B230,2)</f>
        <v>18.82</v>
      </c>
      <c r="D136" s="570"/>
      <c r="E136" s="586">
        <f>+IFERROR(VLOOKUP(A136,'[51]Data Pivots'!$J$7:$Q$303,8,FALSE),0)+IFERROR(VLOOKUP(A136,'[51]Data Pivots'!$O$311:$AB$633,14,FALSE),0)</f>
        <v>1.88</v>
      </c>
      <c r="G136" s="674">
        <f t="shared" si="14"/>
        <v>8.3244775061990777E-3</v>
      </c>
      <c r="I136" s="504">
        <f t="shared" si="10"/>
        <v>0.66878976664716883</v>
      </c>
      <c r="J136" s="586"/>
      <c r="K136" s="504">
        <f t="shared" si="11"/>
        <v>6.6807904425965847E-2</v>
      </c>
      <c r="M136" s="504">
        <f t="shared" si="12"/>
        <v>19.488789766647169</v>
      </c>
      <c r="O136" s="504">
        <f t="shared" si="13"/>
        <v>1.9468079044259659</v>
      </c>
      <c r="Q136" s="599"/>
      <c r="S136" s="599"/>
    </row>
    <row r="137" spans="1:19">
      <c r="A137" s="585" t="s">
        <v>733</v>
      </c>
      <c r="B137" s="585" t="s">
        <v>734</v>
      </c>
      <c r="C137" s="570">
        <f>+ROUND('Proposed Rates'!B231,2)</f>
        <v>21.96</v>
      </c>
      <c r="D137" s="570"/>
      <c r="E137" s="586">
        <f>+IFERROR(VLOOKUP(A137,'[51]Data Pivots'!$J$7:$Q$303,8,FALSE),0)+IFERROR(VLOOKUP(A137,'[51]Data Pivots'!$O$311:$AB$633,14,FALSE),0)</f>
        <v>112.73</v>
      </c>
      <c r="G137" s="674">
        <f t="shared" si="14"/>
        <v>0.42778536733454769</v>
      </c>
      <c r="I137" s="504">
        <f t="shared" si="10"/>
        <v>0.78037318148628199</v>
      </c>
      <c r="J137" s="586"/>
      <c r="K137" s="504">
        <f t="shared" si="11"/>
        <v>4.0059867372016651</v>
      </c>
      <c r="M137" s="504">
        <f t="shared" si="12"/>
        <v>22.740373181486284</v>
      </c>
      <c r="O137" s="504">
        <f t="shared" si="13"/>
        <v>116.73598673720167</v>
      </c>
      <c r="Q137" s="599"/>
      <c r="S137" s="599"/>
    </row>
    <row r="138" spans="1:19">
      <c r="A138" s="585" t="s">
        <v>735</v>
      </c>
      <c r="B138" s="585" t="s">
        <v>549</v>
      </c>
      <c r="C138" s="570">
        <f>+ROUND('Proposed Rates'!B105,2)</f>
        <v>95.6</v>
      </c>
      <c r="D138" s="570"/>
      <c r="E138" s="586">
        <f>+IFERROR(VLOOKUP(A138,'[51]Data Pivots'!$J$7:$Q$303,8,FALSE),0)+IFERROR(VLOOKUP(A138,'[51]Data Pivots'!$O$311:$AB$633,14,FALSE),0)</f>
        <v>405.45000000000005</v>
      </c>
      <c r="G138" s="674">
        <f t="shared" si="14"/>
        <v>0.35342573221757329</v>
      </c>
      <c r="I138" s="504">
        <f t="shared" si="10"/>
        <v>3.3972530122991142</v>
      </c>
      <c r="J138" s="586"/>
      <c r="K138" s="504">
        <f t="shared" si="11"/>
        <v>14.408119600802053</v>
      </c>
      <c r="M138" s="504">
        <f t="shared" si="12"/>
        <v>98.997253012299112</v>
      </c>
      <c r="O138" s="504">
        <f t="shared" si="13"/>
        <v>419.85811960080207</v>
      </c>
      <c r="Q138" s="599"/>
      <c r="S138" s="599"/>
    </row>
    <row r="139" spans="1:19">
      <c r="A139" s="585" t="s">
        <v>736</v>
      </c>
      <c r="B139" s="585" t="s">
        <v>551</v>
      </c>
      <c r="C139" s="570">
        <f>+ROUND('Proposed Rates'!B105+'Proposed Rates'!B109,2)</f>
        <v>141.80000000000001</v>
      </c>
      <c r="D139" s="570"/>
      <c r="E139" s="586">
        <f>+IFERROR(VLOOKUP(A139,'[51]Data Pivots'!$J$7:$Q$303,8,FALSE),0)+IFERROR(VLOOKUP(A139,'[51]Data Pivots'!$O$311:$AB$633,14,FALSE),0)</f>
        <v>70.8</v>
      </c>
      <c r="G139" s="674">
        <f t="shared" si="14"/>
        <v>4.1607898448519039E-2</v>
      </c>
      <c r="I139" s="504">
        <f t="shared" si="10"/>
        <v>5.0390217274478504</v>
      </c>
      <c r="J139" s="586"/>
      <c r="K139" s="504">
        <f t="shared" si="11"/>
        <v>2.5159572517863737</v>
      </c>
      <c r="M139" s="504">
        <f t="shared" si="12"/>
        <v>146.83902172744786</v>
      </c>
      <c r="O139" s="504">
        <f t="shared" si="13"/>
        <v>73.315957251786372</v>
      </c>
      <c r="Q139" s="599"/>
      <c r="S139" s="599"/>
    </row>
    <row r="140" spans="1:19">
      <c r="A140" s="585" t="s">
        <v>737</v>
      </c>
      <c r="B140" s="585" t="s">
        <v>738</v>
      </c>
      <c r="C140" s="570">
        <f>+ROUND('Proposed Rates'!B194,2)</f>
        <v>31.4</v>
      </c>
      <c r="D140" s="570"/>
      <c r="E140" s="586">
        <f>+IFERROR(VLOOKUP(A140,'[51]Data Pivots'!$J$7:$Q$303,8,FALSE),0)+IFERROR(VLOOKUP(A140,'[51]Data Pivots'!$O$311:$AB$633,14,FALSE),0)</f>
        <v>8485.9</v>
      </c>
      <c r="G140" s="674">
        <f t="shared" si="14"/>
        <v>22.520966029723994</v>
      </c>
      <c r="I140" s="504">
        <f t="shared" si="10"/>
        <v>1.1158341483911316</v>
      </c>
      <c r="J140" s="586"/>
      <c r="K140" s="504">
        <f t="shared" si="11"/>
        <v>301.55595540867211</v>
      </c>
      <c r="M140" s="504">
        <f t="shared" si="12"/>
        <v>32.515834148391129</v>
      </c>
      <c r="O140" s="504">
        <f t="shared" si="13"/>
        <v>8787.4559554086718</v>
      </c>
      <c r="Q140" s="599"/>
      <c r="S140" s="599"/>
    </row>
    <row r="141" spans="1:19">
      <c r="A141" s="585" t="s">
        <v>739</v>
      </c>
      <c r="B141" s="585" t="s">
        <v>555</v>
      </c>
      <c r="C141" s="570">
        <f>+'Proposed Rates'!B28</f>
        <v>10.5</v>
      </c>
      <c r="D141" s="570"/>
      <c r="E141" s="586">
        <f>+IFERROR(VLOOKUP(A141,'[51]Data Pivots'!$J$7:$Q$303,8,FALSE),0)+IFERROR(VLOOKUP(A141,'[51]Data Pivots'!$O$311:$AB$633,14,FALSE),0)</f>
        <v>43.9</v>
      </c>
      <c r="G141" s="674">
        <f t="shared" si="14"/>
        <v>0.34841269841269845</v>
      </c>
      <c r="I141" s="504">
        <f t="shared" si="10"/>
        <v>0.37312925344289438</v>
      </c>
      <c r="J141" s="586"/>
      <c r="K141" s="504">
        <f t="shared" si="11"/>
        <v>1.560035640585054</v>
      </c>
      <c r="M141" s="504">
        <f t="shared" si="12"/>
        <v>10.873129253442894</v>
      </c>
      <c r="O141" s="504">
        <f t="shared" si="13"/>
        <v>45.460035640585055</v>
      </c>
      <c r="Q141" s="599"/>
      <c r="S141" s="599"/>
    </row>
    <row r="142" spans="1:19">
      <c r="A142" s="585" t="s">
        <v>740</v>
      </c>
      <c r="B142" s="585" t="s">
        <v>741</v>
      </c>
      <c r="C142" s="570">
        <v>6.32</v>
      </c>
      <c r="D142" s="570"/>
      <c r="E142" s="586">
        <f>+IFERROR(VLOOKUP(A142,'[51]Data Pivots'!$J$7:$Q$303,8,FALSE),0)+IFERROR(VLOOKUP(A142,'[51]Data Pivots'!$O$311:$AB$633,14,FALSE),0)</f>
        <v>50236.84</v>
      </c>
      <c r="G142" s="674">
        <f t="shared" si="14"/>
        <v>662.40559071729956</v>
      </c>
      <c r="I142" s="504">
        <f t="shared" si="10"/>
        <v>0.22458827445324692</v>
      </c>
      <c r="J142" s="586"/>
      <c r="K142" s="504">
        <f t="shared" si="11"/>
        <v>1785.2223432885844</v>
      </c>
      <c r="M142" s="504">
        <f t="shared" si="12"/>
        <v>6.5445882744532469</v>
      </c>
      <c r="O142" s="504">
        <f t="shared" si="13"/>
        <v>52022.062343288584</v>
      </c>
      <c r="Q142" s="599"/>
      <c r="S142" s="599"/>
    </row>
    <row r="143" spans="1:19">
      <c r="A143" s="585" t="s">
        <v>742</v>
      </c>
      <c r="B143" s="585" t="s">
        <v>743</v>
      </c>
      <c r="C143" s="570">
        <v>3.17</v>
      </c>
      <c r="D143" s="570"/>
      <c r="E143" s="586">
        <f>+IFERROR(VLOOKUP(A143,'[51]Data Pivots'!$J$7:$Q$303,8,FALSE),0)+IFERROR(VLOOKUP(A143,'[51]Data Pivots'!$O$311:$AB$633,14,FALSE),0)</f>
        <v>3100.77</v>
      </c>
      <c r="G143" s="674">
        <f t="shared" si="14"/>
        <v>81.513406940063092</v>
      </c>
      <c r="I143" s="504">
        <f t="shared" si="10"/>
        <v>0.11264949842037858</v>
      </c>
      <c r="J143" s="586"/>
      <c r="K143" s="504">
        <f t="shared" si="11"/>
        <v>110.18933287601178</v>
      </c>
      <c r="M143" s="504">
        <f t="shared" si="12"/>
        <v>3.2826494984203785</v>
      </c>
      <c r="O143" s="504">
        <f t="shared" si="13"/>
        <v>3210.9593328760116</v>
      </c>
      <c r="Q143" s="599"/>
      <c r="S143" s="599"/>
    </row>
    <row r="144" spans="1:19">
      <c r="A144" s="585" t="s">
        <v>744</v>
      </c>
      <c r="B144" s="585" t="s">
        <v>745</v>
      </c>
      <c r="C144" s="570">
        <f>+ROUND('Proposed Rates'!B145+'Proposed Rates'!B194,2)</f>
        <v>61.4</v>
      </c>
      <c r="D144" s="570"/>
      <c r="E144" s="586">
        <f>+IFERROR(VLOOKUP(A144,'[51]Data Pivots'!$J$7:$Q$303,8,FALSE),0)+IFERROR(VLOOKUP(A144,'[51]Data Pivots'!$O$311:$AB$633,14,FALSE),0)</f>
        <v>307</v>
      </c>
      <c r="G144" s="674">
        <f t="shared" si="14"/>
        <v>0.41666666666666669</v>
      </c>
      <c r="I144" s="504">
        <f t="shared" si="10"/>
        <v>2.1819177296565444</v>
      </c>
      <c r="J144" s="586"/>
      <c r="K144" s="504">
        <f t="shared" si="11"/>
        <v>10.909588648282721</v>
      </c>
      <c r="M144" s="504">
        <f t="shared" si="12"/>
        <v>63.581917729656546</v>
      </c>
      <c r="O144" s="504">
        <f t="shared" si="13"/>
        <v>317.90958864828269</v>
      </c>
      <c r="Q144" s="599"/>
      <c r="S144" s="599"/>
    </row>
    <row r="145" spans="1:19">
      <c r="A145" s="585" t="s">
        <v>746</v>
      </c>
      <c r="B145" s="585" t="s">
        <v>747</v>
      </c>
      <c r="C145" s="570">
        <f>+ROUND('Proposed Rates'!B234*References!C11,2)</f>
        <v>6.32</v>
      </c>
      <c r="D145" s="570"/>
      <c r="E145" s="586">
        <f>+IFERROR(VLOOKUP(A145,'[51]Data Pivots'!$J$7:$Q$303,8,FALSE),0)+IFERROR(VLOOKUP(A145,'[51]Data Pivots'!$O$311:$AB$633,14,FALSE),0)</f>
        <v>20.439999999999998</v>
      </c>
      <c r="G145" s="674">
        <f t="shared" si="14"/>
        <v>0.26951476793248941</v>
      </c>
      <c r="I145" s="504">
        <f t="shared" si="10"/>
        <v>0.22458827445324692</v>
      </c>
      <c r="J145" s="586"/>
      <c r="K145" s="504">
        <f t="shared" si="11"/>
        <v>0.72635828003550107</v>
      </c>
      <c r="M145" s="504">
        <f t="shared" si="12"/>
        <v>6.5445882744532469</v>
      </c>
      <c r="O145" s="504">
        <f t="shared" si="13"/>
        <v>21.166358280035499</v>
      </c>
      <c r="Q145" s="599"/>
      <c r="S145" s="599"/>
    </row>
    <row r="146" spans="1:19">
      <c r="A146" s="585" t="s">
        <v>748</v>
      </c>
      <c r="B146" s="585" t="s">
        <v>749</v>
      </c>
      <c r="C146" s="570">
        <f>+ROUND('Proposed Rates'!B44*References!C11,2)</f>
        <v>7.45</v>
      </c>
      <c r="D146" s="570"/>
      <c r="E146" s="586">
        <f>+IFERROR(VLOOKUP(A146,'[51]Data Pivots'!$J$7:$Q$303,8,FALSE),0)+IFERROR(VLOOKUP(A146,'[51]Data Pivots'!$O$311:$AB$633,14,FALSE),0)</f>
        <v>2120.7099999999996</v>
      </c>
      <c r="G146" s="674">
        <f t="shared" si="14"/>
        <v>23.721588366890373</v>
      </c>
      <c r="I146" s="504">
        <f t="shared" si="10"/>
        <v>0.26474408934757743</v>
      </c>
      <c r="J146" s="586"/>
      <c r="K146" s="504">
        <f t="shared" si="11"/>
        <v>75.361803720845742</v>
      </c>
      <c r="M146" s="504">
        <f t="shared" si="12"/>
        <v>7.7147440893475778</v>
      </c>
      <c r="O146" s="504">
        <f t="shared" si="13"/>
        <v>2196.0718037208453</v>
      </c>
      <c r="Q146" s="599"/>
      <c r="S146" s="599"/>
    </row>
    <row r="147" spans="1:19">
      <c r="A147" s="585" t="s">
        <v>750</v>
      </c>
      <c r="B147" s="585" t="s">
        <v>751</v>
      </c>
      <c r="C147" s="570">
        <f>+ROUND('Proposed Rates'!B118*References!C12,2)</f>
        <v>4.54</v>
      </c>
      <c r="D147" s="570"/>
      <c r="E147" s="586">
        <f>+IFERROR(VLOOKUP(A147,'[51]Data Pivots'!$J$7:$Q$303,8,FALSE),0)+IFERROR(VLOOKUP(A147,'[51]Data Pivots'!$O$311:$AB$633,14,FALSE),0)</f>
        <v>2519.7000000000003</v>
      </c>
      <c r="G147" s="674">
        <f t="shared" si="14"/>
        <v>46.25</v>
      </c>
      <c r="I147" s="504">
        <f t="shared" si="10"/>
        <v>0.16133398196483242</v>
      </c>
      <c r="J147" s="586"/>
      <c r="K147" s="504">
        <f t="shared" si="11"/>
        <v>89.540359990481988</v>
      </c>
      <c r="M147" s="504">
        <f t="shared" si="12"/>
        <v>4.7013339819648321</v>
      </c>
      <c r="O147" s="504">
        <f t="shared" si="13"/>
        <v>2609.2403599904824</v>
      </c>
      <c r="Q147" s="599"/>
      <c r="S147" s="599"/>
    </row>
    <row r="148" spans="1:19">
      <c r="A148" s="585" t="s">
        <v>752</v>
      </c>
      <c r="B148" s="585" t="s">
        <v>753</v>
      </c>
      <c r="C148" s="570">
        <f>+ROUND('Proposed Rates'!B118*References!C11,2)</f>
        <v>9.0500000000000007</v>
      </c>
      <c r="D148" s="570"/>
      <c r="E148" s="586">
        <f>+IFERROR(VLOOKUP(A148,'[51]Data Pivots'!$J$7:$Q$303,8,FALSE),0)+IFERROR(VLOOKUP(A148,'[51]Data Pivots'!$O$311:$AB$633,14,FALSE),0)</f>
        <v>57807.74</v>
      </c>
      <c r="G148" s="674">
        <f t="shared" si="14"/>
        <v>532.29963167587471</v>
      </c>
      <c r="I148" s="504">
        <f t="shared" si="10"/>
        <v>0.32160188034839948</v>
      </c>
      <c r="J148" s="586"/>
      <c r="K148" s="504">
        <f t="shared" si="11"/>
        <v>2054.2627494686612</v>
      </c>
      <c r="M148" s="504">
        <f t="shared" si="12"/>
        <v>9.3716018803484005</v>
      </c>
      <c r="O148" s="504">
        <f t="shared" si="13"/>
        <v>59862.002749468658</v>
      </c>
      <c r="Q148" s="599"/>
      <c r="S148" s="599"/>
    </row>
    <row r="149" spans="1:19">
      <c r="A149" s="585" t="s">
        <v>754</v>
      </c>
      <c r="B149" s="585" t="s">
        <v>755</v>
      </c>
      <c r="C149" s="570">
        <v>0</v>
      </c>
      <c r="D149" s="570"/>
      <c r="E149" s="586">
        <f>+IFERROR(VLOOKUP(A149,'[51]Data Pivots'!$J$7:$Q$303,8,FALSE),0)+IFERROR(VLOOKUP(A149,'[51]Data Pivots'!$O$311:$AB$633,14,FALSE),0)</f>
        <v>-758</v>
      </c>
      <c r="G149" s="674">
        <f t="shared" si="14"/>
        <v>0</v>
      </c>
      <c r="I149" s="504">
        <f t="shared" si="10"/>
        <v>0</v>
      </c>
      <c r="J149" s="586"/>
      <c r="K149" s="504">
        <f t="shared" si="11"/>
        <v>0</v>
      </c>
      <c r="M149" s="504">
        <f t="shared" si="12"/>
        <v>0</v>
      </c>
      <c r="O149" s="504">
        <f t="shared" si="13"/>
        <v>-758</v>
      </c>
      <c r="Q149" s="599"/>
      <c r="S149" s="599"/>
    </row>
    <row r="150" spans="1:19">
      <c r="A150" s="585" t="s">
        <v>756</v>
      </c>
      <c r="B150" s="585" t="s">
        <v>757</v>
      </c>
      <c r="C150" s="570">
        <v>0</v>
      </c>
      <c r="D150" s="570"/>
      <c r="E150" s="586">
        <f>+IFERROR(VLOOKUP(A150,'[51]Data Pivots'!$J$7:$Q$303,8,FALSE),0)+IFERROR(VLOOKUP(A150,'[51]Data Pivots'!$O$311:$AB$633,14,FALSE),0)</f>
        <v>-587.90000000000009</v>
      </c>
      <c r="G150" s="674">
        <f t="shared" si="14"/>
        <v>0</v>
      </c>
      <c r="I150" s="504">
        <f t="shared" si="10"/>
        <v>0</v>
      </c>
      <c r="J150" s="586"/>
      <c r="K150" s="504">
        <f t="shared" si="11"/>
        <v>0</v>
      </c>
      <c r="M150" s="504">
        <f t="shared" si="12"/>
        <v>0</v>
      </c>
      <c r="O150" s="504">
        <f t="shared" si="13"/>
        <v>-587.90000000000009</v>
      </c>
      <c r="Q150" s="599"/>
      <c r="S150" s="599"/>
    </row>
    <row r="151" spans="1:19">
      <c r="A151" s="585" t="s">
        <v>758</v>
      </c>
      <c r="B151" s="585" t="s">
        <v>759</v>
      </c>
      <c r="C151" s="570">
        <v>0</v>
      </c>
      <c r="D151" s="570"/>
      <c r="E151" s="586">
        <f>+IFERROR(VLOOKUP(A151,'[51]Data Pivots'!$J$7:$Q$303,8,FALSE),0)+IFERROR(VLOOKUP(A151,'[51]Data Pivots'!$O$311:$AB$633,14,FALSE),0)</f>
        <v>-6829.6400000000012</v>
      </c>
      <c r="G151" s="674">
        <f t="shared" si="14"/>
        <v>0</v>
      </c>
      <c r="I151" s="504">
        <f t="shared" si="10"/>
        <v>0</v>
      </c>
      <c r="J151" s="586"/>
      <c r="K151" s="504">
        <f t="shared" si="11"/>
        <v>0</v>
      </c>
      <c r="M151" s="504">
        <f t="shared" si="12"/>
        <v>0</v>
      </c>
      <c r="O151" s="504">
        <f t="shared" si="13"/>
        <v>-6829.6400000000012</v>
      </c>
      <c r="Q151" s="599"/>
      <c r="S151" s="599"/>
    </row>
    <row r="152" spans="1:19">
      <c r="A152" s="587"/>
      <c r="B152" s="587"/>
      <c r="J152" s="586"/>
    </row>
    <row r="153" spans="1:19">
      <c r="A153" s="588"/>
      <c r="B153" s="589" t="s">
        <v>760</v>
      </c>
      <c r="E153" s="590">
        <f>+SUM(E51:E152)</f>
        <v>5770348.6800000016</v>
      </c>
      <c r="F153" s="591"/>
      <c r="G153" s="679">
        <f>+SUM(G51:G152)</f>
        <v>9157.0127629016533</v>
      </c>
      <c r="H153" s="591"/>
      <c r="I153" s="679"/>
      <c r="J153" s="590"/>
      <c r="K153" s="679">
        <f>+SUM(K51:K152)</f>
        <v>205346.32649621743</v>
      </c>
      <c r="L153" s="679"/>
      <c r="M153" s="679">
        <f>+SUM(M51:M152)</f>
        <v>21369.72721851966</v>
      </c>
      <c r="N153" s="679"/>
      <c r="O153" s="679">
        <f>+SUM(O51:O152)</f>
        <v>5975695.0064962124</v>
      </c>
      <c r="P153" s="599"/>
    </row>
    <row r="154" spans="1:19">
      <c r="A154" s="588"/>
      <c r="B154" s="589"/>
    </row>
    <row r="155" spans="1:19">
      <c r="A155" s="588"/>
      <c r="B155" s="589"/>
    </row>
    <row r="156" spans="1:19">
      <c r="A156" s="575" t="s">
        <v>761</v>
      </c>
      <c r="B156" s="576"/>
      <c r="C156" s="577"/>
      <c r="D156" s="578"/>
      <c r="E156" s="578"/>
      <c r="F156" s="578"/>
      <c r="G156" s="676"/>
      <c r="H156" s="578"/>
      <c r="I156" s="669"/>
      <c r="J156" s="578"/>
      <c r="K156" s="669"/>
      <c r="L156" s="669"/>
      <c r="M156" s="669"/>
      <c r="N156" s="669"/>
      <c r="O156" s="669"/>
    </row>
    <row r="157" spans="1:19">
      <c r="A157" s="580"/>
      <c r="B157" s="580"/>
    </row>
    <row r="158" spans="1:19">
      <c r="A158" s="585" t="s">
        <v>762</v>
      </c>
      <c r="B158" s="585" t="s">
        <v>763</v>
      </c>
      <c r="C158" s="721">
        <f>+'Proposed Rates'!B329</f>
        <v>104.26</v>
      </c>
      <c r="D158" s="570"/>
      <c r="E158" s="586">
        <f>+IFERROR(VLOOKUP(A158,'[51]Data Pivots'!$J$7:$Q$303,8,FALSE),0)+IFERROR(VLOOKUP(A158,'[51]Data Pivots'!$O$311:$AB$633,14,FALSE),0)</f>
        <v>2397.98</v>
      </c>
      <c r="G158" s="674">
        <f t="shared" ref="G158:G202" si="15">+IFERROR((E158/C158)/12,0)</f>
        <v>1.9166666666666667</v>
      </c>
      <c r="I158" s="504">
        <f t="shared" ref="I158:I202" si="16">+$I$6*C158</f>
        <v>3.7049958060910639</v>
      </c>
      <c r="J158" s="586"/>
      <c r="K158" s="504">
        <f t="shared" ref="K158:K202" si="17">+G158*I158*12</f>
        <v>85.214903540094483</v>
      </c>
      <c r="M158" s="504">
        <f t="shared" ref="M158:M202" si="18">+C158+I158</f>
        <v>107.96499580609107</v>
      </c>
      <c r="O158" s="504">
        <f t="shared" ref="O158:O202" si="19">+E158+K158</f>
        <v>2483.1949035400944</v>
      </c>
      <c r="Q158" s="599"/>
      <c r="S158" s="599"/>
    </row>
    <row r="159" spans="1:19">
      <c r="A159" s="585" t="s">
        <v>764</v>
      </c>
      <c r="B159" s="585" t="s">
        <v>765</v>
      </c>
      <c r="C159" s="721">
        <f>+ROUND('Proposed Rates'!B330,2)</f>
        <v>104.26</v>
      </c>
      <c r="D159" s="570"/>
      <c r="E159" s="586">
        <f>+IFERROR(VLOOKUP(A159,'[51]Data Pivots'!$J$7:$Q$303,8,FALSE),0)+IFERROR(VLOOKUP(A159,'[51]Data Pivots'!$O$311:$AB$633,14,FALSE),0)</f>
        <v>54632.240000000005</v>
      </c>
      <c r="G159" s="674">
        <f t="shared" si="15"/>
        <v>43.666666666666664</v>
      </c>
      <c r="I159" s="504">
        <f t="shared" si="16"/>
        <v>3.7049958060910639</v>
      </c>
      <c r="J159" s="586"/>
      <c r="K159" s="504">
        <f t="shared" si="17"/>
        <v>1941.4178023917173</v>
      </c>
      <c r="M159" s="504">
        <f t="shared" si="18"/>
        <v>107.96499580609107</v>
      </c>
      <c r="O159" s="504">
        <f t="shared" si="19"/>
        <v>56573.657802391725</v>
      </c>
      <c r="Q159" s="599"/>
      <c r="S159" s="599"/>
    </row>
    <row r="160" spans="1:19">
      <c r="A160" s="585" t="s">
        <v>766</v>
      </c>
      <c r="B160" s="585" t="s">
        <v>767</v>
      </c>
      <c r="C160" s="721">
        <f>+ROUND('Proposed Rates'!B331,2)</f>
        <v>108.6</v>
      </c>
      <c r="D160" s="570"/>
      <c r="E160" s="586">
        <f>+IFERROR(VLOOKUP(A160,'[51]Data Pivots'!$J$7:$Q$303,8,FALSE),0)+IFERROR(VLOOKUP(A160,'[51]Data Pivots'!$O$311:$AB$633,14,FALSE),0)</f>
        <v>67875</v>
      </c>
      <c r="G160" s="674">
        <f t="shared" si="15"/>
        <v>52.083333333333336</v>
      </c>
      <c r="I160" s="504">
        <f t="shared" si="16"/>
        <v>3.8592225641807931</v>
      </c>
      <c r="J160" s="586"/>
      <c r="K160" s="504">
        <f t="shared" si="17"/>
        <v>2412.0141026129959</v>
      </c>
      <c r="M160" s="504">
        <f t="shared" si="18"/>
        <v>112.45922256418079</v>
      </c>
      <c r="O160" s="504">
        <f t="shared" si="19"/>
        <v>70287.014102613</v>
      </c>
      <c r="Q160" s="599"/>
      <c r="S160" s="599"/>
    </row>
    <row r="161" spans="1:19">
      <c r="A161" s="585" t="s">
        <v>768</v>
      </c>
      <c r="B161" s="585" t="s">
        <v>769</v>
      </c>
      <c r="C161" s="721">
        <f>+ROUND('Proposed Rates'!B332,2)</f>
        <v>108.6</v>
      </c>
      <c r="D161" s="570"/>
      <c r="E161" s="586">
        <f>+IFERROR(VLOOKUP(A161,'[51]Data Pivots'!$J$7:$Q$303,8,FALSE),0)+IFERROR(VLOOKUP(A161,'[51]Data Pivots'!$O$311:$AB$633,14,FALSE),0)</f>
        <v>36055.199999999997</v>
      </c>
      <c r="G161" s="674">
        <f t="shared" si="15"/>
        <v>27.666666666666668</v>
      </c>
      <c r="I161" s="504">
        <f t="shared" si="16"/>
        <v>3.8592225641807931</v>
      </c>
      <c r="J161" s="586"/>
      <c r="K161" s="504">
        <f t="shared" si="17"/>
        <v>1281.2618913080235</v>
      </c>
      <c r="M161" s="504">
        <f t="shared" si="18"/>
        <v>112.45922256418079</v>
      </c>
      <c r="O161" s="504">
        <f t="shared" si="19"/>
        <v>37336.461891308019</v>
      </c>
      <c r="Q161" s="599"/>
      <c r="S161" s="599"/>
    </row>
    <row r="162" spans="1:19">
      <c r="A162" s="585" t="s">
        <v>770</v>
      </c>
      <c r="B162" s="585" t="s">
        <v>771</v>
      </c>
      <c r="C162" s="721">
        <f>+ROUND('Proposed Rates'!B330,2)</f>
        <v>104.26</v>
      </c>
      <c r="D162" s="570"/>
      <c r="E162" s="586">
        <f>+IFERROR(VLOOKUP(A162,'[51]Data Pivots'!$J$7:$Q$303,8,FALSE),0)+IFERROR(VLOOKUP(A162,'[51]Data Pivots'!$O$311:$AB$633,14,FALSE),0)</f>
        <v>125.27</v>
      </c>
      <c r="G162" s="674">
        <f t="shared" si="15"/>
        <v>0.1001262868469851</v>
      </c>
      <c r="I162" s="504">
        <f t="shared" si="16"/>
        <v>3.7049958060910639</v>
      </c>
      <c r="J162" s="586"/>
      <c r="K162" s="504">
        <f t="shared" si="17"/>
        <v>4.4516096741706077</v>
      </c>
      <c r="M162" s="504">
        <f t="shared" si="18"/>
        <v>107.96499580609107</v>
      </c>
      <c r="O162" s="504">
        <f t="shared" si="19"/>
        <v>129.72160967417059</v>
      </c>
      <c r="Q162" s="599"/>
      <c r="S162" s="599"/>
    </row>
    <row r="163" spans="1:19">
      <c r="A163" s="585" t="s">
        <v>772</v>
      </c>
      <c r="B163" s="585" t="s">
        <v>773</v>
      </c>
      <c r="C163" s="721">
        <f>+ROUND('Proposed Rates'!B331,2)</f>
        <v>108.6</v>
      </c>
      <c r="D163" s="570"/>
      <c r="E163" s="586">
        <f>+IFERROR(VLOOKUP(A163,'[51]Data Pivots'!$J$7:$Q$303,8,FALSE),0)+IFERROR(VLOOKUP(A163,'[51]Data Pivots'!$O$311:$AB$633,14,FALSE),0)</f>
        <v>108.6</v>
      </c>
      <c r="G163" s="674">
        <f t="shared" si="15"/>
        <v>8.3333333333333329E-2</v>
      </c>
      <c r="I163" s="504">
        <f t="shared" si="16"/>
        <v>3.8592225641807931</v>
      </c>
      <c r="J163" s="586"/>
      <c r="K163" s="504">
        <f t="shared" si="17"/>
        <v>3.8592225641807931</v>
      </c>
      <c r="M163" s="504">
        <f t="shared" si="18"/>
        <v>112.45922256418079</v>
      </c>
      <c r="O163" s="504">
        <f t="shared" si="19"/>
        <v>112.45922256418079</v>
      </c>
      <c r="Q163" s="599"/>
      <c r="S163" s="599"/>
    </row>
    <row r="164" spans="1:19">
      <c r="A164" s="585" t="s">
        <v>774</v>
      </c>
      <c r="B164" s="585" t="s">
        <v>775</v>
      </c>
      <c r="C164" s="721">
        <f>+ROUND('Proposed Rates'!B332,2)</f>
        <v>108.6</v>
      </c>
      <c r="D164" s="570"/>
      <c r="E164" s="586">
        <f>+IFERROR(VLOOKUP(A164,'[51]Data Pivots'!$J$7:$Q$303,8,FALSE),0)+IFERROR(VLOOKUP(A164,'[51]Data Pivots'!$O$311:$AB$633,14,FALSE),0)</f>
        <v>108.6</v>
      </c>
      <c r="G164" s="674">
        <f t="shared" si="15"/>
        <v>8.3333333333333329E-2</v>
      </c>
      <c r="I164" s="504">
        <f t="shared" si="16"/>
        <v>3.8592225641807931</v>
      </c>
      <c r="J164" s="586"/>
      <c r="K164" s="504">
        <f t="shared" si="17"/>
        <v>3.8592225641807931</v>
      </c>
      <c r="M164" s="504">
        <f t="shared" si="18"/>
        <v>112.45922256418079</v>
      </c>
      <c r="O164" s="504">
        <f t="shared" si="19"/>
        <v>112.45922256418079</v>
      </c>
      <c r="Q164" s="599"/>
      <c r="S164" s="599"/>
    </row>
    <row r="165" spans="1:19">
      <c r="A165" s="585" t="s">
        <v>776</v>
      </c>
      <c r="B165" s="585" t="s">
        <v>777</v>
      </c>
      <c r="C165" s="721">
        <f>+ROUND('Proposed Rates'!B330,2)</f>
        <v>104.26</v>
      </c>
      <c r="D165" s="570"/>
      <c r="E165" s="586">
        <f>+IFERROR(VLOOKUP(A165,'[51]Data Pivots'!$J$7:$Q$303,8,FALSE),0)+IFERROR(VLOOKUP(A165,'[51]Data Pivots'!$O$311:$AB$633,14,FALSE),0)</f>
        <v>312.78000000000003</v>
      </c>
      <c r="G165" s="674">
        <f t="shared" si="15"/>
        <v>0.25</v>
      </c>
      <c r="I165" s="504">
        <f t="shared" si="16"/>
        <v>3.7049958060910639</v>
      </c>
      <c r="J165" s="586"/>
      <c r="K165" s="504">
        <f t="shared" si="17"/>
        <v>11.114987418273191</v>
      </c>
      <c r="M165" s="504">
        <f t="shared" si="18"/>
        <v>107.96499580609107</v>
      </c>
      <c r="O165" s="504">
        <f t="shared" si="19"/>
        <v>323.89498741827322</v>
      </c>
      <c r="Q165" s="599"/>
      <c r="S165" s="599"/>
    </row>
    <row r="166" spans="1:19">
      <c r="A166" s="585" t="s">
        <v>778</v>
      </c>
      <c r="B166" s="585" t="s">
        <v>779</v>
      </c>
      <c r="C166" s="721">
        <f>+ROUND('Proposed Rates'!B331,2)</f>
        <v>108.6</v>
      </c>
      <c r="D166" s="570"/>
      <c r="E166" s="586">
        <f>+IFERROR(VLOOKUP(A166,'[51]Data Pivots'!$J$7:$Q$303,8,FALSE),0)+IFERROR(VLOOKUP(A166,'[51]Data Pivots'!$O$311:$AB$633,14,FALSE),0)</f>
        <v>108.6</v>
      </c>
      <c r="G166" s="674">
        <f t="shared" si="15"/>
        <v>8.3333333333333329E-2</v>
      </c>
      <c r="I166" s="504">
        <f t="shared" si="16"/>
        <v>3.8592225641807931</v>
      </c>
      <c r="J166" s="586"/>
      <c r="K166" s="504">
        <f t="shared" si="17"/>
        <v>3.8592225641807931</v>
      </c>
      <c r="M166" s="504">
        <f t="shared" si="18"/>
        <v>112.45922256418079</v>
      </c>
      <c r="O166" s="504">
        <f t="shared" si="19"/>
        <v>112.45922256418079</v>
      </c>
      <c r="Q166" s="599"/>
      <c r="S166" s="599"/>
    </row>
    <row r="167" spans="1:19">
      <c r="A167" s="585" t="s">
        <v>780</v>
      </c>
      <c r="B167" s="585" t="s">
        <v>781</v>
      </c>
      <c r="C167" s="721">
        <f>+ROUND('Proposed Rates'!B332,2)</f>
        <v>108.6</v>
      </c>
      <c r="D167" s="570"/>
      <c r="E167" s="586">
        <f>+IFERROR(VLOOKUP(A167,'[51]Data Pivots'!$J$7:$Q$303,8,FALSE),0)+IFERROR(VLOOKUP(A167,'[51]Data Pivots'!$O$311:$AB$633,14,FALSE),0)</f>
        <v>651.6</v>
      </c>
      <c r="G167" s="674">
        <f t="shared" si="15"/>
        <v>0.50000000000000011</v>
      </c>
      <c r="I167" s="504">
        <f t="shared" si="16"/>
        <v>3.8592225641807931</v>
      </c>
      <c r="J167" s="586"/>
      <c r="K167" s="504">
        <f t="shared" si="17"/>
        <v>23.155335385084765</v>
      </c>
      <c r="M167" s="504">
        <f t="shared" si="18"/>
        <v>112.45922256418079</v>
      </c>
      <c r="O167" s="504">
        <f t="shared" si="19"/>
        <v>674.75533538508478</v>
      </c>
      <c r="Q167" s="599"/>
      <c r="S167" s="599"/>
    </row>
    <row r="168" spans="1:19">
      <c r="A168" s="585" t="s">
        <v>782</v>
      </c>
      <c r="B168" s="585" t="s">
        <v>783</v>
      </c>
      <c r="C168" s="721">
        <f>+ROUND('Proposed Rates'!B342,2)</f>
        <v>104.26</v>
      </c>
      <c r="D168" s="570"/>
      <c r="E168" s="586">
        <f>+IFERROR(VLOOKUP(A168,'[51]Data Pivots'!$J$7:$Q$303,8,FALSE),0)+IFERROR(VLOOKUP(A168,'[51]Data Pivots'!$O$311:$AB$633,14,FALSE),0)</f>
        <v>208.52</v>
      </c>
      <c r="G168" s="674">
        <f t="shared" si="15"/>
        <v>0.16666666666666666</v>
      </c>
      <c r="I168" s="504">
        <f t="shared" si="16"/>
        <v>3.7049958060910639</v>
      </c>
      <c r="J168" s="586"/>
      <c r="K168" s="504">
        <f t="shared" si="17"/>
        <v>7.409991612182127</v>
      </c>
      <c r="M168" s="504">
        <f t="shared" si="18"/>
        <v>107.96499580609107</v>
      </c>
      <c r="O168" s="504">
        <f t="shared" si="19"/>
        <v>215.92999161218214</v>
      </c>
      <c r="Q168" s="599"/>
      <c r="S168" s="599"/>
    </row>
    <row r="169" spans="1:19">
      <c r="A169" s="585" t="s">
        <v>784</v>
      </c>
      <c r="B169" s="585" t="s">
        <v>785</v>
      </c>
      <c r="C169" s="721">
        <f>+ROUND('Proposed Rates'!B343,2)</f>
        <v>104.26</v>
      </c>
      <c r="D169" s="570"/>
      <c r="E169" s="586">
        <f>+IFERROR(VLOOKUP(A169,'[51]Data Pivots'!$J$7:$Q$303,8,FALSE),0)+IFERROR(VLOOKUP(A169,'[51]Data Pivots'!$O$311:$AB$633,14,FALSE),0)</f>
        <v>49940.539999999994</v>
      </c>
      <c r="G169" s="674">
        <f t="shared" si="15"/>
        <v>39.916666666666664</v>
      </c>
      <c r="I169" s="504">
        <f t="shared" si="16"/>
        <v>3.7049958060910639</v>
      </c>
      <c r="J169" s="586"/>
      <c r="K169" s="504">
        <f t="shared" si="17"/>
        <v>1774.6929911176196</v>
      </c>
      <c r="M169" s="504">
        <f t="shared" si="18"/>
        <v>107.96499580609107</v>
      </c>
      <c r="O169" s="504">
        <f t="shared" si="19"/>
        <v>51715.232991117613</v>
      </c>
      <c r="Q169" s="599"/>
      <c r="S169" s="599"/>
    </row>
    <row r="170" spans="1:19">
      <c r="A170" s="585" t="s">
        <v>786</v>
      </c>
      <c r="B170" s="585" t="s">
        <v>787</v>
      </c>
      <c r="C170" s="721">
        <f>+ROUND('Proposed Rates'!B344,2)</f>
        <v>108.6</v>
      </c>
      <c r="D170" s="570"/>
      <c r="E170" s="586">
        <f>+IFERROR(VLOOKUP(A170,'[51]Data Pivots'!$J$7:$Q$303,8,FALSE),0)+IFERROR(VLOOKUP(A170,'[51]Data Pivots'!$O$311:$AB$633,14,FALSE),0)</f>
        <v>64508.399999999994</v>
      </c>
      <c r="G170" s="674">
        <f t="shared" si="15"/>
        <v>49.5</v>
      </c>
      <c r="I170" s="504">
        <f t="shared" si="16"/>
        <v>3.8592225641807931</v>
      </c>
      <c r="J170" s="586"/>
      <c r="K170" s="504">
        <f t="shared" si="17"/>
        <v>2292.3782031233909</v>
      </c>
      <c r="M170" s="504">
        <f t="shared" si="18"/>
        <v>112.45922256418079</v>
      </c>
      <c r="O170" s="504">
        <f t="shared" si="19"/>
        <v>66800.77820312338</v>
      </c>
      <c r="Q170" s="599"/>
      <c r="S170" s="599"/>
    </row>
    <row r="171" spans="1:19">
      <c r="A171" s="585" t="s">
        <v>788</v>
      </c>
      <c r="B171" s="585" t="s">
        <v>789</v>
      </c>
      <c r="C171" s="721">
        <f>+ROUND('Proposed Rates'!B345,2)</f>
        <v>108.6</v>
      </c>
      <c r="D171" s="570"/>
      <c r="E171" s="586">
        <f>+IFERROR(VLOOKUP(A171,'[51]Data Pivots'!$J$7:$Q$303,8,FALSE),0)+IFERROR(VLOOKUP(A171,'[51]Data Pivots'!$O$311:$AB$633,14,FALSE),0)</f>
        <v>117179.4</v>
      </c>
      <c r="G171" s="674">
        <f t="shared" si="15"/>
        <v>89.916666666666671</v>
      </c>
      <c r="I171" s="504">
        <f t="shared" si="16"/>
        <v>3.8592225641807931</v>
      </c>
      <c r="J171" s="586"/>
      <c r="K171" s="504">
        <f t="shared" si="17"/>
        <v>4164.1011467510762</v>
      </c>
      <c r="M171" s="504">
        <f t="shared" si="18"/>
        <v>112.45922256418079</v>
      </c>
      <c r="O171" s="504">
        <f t="shared" si="19"/>
        <v>121343.50114675108</v>
      </c>
      <c r="Q171" s="599"/>
      <c r="S171" s="599"/>
    </row>
    <row r="172" spans="1:19">
      <c r="A172" s="585" t="s">
        <v>790</v>
      </c>
      <c r="B172" s="585" t="s">
        <v>791</v>
      </c>
      <c r="C172" s="721">
        <f>+ROUND('Proposed Rates'!B342,2)</f>
        <v>104.26</v>
      </c>
      <c r="D172" s="570"/>
      <c r="E172" s="586">
        <f>+IFERROR(VLOOKUP(A172,'[51]Data Pivots'!$J$7:$Q$303,8,FALSE),0)+IFERROR(VLOOKUP(A172,'[51]Data Pivots'!$O$311:$AB$633,14,FALSE),0)</f>
        <v>1772.42</v>
      </c>
      <c r="G172" s="674">
        <f t="shared" si="15"/>
        <v>1.4166666666666667</v>
      </c>
      <c r="I172" s="504">
        <f t="shared" si="16"/>
        <v>3.7049958060910639</v>
      </c>
      <c r="J172" s="586"/>
      <c r="K172" s="504">
        <f t="shared" si="17"/>
        <v>62.984928703548093</v>
      </c>
      <c r="M172" s="504">
        <f t="shared" si="18"/>
        <v>107.96499580609107</v>
      </c>
      <c r="O172" s="504">
        <f t="shared" si="19"/>
        <v>1835.4049287035482</v>
      </c>
      <c r="Q172" s="599"/>
      <c r="S172" s="599"/>
    </row>
    <row r="173" spans="1:19">
      <c r="A173" s="585" t="s">
        <v>792</v>
      </c>
      <c r="B173" s="585" t="s">
        <v>793</v>
      </c>
      <c r="C173" s="721">
        <f>+ROUND('Proposed Rates'!B343,2)</f>
        <v>104.26</v>
      </c>
      <c r="D173" s="570"/>
      <c r="E173" s="586">
        <f>+IFERROR(VLOOKUP(A173,'[51]Data Pivots'!$J$7:$Q$303,8,FALSE),0)+IFERROR(VLOOKUP(A173,'[51]Data Pivots'!$O$311:$AB$633,14,FALSE),0)</f>
        <v>79133.340000000011</v>
      </c>
      <c r="G173" s="674">
        <f t="shared" si="15"/>
        <v>63.250000000000007</v>
      </c>
      <c r="I173" s="504">
        <f t="shared" si="16"/>
        <v>3.7049958060910639</v>
      </c>
      <c r="J173" s="586"/>
      <c r="K173" s="504">
        <f t="shared" si="17"/>
        <v>2812.0918168231178</v>
      </c>
      <c r="M173" s="504">
        <f t="shared" si="18"/>
        <v>107.96499580609107</v>
      </c>
      <c r="O173" s="504">
        <f t="shared" si="19"/>
        <v>81945.431816823126</v>
      </c>
      <c r="Q173" s="599"/>
      <c r="S173" s="599"/>
    </row>
    <row r="174" spans="1:19">
      <c r="A174" s="585" t="s">
        <v>794</v>
      </c>
      <c r="B174" s="585" t="s">
        <v>795</v>
      </c>
      <c r="C174" s="721">
        <f>+ROUND('Proposed Rates'!B344,2)</f>
        <v>108.6</v>
      </c>
      <c r="D174" s="570"/>
      <c r="E174" s="586">
        <f>+IFERROR(VLOOKUP(A174,'[51]Data Pivots'!$J$7:$Q$303,8,FALSE),0)+IFERROR(VLOOKUP(A174,'[51]Data Pivots'!$O$311:$AB$633,14,FALSE),0)</f>
        <v>61033.2</v>
      </c>
      <c r="G174" s="674">
        <f t="shared" si="15"/>
        <v>46.833333333333336</v>
      </c>
      <c r="I174" s="504">
        <f t="shared" si="16"/>
        <v>3.8592225641807931</v>
      </c>
      <c r="J174" s="586"/>
      <c r="K174" s="504">
        <f t="shared" si="17"/>
        <v>2168.8830810696059</v>
      </c>
      <c r="M174" s="504">
        <f t="shared" si="18"/>
        <v>112.45922256418079</v>
      </c>
      <c r="O174" s="504">
        <f t="shared" si="19"/>
        <v>63202.083081069606</v>
      </c>
      <c r="Q174" s="599"/>
      <c r="S174" s="599"/>
    </row>
    <row r="175" spans="1:19">
      <c r="A175" s="585" t="s">
        <v>796</v>
      </c>
      <c r="B175" s="585" t="s">
        <v>797</v>
      </c>
      <c r="C175" s="721">
        <f>+ROUND('Proposed Rates'!B345,2)</f>
        <v>108.6</v>
      </c>
      <c r="D175" s="570"/>
      <c r="E175" s="586">
        <f>+IFERROR(VLOOKUP(A175,'[51]Data Pivots'!$J$7:$Q$303,8,FALSE),0)+IFERROR(VLOOKUP(A175,'[51]Data Pivots'!$O$311:$AB$633,14,FALSE),0)</f>
        <v>51259.199999999997</v>
      </c>
      <c r="G175" s="674">
        <f t="shared" si="15"/>
        <v>39.333333333333336</v>
      </c>
      <c r="I175" s="504">
        <f t="shared" si="16"/>
        <v>3.8592225641807931</v>
      </c>
      <c r="J175" s="586"/>
      <c r="K175" s="504">
        <f t="shared" si="17"/>
        <v>1821.5530502933345</v>
      </c>
      <c r="M175" s="504">
        <f t="shared" si="18"/>
        <v>112.45922256418079</v>
      </c>
      <c r="O175" s="504">
        <f t="shared" si="19"/>
        <v>53080.75305029333</v>
      </c>
      <c r="Q175" s="599"/>
      <c r="S175" s="599"/>
    </row>
    <row r="176" spans="1:19">
      <c r="A176" s="585" t="s">
        <v>798</v>
      </c>
      <c r="B176" s="585" t="s">
        <v>799</v>
      </c>
      <c r="C176" s="721">
        <f>+ROUND('Proposed Rates'!B369,2)</f>
        <v>106.43</v>
      </c>
      <c r="D176" s="570"/>
      <c r="E176" s="586">
        <f>+IFERROR(VLOOKUP(A176,'[51]Data Pivots'!$J$7:$Q$303,8,FALSE),0)+IFERROR(VLOOKUP(A176,'[51]Data Pivots'!$O$311:$AB$633,14,FALSE),0)</f>
        <v>22137.439999999999</v>
      </c>
      <c r="G176" s="674">
        <f t="shared" si="15"/>
        <v>17.333333333333332</v>
      </c>
      <c r="I176" s="504">
        <f t="shared" si="16"/>
        <v>3.7821091851359285</v>
      </c>
      <c r="J176" s="586"/>
      <c r="K176" s="504">
        <f t="shared" si="17"/>
        <v>786.67871050827307</v>
      </c>
      <c r="M176" s="504">
        <f t="shared" si="18"/>
        <v>110.21210918513593</v>
      </c>
      <c r="O176" s="504">
        <f t="shared" si="19"/>
        <v>22924.118710508272</v>
      </c>
      <c r="Q176" s="599"/>
      <c r="S176" s="599"/>
    </row>
    <row r="177" spans="1:19">
      <c r="A177" s="585" t="s">
        <v>800</v>
      </c>
      <c r="B177" s="585" t="s">
        <v>801</v>
      </c>
      <c r="C177" s="721">
        <f>+ROUND('Proposed Rates'!B370,2)</f>
        <v>106.43</v>
      </c>
      <c r="D177" s="570"/>
      <c r="E177" s="586">
        <f>+IFERROR(VLOOKUP(A177,'[51]Data Pivots'!$J$7:$Q$303,8,FALSE),0)+IFERROR(VLOOKUP(A177,'[51]Data Pivots'!$O$311:$AB$633,14,FALSE),0)</f>
        <v>76736.030000000013</v>
      </c>
      <c r="G177" s="674">
        <f t="shared" si="15"/>
        <v>60.083333333333343</v>
      </c>
      <c r="I177" s="504">
        <f t="shared" si="16"/>
        <v>3.7821091851359285</v>
      </c>
      <c r="J177" s="586"/>
      <c r="K177" s="504">
        <f t="shared" si="17"/>
        <v>2726.9007224830048</v>
      </c>
      <c r="M177" s="504">
        <f t="shared" si="18"/>
        <v>110.21210918513593</v>
      </c>
      <c r="O177" s="504">
        <f t="shared" si="19"/>
        <v>79462.930722483012</v>
      </c>
      <c r="Q177" s="599"/>
      <c r="S177" s="599"/>
    </row>
    <row r="178" spans="1:19">
      <c r="A178" s="585" t="s">
        <v>802</v>
      </c>
      <c r="B178" s="585" t="s">
        <v>803</v>
      </c>
      <c r="C178" s="721">
        <f>+ROUND('Proposed Rates'!B371,2)</f>
        <v>119.47</v>
      </c>
      <c r="D178" s="570"/>
      <c r="E178" s="586">
        <f>+IFERROR(VLOOKUP(A178,'[51]Data Pivots'!$J$7:$Q$303,8,FALSE),0)+IFERROR(VLOOKUP(A178,'[51]Data Pivots'!$O$311:$AB$633,14,FALSE),0)</f>
        <v>55553.549999999996</v>
      </c>
      <c r="G178" s="674">
        <f t="shared" si="15"/>
        <v>38.749999999999993</v>
      </c>
      <c r="I178" s="504">
        <f t="shared" si="16"/>
        <v>4.2455001817926279</v>
      </c>
      <c r="J178" s="586"/>
      <c r="K178" s="504">
        <f t="shared" si="17"/>
        <v>1974.1575845335715</v>
      </c>
      <c r="M178" s="504">
        <f t="shared" si="18"/>
        <v>123.71550018179262</v>
      </c>
      <c r="O178" s="504">
        <f t="shared" si="19"/>
        <v>57527.707584533564</v>
      </c>
      <c r="Q178" s="599"/>
      <c r="S178" s="599"/>
    </row>
    <row r="179" spans="1:19">
      <c r="A179" s="585" t="s">
        <v>804</v>
      </c>
      <c r="B179" s="585" t="s">
        <v>805</v>
      </c>
      <c r="C179" s="721">
        <f>+ROUND('Proposed Rates'!B372,2)</f>
        <v>119.47</v>
      </c>
      <c r="D179" s="570"/>
      <c r="E179" s="586">
        <f>+IFERROR(VLOOKUP(A179,'[51]Data Pivots'!$J$7:$Q$303,8,FALSE),0)+IFERROR(VLOOKUP(A179,'[51]Data Pivots'!$O$311:$AB$633,14,FALSE),0)</f>
        <v>43237.27</v>
      </c>
      <c r="G179" s="674">
        <f t="shared" si="15"/>
        <v>30.159084567952902</v>
      </c>
      <c r="I179" s="504">
        <f t="shared" si="16"/>
        <v>4.2455001817926279</v>
      </c>
      <c r="J179" s="586"/>
      <c r="K179" s="504">
        <f t="shared" si="17"/>
        <v>1536.4847881913192</v>
      </c>
      <c r="M179" s="504">
        <f t="shared" si="18"/>
        <v>123.71550018179262</v>
      </c>
      <c r="O179" s="504">
        <f t="shared" si="19"/>
        <v>44773.75478819132</v>
      </c>
      <c r="Q179" s="599"/>
      <c r="S179" s="599"/>
    </row>
    <row r="180" spans="1:19">
      <c r="A180" s="585" t="s">
        <v>806</v>
      </c>
      <c r="B180" s="585" t="s">
        <v>807</v>
      </c>
      <c r="C180" s="721">
        <f>+ROUND('Proposed Rates'!B373,2)</f>
        <v>119.47</v>
      </c>
      <c r="D180" s="570"/>
      <c r="E180" s="586">
        <f>+IFERROR(VLOOKUP(A180,'[51]Data Pivots'!$J$7:$Q$303,8,FALSE),0)+IFERROR(VLOOKUP(A180,'[51]Data Pivots'!$O$311:$AB$633,14,FALSE),0)</f>
        <v>25540.730000000003</v>
      </c>
      <c r="G180" s="674">
        <f t="shared" si="15"/>
        <v>17.815302307413301</v>
      </c>
      <c r="I180" s="504">
        <f t="shared" si="16"/>
        <v>4.2455001817926279</v>
      </c>
      <c r="J180" s="586"/>
      <c r="K180" s="504">
        <f t="shared" si="17"/>
        <v>907.61843021776554</v>
      </c>
      <c r="M180" s="504">
        <f t="shared" si="18"/>
        <v>123.71550018179262</v>
      </c>
      <c r="O180" s="504">
        <f t="shared" si="19"/>
        <v>26448.348430217768</v>
      </c>
      <c r="Q180" s="599"/>
      <c r="S180" s="599"/>
    </row>
    <row r="181" spans="1:19">
      <c r="A181" s="585" t="s">
        <v>808</v>
      </c>
      <c r="B181" s="585" t="s">
        <v>809</v>
      </c>
      <c r="C181" s="721">
        <f>+ROUND('Proposed Rates'!B322,2)</f>
        <v>60.3</v>
      </c>
      <c r="D181" s="570"/>
      <c r="E181" s="586">
        <f>+IFERROR(VLOOKUP(A181,'[51]Data Pivots'!$J$7:$Q$303,8,FALSE),0)+IFERROR(VLOOKUP(A181,'[51]Data Pivots'!$O$311:$AB$633,14,FALSE),0)</f>
        <v>1071.33</v>
      </c>
      <c r="G181" s="674">
        <f t="shared" si="15"/>
        <v>1.4805555555555554</v>
      </c>
      <c r="I181" s="504">
        <f t="shared" si="16"/>
        <v>2.142827998343479</v>
      </c>
      <c r="J181" s="586"/>
      <c r="K181" s="504">
        <f t="shared" si="17"/>
        <v>38.070910770569142</v>
      </c>
      <c r="M181" s="504">
        <f t="shared" si="18"/>
        <v>62.442827998343475</v>
      </c>
      <c r="O181" s="504">
        <f t="shared" si="19"/>
        <v>1109.400910770569</v>
      </c>
      <c r="Q181" s="599"/>
      <c r="S181" s="599"/>
    </row>
    <row r="182" spans="1:19">
      <c r="A182" s="585" t="s">
        <v>810</v>
      </c>
      <c r="B182" s="585" t="s">
        <v>811</v>
      </c>
      <c r="C182" s="721">
        <f>+ROUND('Proposed Rates'!B323,2)</f>
        <v>60.3</v>
      </c>
      <c r="D182" s="570"/>
      <c r="E182" s="586">
        <f>+IFERROR(VLOOKUP(A182,'[51]Data Pivots'!$J$7:$Q$303,8,FALSE),0)+IFERROR(VLOOKUP(A182,'[51]Data Pivots'!$O$311:$AB$633,14,FALSE),0)</f>
        <v>18902.039999999997</v>
      </c>
      <c r="G182" s="674">
        <f t="shared" si="15"/>
        <v>26.12222222222222</v>
      </c>
      <c r="I182" s="504">
        <f t="shared" si="16"/>
        <v>2.142827998343479</v>
      </c>
      <c r="J182" s="586"/>
      <c r="K182" s="504">
        <f t="shared" si="17"/>
        <v>671.7051498807358</v>
      </c>
      <c r="M182" s="504">
        <f t="shared" si="18"/>
        <v>62.442827998343475</v>
      </c>
      <c r="O182" s="504">
        <f t="shared" si="19"/>
        <v>19573.745149880731</v>
      </c>
      <c r="Q182" s="599"/>
      <c r="S182" s="599"/>
    </row>
    <row r="183" spans="1:19">
      <c r="A183" s="585" t="s">
        <v>812</v>
      </c>
      <c r="B183" s="585" t="s">
        <v>813</v>
      </c>
      <c r="C183" s="721">
        <f>+ROUND('Proposed Rates'!B324,2)</f>
        <v>60.3</v>
      </c>
      <c r="D183" s="570"/>
      <c r="E183" s="586">
        <f>+IFERROR(VLOOKUP(A183,'[51]Data Pivots'!$J$7:$Q$303,8,FALSE),0)+IFERROR(VLOOKUP(A183,'[51]Data Pivots'!$O$311:$AB$633,14,FALSE),0)</f>
        <v>21845.69</v>
      </c>
      <c r="G183" s="674">
        <f t="shared" si="15"/>
        <v>30.190284687672747</v>
      </c>
      <c r="I183" s="504">
        <f t="shared" si="16"/>
        <v>2.142827998343479</v>
      </c>
      <c r="J183" s="586"/>
      <c r="K183" s="504">
        <f t="shared" si="17"/>
        <v>776.31104768046691</v>
      </c>
      <c r="M183" s="504">
        <f t="shared" si="18"/>
        <v>62.442827998343475</v>
      </c>
      <c r="O183" s="504">
        <f t="shared" si="19"/>
        <v>22622.001047680467</v>
      </c>
      <c r="Q183" s="599"/>
      <c r="S183" s="599"/>
    </row>
    <row r="184" spans="1:19">
      <c r="A184" s="585" t="s">
        <v>814</v>
      </c>
      <c r="B184" s="585" t="s">
        <v>815</v>
      </c>
      <c r="C184" s="721">
        <f>+ROUND('Proposed Rates'!B325,2)</f>
        <v>60.3</v>
      </c>
      <c r="D184" s="570"/>
      <c r="E184" s="586">
        <f>+IFERROR(VLOOKUP(A184,'[51]Data Pivots'!$J$7:$Q$303,8,FALSE),0)+IFERROR(VLOOKUP(A184,'[51]Data Pivots'!$O$311:$AB$633,14,FALSE),0)</f>
        <v>15225.749999999998</v>
      </c>
      <c r="G184" s="674">
        <f t="shared" si="15"/>
        <v>21.041666666666664</v>
      </c>
      <c r="I184" s="504">
        <f t="shared" si="16"/>
        <v>2.142827998343479</v>
      </c>
      <c r="J184" s="586"/>
      <c r="K184" s="504">
        <f t="shared" si="17"/>
        <v>541.0640695817284</v>
      </c>
      <c r="M184" s="504">
        <f t="shared" si="18"/>
        <v>62.442827998343475</v>
      </c>
      <c r="O184" s="504">
        <f t="shared" si="19"/>
        <v>15766.814069581727</v>
      </c>
      <c r="Q184" s="599"/>
      <c r="S184" s="599"/>
    </row>
    <row r="185" spans="1:19">
      <c r="A185" s="585" t="s">
        <v>816</v>
      </c>
      <c r="B185" s="585" t="s">
        <v>817</v>
      </c>
      <c r="C185" s="721">
        <f>+ROUND('Proposed Rates'!B354,2)</f>
        <v>60.3</v>
      </c>
      <c r="D185" s="570"/>
      <c r="E185" s="586">
        <f>+IFERROR(VLOOKUP(A185,'[51]Data Pivots'!$J$7:$Q$303,8,FALSE),0)+IFERROR(VLOOKUP(A185,'[51]Data Pivots'!$O$311:$AB$633,14,FALSE),0)</f>
        <v>699.48</v>
      </c>
      <c r="G185" s="674">
        <f t="shared" si="15"/>
        <v>0.96666666666666679</v>
      </c>
      <c r="I185" s="504">
        <f t="shared" si="16"/>
        <v>2.142827998343479</v>
      </c>
      <c r="J185" s="586"/>
      <c r="K185" s="504">
        <f t="shared" si="17"/>
        <v>24.856804780784362</v>
      </c>
      <c r="M185" s="504">
        <f t="shared" si="18"/>
        <v>62.442827998343475</v>
      </c>
      <c r="O185" s="504">
        <f t="shared" si="19"/>
        <v>724.33680478078441</v>
      </c>
      <c r="Q185" s="599"/>
      <c r="S185" s="599"/>
    </row>
    <row r="186" spans="1:19">
      <c r="A186" s="585" t="s">
        <v>818</v>
      </c>
      <c r="B186" s="585" t="s">
        <v>819</v>
      </c>
      <c r="C186" s="721">
        <f>+ROUND('Proposed Rates'!B355,2)</f>
        <v>60.3</v>
      </c>
      <c r="D186" s="570"/>
      <c r="E186" s="586">
        <f>+IFERROR(VLOOKUP(A186,'[51]Data Pivots'!$J$7:$Q$303,8,FALSE),0)+IFERROR(VLOOKUP(A186,'[51]Data Pivots'!$O$311:$AB$633,14,FALSE),0)</f>
        <v>50421.340000000004</v>
      </c>
      <c r="G186" s="674">
        <f t="shared" si="15"/>
        <v>69.681232725262589</v>
      </c>
      <c r="I186" s="504">
        <f t="shared" si="16"/>
        <v>2.142827998343479</v>
      </c>
      <c r="J186" s="586"/>
      <c r="K186" s="504">
        <f t="shared" si="17"/>
        <v>1791.7787573133669</v>
      </c>
      <c r="M186" s="504">
        <f t="shared" si="18"/>
        <v>62.442827998343475</v>
      </c>
      <c r="O186" s="504">
        <f t="shared" si="19"/>
        <v>52213.118757313372</v>
      </c>
      <c r="Q186" s="599"/>
      <c r="S186" s="599"/>
    </row>
    <row r="187" spans="1:19">
      <c r="A187" s="585" t="s">
        <v>820</v>
      </c>
      <c r="B187" s="585" t="s">
        <v>811</v>
      </c>
      <c r="C187" s="721">
        <f>+ROUND('Proposed Rates'!B323,2)</f>
        <v>60.3</v>
      </c>
      <c r="D187" s="570"/>
      <c r="E187" s="586">
        <f>+IFERROR(VLOOKUP(A187,'[51]Data Pivots'!$J$7:$Q$303,8,FALSE),0)+IFERROR(VLOOKUP(A187,'[51]Data Pivots'!$O$311:$AB$633,14,FALSE),0)</f>
        <v>174.41</v>
      </c>
      <c r="G187" s="674">
        <f t="shared" si="15"/>
        <v>0.24103095632946381</v>
      </c>
      <c r="I187" s="504">
        <f t="shared" si="16"/>
        <v>2.142827998343479</v>
      </c>
      <c r="J187" s="586"/>
      <c r="K187" s="504">
        <f t="shared" si="17"/>
        <v>6.1978545802833533</v>
      </c>
      <c r="M187" s="504">
        <f t="shared" si="18"/>
        <v>62.442827998343475</v>
      </c>
      <c r="O187" s="504">
        <f t="shared" si="19"/>
        <v>180.60785458028334</v>
      </c>
      <c r="Q187" s="599"/>
      <c r="S187" s="599"/>
    </row>
    <row r="188" spans="1:19">
      <c r="A188" s="585" t="s">
        <v>821</v>
      </c>
      <c r="B188" s="585" t="s">
        <v>813</v>
      </c>
      <c r="C188" s="721">
        <f>+ROUND('Proposed Rates'!B324,2)</f>
        <v>60.3</v>
      </c>
      <c r="D188" s="570"/>
      <c r="E188" s="586">
        <f>+IFERROR(VLOOKUP(A188,'[51]Data Pivots'!$J$7:$Q$303,8,FALSE),0)+IFERROR(VLOOKUP(A188,'[51]Data Pivots'!$O$311:$AB$633,14,FALSE),0)</f>
        <v>94.01</v>
      </c>
      <c r="G188" s="674">
        <f t="shared" si="15"/>
        <v>0.1299198452183527</v>
      </c>
      <c r="I188" s="504">
        <f t="shared" si="16"/>
        <v>2.142827998343479</v>
      </c>
      <c r="J188" s="586"/>
      <c r="K188" s="504">
        <f t="shared" si="17"/>
        <v>3.3407505824920483</v>
      </c>
      <c r="M188" s="504">
        <f t="shared" si="18"/>
        <v>62.442827998343475</v>
      </c>
      <c r="O188" s="504">
        <f t="shared" si="19"/>
        <v>97.350750582492054</v>
      </c>
      <c r="Q188" s="599"/>
      <c r="S188" s="599"/>
    </row>
    <row r="189" spans="1:19">
      <c r="A189" s="585" t="s">
        <v>822</v>
      </c>
      <c r="B189" s="585" t="s">
        <v>823</v>
      </c>
      <c r="C189" s="721">
        <f>+ROUND('Proposed Rates'!B356,2)</f>
        <v>60.3</v>
      </c>
      <c r="D189" s="570"/>
      <c r="E189" s="586">
        <f>+IFERROR(VLOOKUP(A189,'[51]Data Pivots'!$J$7:$Q$303,8,FALSE),0)+IFERROR(VLOOKUP(A189,'[51]Data Pivots'!$O$311:$AB$633,14,FALSE),0)</f>
        <v>53425.319999999992</v>
      </c>
      <c r="G189" s="674">
        <f t="shared" si="15"/>
        <v>73.832669983416238</v>
      </c>
      <c r="I189" s="504">
        <f t="shared" si="16"/>
        <v>2.142827998343479</v>
      </c>
      <c r="J189" s="586"/>
      <c r="K189" s="504">
        <f t="shared" si="17"/>
        <v>1898.5285491950217</v>
      </c>
      <c r="M189" s="504">
        <f t="shared" si="18"/>
        <v>62.442827998343475</v>
      </c>
      <c r="O189" s="504">
        <f t="shared" si="19"/>
        <v>55323.848549195012</v>
      </c>
      <c r="Q189" s="599"/>
      <c r="S189" s="599"/>
    </row>
    <row r="190" spans="1:19">
      <c r="A190" s="585" t="s">
        <v>824</v>
      </c>
      <c r="B190" s="585" t="s">
        <v>825</v>
      </c>
      <c r="C190" s="721">
        <f>+ROUND('Proposed Rates'!B357,2)</f>
        <v>60.3</v>
      </c>
      <c r="D190" s="570"/>
      <c r="E190" s="586">
        <f>+IFERROR(VLOOKUP(A190,'[51]Data Pivots'!$J$7:$Q$303,8,FALSE),0)+IFERROR(VLOOKUP(A190,'[51]Data Pivots'!$O$311:$AB$633,14,FALSE),0)</f>
        <v>45936.59</v>
      </c>
      <c r="G190" s="674">
        <f t="shared" si="15"/>
        <v>63.483402432283022</v>
      </c>
      <c r="I190" s="504">
        <f t="shared" si="16"/>
        <v>2.142827998343479</v>
      </c>
      <c r="J190" s="586"/>
      <c r="K190" s="504">
        <f t="shared" si="17"/>
        <v>1632.4081459440308</v>
      </c>
      <c r="M190" s="504">
        <f t="shared" si="18"/>
        <v>62.442827998343475</v>
      </c>
      <c r="O190" s="504">
        <f t="shared" si="19"/>
        <v>47568.998145944024</v>
      </c>
      <c r="Q190" s="599"/>
      <c r="S190" s="599"/>
    </row>
    <row r="191" spans="1:19">
      <c r="A191" s="585" t="s">
        <v>826</v>
      </c>
      <c r="B191" s="585" t="s">
        <v>815</v>
      </c>
      <c r="C191" s="721">
        <f>+ROUND('Proposed Rates'!B325,2)</f>
        <v>60.3</v>
      </c>
      <c r="D191" s="570"/>
      <c r="E191" s="586">
        <f>+IFERROR(VLOOKUP(A191,'[51]Data Pivots'!$J$7:$Q$303,8,FALSE),0)+IFERROR(VLOOKUP(A191,'[51]Data Pivots'!$O$311:$AB$633,14,FALSE),0)</f>
        <v>106.07000000000001</v>
      </c>
      <c r="G191" s="674">
        <f t="shared" si="15"/>
        <v>0.14658651188501937</v>
      </c>
      <c r="I191" s="504">
        <f t="shared" si="16"/>
        <v>2.142827998343479</v>
      </c>
      <c r="J191" s="586"/>
      <c r="K191" s="504">
        <f t="shared" si="17"/>
        <v>3.7693161821607442</v>
      </c>
      <c r="M191" s="504">
        <f t="shared" si="18"/>
        <v>62.442827998343475</v>
      </c>
      <c r="O191" s="504">
        <f t="shared" si="19"/>
        <v>109.83931618216076</v>
      </c>
      <c r="Q191" s="599"/>
      <c r="S191" s="599"/>
    </row>
    <row r="192" spans="1:19">
      <c r="A192" s="585" t="s">
        <v>827</v>
      </c>
      <c r="B192" s="585" t="s">
        <v>828</v>
      </c>
      <c r="C192" s="1388">
        <f>+ROUND('Proposed Rates'!B363,2)</f>
        <v>8.6999999999999993</v>
      </c>
      <c r="D192" s="570"/>
      <c r="E192" s="586">
        <f>+IFERROR(VLOOKUP(A192,'[51]Data Pivots'!$J$7:$Q$303,8,FALSE),0)+IFERROR(VLOOKUP(A192,'[51]Data Pivots'!$O$311:$AB$633,14,FALSE),0)</f>
        <v>15433.8</v>
      </c>
      <c r="G192" s="674">
        <f t="shared" si="15"/>
        <v>147.83333333333334</v>
      </c>
      <c r="I192" s="504">
        <f t="shared" si="16"/>
        <v>0.30916423856696962</v>
      </c>
      <c r="J192" s="586"/>
      <c r="K192" s="504">
        <f t="shared" si="17"/>
        <v>548.4573592178042</v>
      </c>
      <c r="M192" s="504">
        <f t="shared" si="18"/>
        <v>9.009164238566969</v>
      </c>
      <c r="O192" s="504">
        <f t="shared" si="19"/>
        <v>15982.257359217803</v>
      </c>
      <c r="Q192" s="599"/>
      <c r="S192" s="599"/>
    </row>
    <row r="193" spans="1:19">
      <c r="A193" s="585" t="s">
        <v>829</v>
      </c>
      <c r="B193" s="585" t="s">
        <v>830</v>
      </c>
      <c r="C193" s="721">
        <f>+ROUND('Proposed Rates'!B335,2)</f>
        <v>55.5</v>
      </c>
      <c r="D193" s="570"/>
      <c r="E193" s="586">
        <f>+IFERROR(VLOOKUP(A193,'[51]Data Pivots'!$J$7:$Q$303,8,FALSE),0)+IFERROR(VLOOKUP(A193,'[51]Data Pivots'!$O$311:$AB$633,14,FALSE),0)</f>
        <v>101343</v>
      </c>
      <c r="G193" s="674">
        <f t="shared" si="15"/>
        <v>152.16666666666666</v>
      </c>
      <c r="I193" s="504">
        <f t="shared" si="16"/>
        <v>1.9722546253410131</v>
      </c>
      <c r="J193" s="586"/>
      <c r="K193" s="504">
        <f t="shared" si="17"/>
        <v>3601.3369458726902</v>
      </c>
      <c r="M193" s="504">
        <f t="shared" si="18"/>
        <v>57.472254625341016</v>
      </c>
      <c r="O193" s="504">
        <f t="shared" si="19"/>
        <v>104944.3369458727</v>
      </c>
      <c r="Q193" s="599"/>
      <c r="S193" s="599"/>
    </row>
    <row r="194" spans="1:19">
      <c r="A194" s="585" t="s">
        <v>831</v>
      </c>
      <c r="B194" s="585" t="s">
        <v>830</v>
      </c>
      <c r="C194" s="721">
        <f>+ROUND('Proposed Rates'!B336,2)</f>
        <v>55.5</v>
      </c>
      <c r="D194" s="570"/>
      <c r="E194" s="586">
        <f>+IFERROR(VLOOKUP(A194,'[51]Data Pivots'!$J$7:$Q$303,8,FALSE),0)+IFERROR(VLOOKUP(A194,'[51]Data Pivots'!$O$311:$AB$633,14,FALSE),0)</f>
        <v>222</v>
      </c>
      <c r="G194" s="674">
        <f t="shared" si="15"/>
        <v>0.33333333333333331</v>
      </c>
      <c r="I194" s="504">
        <f t="shared" si="16"/>
        <v>1.9722546253410131</v>
      </c>
      <c r="J194" s="586"/>
      <c r="K194" s="504">
        <f t="shared" si="17"/>
        <v>7.8890185013640526</v>
      </c>
      <c r="M194" s="504">
        <f t="shared" si="18"/>
        <v>57.472254625341016</v>
      </c>
      <c r="O194" s="504">
        <f t="shared" si="19"/>
        <v>229.88901850136406</v>
      </c>
      <c r="Q194" s="599"/>
      <c r="S194" s="599"/>
    </row>
    <row r="195" spans="1:19">
      <c r="A195" s="585" t="s">
        <v>832</v>
      </c>
      <c r="B195" s="585" t="s">
        <v>833</v>
      </c>
      <c r="C195" s="721">
        <f>+ROUND('Proposed Rates'!B361,2)</f>
        <v>32.6</v>
      </c>
      <c r="D195" s="570"/>
      <c r="E195" s="586">
        <f>+IFERROR(VLOOKUP(A195,'[51]Data Pivots'!$J$7:$Q$303,8,FALSE),0)+IFERROR(VLOOKUP(A195,'[51]Data Pivots'!$O$311:$AB$633,14,FALSE),0)</f>
        <v>10677.550000000001</v>
      </c>
      <c r="G195" s="674">
        <f t="shared" si="15"/>
        <v>27.294350715746422</v>
      </c>
      <c r="I195" s="504">
        <f t="shared" si="16"/>
        <v>1.1584774916417484</v>
      </c>
      <c r="J195" s="586"/>
      <c r="K195" s="504">
        <f t="shared" si="17"/>
        <v>379.43869143801692</v>
      </c>
      <c r="M195" s="504">
        <f t="shared" si="18"/>
        <v>33.758477491641749</v>
      </c>
      <c r="O195" s="504">
        <f t="shared" si="19"/>
        <v>11056.988691438019</v>
      </c>
      <c r="Q195" s="599"/>
      <c r="S195" s="599"/>
    </row>
    <row r="196" spans="1:19">
      <c r="A196" s="585" t="s">
        <v>834</v>
      </c>
      <c r="B196" s="585" t="s">
        <v>835</v>
      </c>
      <c r="C196" s="721">
        <f>+ROUND('Proposed Rates'!B361,2)</f>
        <v>32.6</v>
      </c>
      <c r="D196" s="570"/>
      <c r="E196" s="586">
        <f>+IFERROR(VLOOKUP(A196,'[51]Data Pivots'!$J$7:$Q$303,8,FALSE),0)+IFERROR(VLOOKUP(A196,'[51]Data Pivots'!$O$311:$AB$633,14,FALSE),0)</f>
        <v>5596.3400000000011</v>
      </c>
      <c r="G196" s="674">
        <f t="shared" si="15"/>
        <v>14.305572597137017</v>
      </c>
      <c r="I196" s="504">
        <f t="shared" si="16"/>
        <v>1.1584774916417484</v>
      </c>
      <c r="J196" s="586"/>
      <c r="K196" s="504">
        <f t="shared" si="17"/>
        <v>198.87220630596269</v>
      </c>
      <c r="M196" s="504">
        <f t="shared" si="18"/>
        <v>33.758477491641749</v>
      </c>
      <c r="O196" s="504">
        <f t="shared" si="19"/>
        <v>5795.2122063059642</v>
      </c>
      <c r="Q196" s="599"/>
      <c r="S196" s="599"/>
    </row>
    <row r="197" spans="1:19">
      <c r="A197" s="585" t="s">
        <v>836</v>
      </c>
      <c r="B197" s="585" t="s">
        <v>837</v>
      </c>
      <c r="C197" s="721">
        <f>+ROUND('Proposed Rates'!B359,2)</f>
        <v>2.1800000000000002</v>
      </c>
      <c r="D197" s="570"/>
      <c r="E197" s="586">
        <f>+IFERROR(VLOOKUP(A197,'[51]Data Pivots'!$J$7:$Q$303,8,FALSE),0)+IFERROR(VLOOKUP(A197,'[51]Data Pivots'!$O$311:$AB$633,14,FALSE),0)</f>
        <v>18574.89</v>
      </c>
      <c r="G197" s="674">
        <f t="shared" si="15"/>
        <v>710.04931192660536</v>
      </c>
      <c r="I197" s="504">
        <f t="shared" si="16"/>
        <v>7.7468740238619979E-2</v>
      </c>
      <c r="J197" s="586"/>
      <c r="K197" s="504">
        <f t="shared" si="17"/>
        <v>660.07950842703644</v>
      </c>
      <c r="M197" s="504">
        <f t="shared" si="18"/>
        <v>2.25746874023862</v>
      </c>
      <c r="O197" s="504">
        <f t="shared" si="19"/>
        <v>19234.969508427035</v>
      </c>
      <c r="Q197" s="599"/>
      <c r="S197" s="599"/>
    </row>
    <row r="198" spans="1:19">
      <c r="A198" s="585" t="s">
        <v>838</v>
      </c>
      <c r="B198" s="585" t="s">
        <v>839</v>
      </c>
      <c r="C198" s="570">
        <f>+'Proposed Rates'!B362</f>
        <v>9</v>
      </c>
      <c r="D198" s="570"/>
      <c r="E198" s="586">
        <f>+IFERROR(VLOOKUP(A198,'[51]Data Pivots'!$J$7:$Q$303,8,FALSE),0)+IFERROR(VLOOKUP(A198,'[51]Data Pivots'!$O$311:$AB$633,14,FALSE),0)</f>
        <v>41210.910000000003</v>
      </c>
      <c r="G198" s="674">
        <f t="shared" si="15"/>
        <v>381.58250000000004</v>
      </c>
      <c r="I198" s="504">
        <f t="shared" si="16"/>
        <v>0.31982507437962376</v>
      </c>
      <c r="J198" s="586"/>
      <c r="K198" s="504">
        <f t="shared" si="17"/>
        <v>1464.4758173335536</v>
      </c>
      <c r="M198" s="504">
        <f t="shared" si="18"/>
        <v>9.319825074379624</v>
      </c>
      <c r="O198" s="504">
        <f t="shared" si="19"/>
        <v>42675.385817333554</v>
      </c>
      <c r="Q198" s="599"/>
      <c r="S198" s="599"/>
    </row>
    <row r="199" spans="1:19">
      <c r="A199" s="585" t="s">
        <v>840</v>
      </c>
      <c r="B199" s="585" t="s">
        <v>841</v>
      </c>
      <c r="C199" s="570">
        <f>+'Proposed Rates'!B106</f>
        <v>95.6</v>
      </c>
      <c r="D199" s="570"/>
      <c r="E199" s="586">
        <f>+IFERROR(VLOOKUP(A199,'[51]Data Pivots'!$J$7:$Q$303,8,FALSE),0)+IFERROR(VLOOKUP(A199,'[51]Data Pivots'!$O$311:$AB$633,14,FALSE),0)</f>
        <v>4515.09</v>
      </c>
      <c r="G199" s="674">
        <f t="shared" si="15"/>
        <v>3.935747907949791</v>
      </c>
      <c r="I199" s="504">
        <f t="shared" si="16"/>
        <v>3.3972530122991142</v>
      </c>
      <c r="J199" s="586"/>
      <c r="K199" s="504">
        <f t="shared" si="17"/>
        <v>160.44877723118839</v>
      </c>
      <c r="M199" s="504">
        <f t="shared" si="18"/>
        <v>98.997253012299112</v>
      </c>
      <c r="O199" s="504">
        <f t="shared" si="19"/>
        <v>4675.5387772311888</v>
      </c>
      <c r="Q199" s="599"/>
      <c r="S199" s="599"/>
    </row>
    <row r="200" spans="1:19">
      <c r="A200" s="585" t="s">
        <v>842</v>
      </c>
      <c r="B200" s="585" t="s">
        <v>830</v>
      </c>
      <c r="C200" s="570">
        <f>+'Proposed Rates'!B335</f>
        <v>55.5</v>
      </c>
      <c r="D200" s="570"/>
      <c r="E200" s="586">
        <f>+IFERROR(VLOOKUP(A200,'[51]Data Pivots'!$J$7:$Q$303,8,FALSE),0)+IFERROR(VLOOKUP(A200,'[51]Data Pivots'!$O$311:$AB$633,14,FALSE),0)</f>
        <v>166.5</v>
      </c>
      <c r="G200" s="674">
        <f t="shared" si="15"/>
        <v>0.25</v>
      </c>
      <c r="I200" s="504">
        <f t="shared" si="16"/>
        <v>1.9722546253410131</v>
      </c>
      <c r="J200" s="586"/>
      <c r="K200" s="504">
        <f t="shared" si="17"/>
        <v>5.9167638760230394</v>
      </c>
      <c r="M200" s="504">
        <f t="shared" si="18"/>
        <v>57.472254625341016</v>
      </c>
      <c r="O200" s="504">
        <f t="shared" si="19"/>
        <v>172.41676387602303</v>
      </c>
      <c r="Q200" s="599"/>
      <c r="S200" s="599"/>
    </row>
    <row r="201" spans="1:19">
      <c r="A201" s="585" t="s">
        <v>843</v>
      </c>
      <c r="B201" s="585" t="s">
        <v>844</v>
      </c>
      <c r="C201" s="570">
        <f>+'Proposed Rates'!B29</f>
        <v>65.2</v>
      </c>
      <c r="D201" s="570"/>
      <c r="E201" s="586">
        <f>+IFERROR(VLOOKUP(A201,'[51]Data Pivots'!$J$7:$Q$303,8,FALSE),0)+IFERROR(VLOOKUP(A201,'[51]Data Pivots'!$O$311:$AB$633,14,FALSE),0)</f>
        <v>36345.299999999996</v>
      </c>
      <c r="G201" s="674">
        <f t="shared" si="15"/>
        <v>46.453604294478517</v>
      </c>
      <c r="I201" s="504">
        <f t="shared" si="16"/>
        <v>2.3169549832834968</v>
      </c>
      <c r="J201" s="586"/>
      <c r="K201" s="504">
        <f t="shared" si="17"/>
        <v>1291.5709195388597</v>
      </c>
      <c r="M201" s="504">
        <f t="shared" si="18"/>
        <v>67.516954983283497</v>
      </c>
      <c r="O201" s="504">
        <f t="shared" si="19"/>
        <v>37636.870919538858</v>
      </c>
      <c r="Q201" s="599"/>
      <c r="S201" s="599"/>
    </row>
    <row r="202" spans="1:19">
      <c r="A202" s="585" t="s">
        <v>845</v>
      </c>
      <c r="B202" s="585" t="s">
        <v>833</v>
      </c>
      <c r="C202" s="570">
        <f>+'Proposed Rates'!B361</f>
        <v>32.6</v>
      </c>
      <c r="D202" s="570"/>
      <c r="E202" s="586">
        <f>+IFERROR(VLOOKUP(A202,'[51]Data Pivots'!$J$7:$Q$303,8,FALSE),0)+IFERROR(VLOOKUP(A202,'[51]Data Pivots'!$O$311:$AB$633,14,FALSE),0)</f>
        <v>40.799999999999997</v>
      </c>
      <c r="G202" s="674">
        <f t="shared" si="15"/>
        <v>0.10429447852760736</v>
      </c>
      <c r="I202" s="504">
        <f t="shared" si="16"/>
        <v>1.1584774916417484</v>
      </c>
      <c r="J202" s="586"/>
      <c r="K202" s="504">
        <f t="shared" si="17"/>
        <v>1.4498736705209612</v>
      </c>
      <c r="M202" s="504">
        <f t="shared" si="18"/>
        <v>33.758477491641749</v>
      </c>
      <c r="O202" s="504">
        <f t="shared" si="19"/>
        <v>42.249873670520955</v>
      </c>
      <c r="Q202" s="599"/>
      <c r="S202" s="599"/>
    </row>
    <row r="203" spans="1:19">
      <c r="A203" s="587"/>
      <c r="B203" s="587"/>
    </row>
    <row r="204" spans="1:19">
      <c r="A204" s="588"/>
      <c r="B204" s="589" t="s">
        <v>846</v>
      </c>
      <c r="E204" s="590">
        <f>+SUM(E158:E203)</f>
        <v>1252644.1199999999</v>
      </c>
      <c r="F204" s="591"/>
      <c r="G204" s="679">
        <f>+SUM(G158:G203)</f>
        <v>2392.5328000025033</v>
      </c>
      <c r="H204" s="590"/>
      <c r="I204" s="679"/>
      <c r="J204" s="590"/>
      <c r="K204" s="679">
        <f>+SUM(K158:K203)</f>
        <v>44514.110983355371</v>
      </c>
      <c r="L204" s="679"/>
      <c r="M204" s="679">
        <f>+SUM(M158:M203)</f>
        <v>3727.5468813876823</v>
      </c>
      <c r="N204" s="679"/>
      <c r="O204" s="679">
        <f>+SUM(O158:O203)</f>
        <v>1297158.2309833553</v>
      </c>
      <c r="P204" s="599"/>
    </row>
    <row r="205" spans="1:19">
      <c r="A205" s="588"/>
      <c r="B205" s="588"/>
      <c r="K205" s="1150"/>
    </row>
    <row r="206" spans="1:19">
      <c r="A206" s="575" t="s">
        <v>847</v>
      </c>
      <c r="B206" s="576"/>
      <c r="C206" s="577"/>
      <c r="D206" s="578"/>
      <c r="E206" s="578"/>
      <c r="F206" s="578"/>
      <c r="G206" s="676"/>
      <c r="H206" s="578"/>
      <c r="I206" s="669"/>
      <c r="J206" s="578"/>
      <c r="K206" s="669"/>
      <c r="L206" s="669"/>
      <c r="M206" s="669"/>
      <c r="N206" s="669"/>
      <c r="O206" s="669"/>
    </row>
    <row r="207" spans="1:19">
      <c r="A207" s="592"/>
      <c r="B207" s="592"/>
    </row>
    <row r="208" spans="1:19">
      <c r="A208" s="585" t="s">
        <v>848</v>
      </c>
      <c r="B208" s="585" t="s">
        <v>849</v>
      </c>
      <c r="C208" s="570">
        <f>+'Proposed Rates'!B149</f>
        <v>78.760000000000005</v>
      </c>
      <c r="E208" s="586">
        <f>+IFERROR(VLOOKUP(A208,'[51]Data Pivots'!$J$7:$Q$303,8,FALSE),0)+IFERROR(VLOOKUP(A208,'[51]Data Pivots'!$O$311:$AB$633,14,FALSE),0)</f>
        <v>2239620.5099999998</v>
      </c>
      <c r="J208" s="586"/>
      <c r="M208" s="504">
        <f t="shared" ref="M208:M216" si="20">+C208+I208</f>
        <v>78.760000000000005</v>
      </c>
      <c r="O208" s="504">
        <f t="shared" ref="O208:O216" si="21">+E208+K208</f>
        <v>2239620.5099999998</v>
      </c>
    </row>
    <row r="209" spans="1:16">
      <c r="A209" s="585" t="s">
        <v>850</v>
      </c>
      <c r="B209" s="585" t="s">
        <v>851</v>
      </c>
      <c r="C209" s="570">
        <f>+'Proposed Rates'!B14</f>
        <v>10</v>
      </c>
      <c r="E209" s="586">
        <f>+IFERROR(VLOOKUP(A209,'[51]Data Pivots'!$J$7:$Q$303,8,FALSE),0)+IFERROR(VLOOKUP(A209,'[51]Data Pivots'!$O$311:$AB$633,14,FALSE),0)</f>
        <v>73850</v>
      </c>
      <c r="J209" s="586"/>
      <c r="M209" s="504">
        <f t="shared" si="20"/>
        <v>10</v>
      </c>
      <c r="O209" s="504">
        <f t="shared" si="21"/>
        <v>73850</v>
      </c>
    </row>
    <row r="210" spans="1:16">
      <c r="A210" s="585" t="s">
        <v>852</v>
      </c>
      <c r="B210" s="585" t="s">
        <v>853</v>
      </c>
      <c r="C210" s="570">
        <f>+'Proposed Rates'!B152</f>
        <v>5.75</v>
      </c>
      <c r="E210" s="586">
        <f>+IFERROR(VLOOKUP(A210,'[51]Data Pivots'!$J$7:$Q$303,8,FALSE),0)+IFERROR(VLOOKUP(A210,'[51]Data Pivots'!$O$311:$AB$633,14,FALSE),0)</f>
        <v>30.240000000000002</v>
      </c>
      <c r="J210" s="586"/>
      <c r="M210" s="504">
        <f t="shared" si="20"/>
        <v>5.75</v>
      </c>
      <c r="O210" s="504">
        <f t="shared" si="21"/>
        <v>30.240000000000002</v>
      </c>
    </row>
    <row r="211" spans="1:16">
      <c r="A211" s="585" t="s">
        <v>854</v>
      </c>
      <c r="B211" s="585" t="s">
        <v>855</v>
      </c>
      <c r="C211" s="570">
        <f>+'Proposed Rates'!B153</f>
        <v>11.5</v>
      </c>
      <c r="E211" s="586">
        <f>+IFERROR(VLOOKUP(A211,'[51]Data Pivots'!$J$7:$Q$303,8,FALSE),0)+IFERROR(VLOOKUP(A211,'[51]Data Pivots'!$O$311:$AB$633,14,FALSE),0)</f>
        <v>1932</v>
      </c>
      <c r="J211" s="586"/>
      <c r="M211" s="504">
        <f t="shared" si="20"/>
        <v>11.5</v>
      </c>
      <c r="O211" s="504">
        <f t="shared" si="21"/>
        <v>1932</v>
      </c>
    </row>
    <row r="212" spans="1:16">
      <c r="A212" s="585" t="s">
        <v>856</v>
      </c>
      <c r="B212" s="585" t="s">
        <v>857</v>
      </c>
      <c r="C212" s="570">
        <f>+'Proposed Rates'!B157</f>
        <v>9.3800000000000008</v>
      </c>
      <c r="D212" s="570"/>
      <c r="E212" s="586">
        <f>+IFERROR(VLOOKUP(A212,'[51]Data Pivots'!$J$7:$Q$303,8,FALSE),0)+IFERROR(VLOOKUP(A212,'[51]Data Pivots'!$O$311:$AB$633,14,FALSE),0)</f>
        <v>37.520000000000003</v>
      </c>
      <c r="J212" s="586"/>
      <c r="M212" s="504">
        <f t="shared" si="20"/>
        <v>9.3800000000000008</v>
      </c>
      <c r="O212" s="504">
        <f t="shared" si="21"/>
        <v>37.520000000000003</v>
      </c>
    </row>
    <row r="213" spans="1:16">
      <c r="A213" s="585" t="s">
        <v>858</v>
      </c>
      <c r="B213" s="585" t="s">
        <v>859</v>
      </c>
      <c r="C213" s="570">
        <f>+'Proposed Rates'!B156</f>
        <v>4.6900000000000004</v>
      </c>
      <c r="D213" s="570"/>
      <c r="E213" s="586">
        <f>+IFERROR(VLOOKUP(A213,'[51]Data Pivots'!$J$7:$Q$303,8,FALSE),0)+IFERROR(VLOOKUP(A213,'[51]Data Pivots'!$O$311:$AB$633,14,FALSE),0)</f>
        <v>89.109999999999985</v>
      </c>
      <c r="J213" s="586"/>
      <c r="M213" s="504">
        <f t="shared" si="20"/>
        <v>4.6900000000000004</v>
      </c>
      <c r="O213" s="504">
        <f t="shared" si="21"/>
        <v>89.109999999999985</v>
      </c>
    </row>
    <row r="214" spans="1:16">
      <c r="A214" s="585" t="s">
        <v>860</v>
      </c>
      <c r="B214" s="585" t="s">
        <v>861</v>
      </c>
      <c r="C214" s="570">
        <f>+'Proposed Rates'!B155</f>
        <v>2.35</v>
      </c>
      <c r="D214" s="570"/>
      <c r="E214" s="586">
        <f>+IFERROR(VLOOKUP(A214,'[51]Data Pivots'!$J$7:$Q$303,8,FALSE),0)+IFERROR(VLOOKUP(A214,'[51]Data Pivots'!$O$311:$AB$633,14,FALSE),0)</f>
        <v>133.94999999999999</v>
      </c>
      <c r="J214" s="586"/>
      <c r="M214" s="504">
        <f t="shared" si="20"/>
        <v>2.35</v>
      </c>
      <c r="O214" s="504">
        <f t="shared" si="21"/>
        <v>133.94999999999999</v>
      </c>
    </row>
    <row r="215" spans="1:16">
      <c r="A215" s="585" t="s">
        <v>862</v>
      </c>
      <c r="B215" s="585" t="s">
        <v>863</v>
      </c>
      <c r="C215" s="570">
        <f>+'Proposed Rates'!B152</f>
        <v>5.75</v>
      </c>
      <c r="D215" s="570"/>
      <c r="E215" s="586">
        <f>+IFERROR(VLOOKUP(A215,'[51]Data Pivots'!$J$7:$Q$303,8,FALSE),0)+IFERROR(VLOOKUP(A215,'[51]Data Pivots'!$O$311:$AB$633,14,FALSE),0)</f>
        <v>86.25</v>
      </c>
      <c r="J215" s="586"/>
      <c r="M215" s="504">
        <f t="shared" si="20"/>
        <v>5.75</v>
      </c>
      <c r="O215" s="504">
        <f t="shared" si="21"/>
        <v>86.25</v>
      </c>
    </row>
    <row r="216" spans="1:16">
      <c r="A216" s="585" t="s">
        <v>864</v>
      </c>
      <c r="B216" s="585" t="s">
        <v>865</v>
      </c>
      <c r="C216" s="570">
        <f>+'Proposed Rates'!B154</f>
        <v>5.75</v>
      </c>
      <c r="D216" s="570"/>
      <c r="E216" s="586">
        <f>+IFERROR(VLOOKUP(A216,'[51]Data Pivots'!$J$7:$Q$303,8,FALSE),0)+IFERROR(VLOOKUP(A216,'[51]Data Pivots'!$O$311:$AB$633,14,FALSE),0)</f>
        <v>34.5</v>
      </c>
      <c r="J216" s="586"/>
      <c r="M216" s="504">
        <f t="shared" si="20"/>
        <v>5.75</v>
      </c>
      <c r="O216" s="504">
        <f t="shared" si="21"/>
        <v>34.5</v>
      </c>
    </row>
    <row r="217" spans="1:16">
      <c r="A217" s="587"/>
      <c r="B217" s="587"/>
    </row>
    <row r="218" spans="1:16">
      <c r="A218" s="588"/>
      <c r="B218" s="589" t="s">
        <v>866</v>
      </c>
      <c r="E218" s="590">
        <f>+SUM(E208:E217)</f>
        <v>2315814.08</v>
      </c>
      <c r="F218" s="590"/>
      <c r="G218" s="679">
        <f>+SUM(G208:G217)</f>
        <v>0</v>
      </c>
      <c r="H218" s="590"/>
      <c r="I218" s="679"/>
      <c r="J218" s="679"/>
      <c r="K218" s="679"/>
      <c r="L218" s="679"/>
      <c r="M218" s="590">
        <f>+SUM(M208:M217)</f>
        <v>133.93</v>
      </c>
      <c r="N218" s="590"/>
      <c r="O218" s="590">
        <f>+SUM(O208:O217)</f>
        <v>2315814.08</v>
      </c>
      <c r="P218" s="599"/>
    </row>
    <row r="219" spans="1:16">
      <c r="A219" s="588"/>
    </row>
    <row r="221" spans="1:16">
      <c r="A221" s="575" t="s">
        <v>488</v>
      </c>
      <c r="B221" s="576"/>
      <c r="C221" s="577"/>
      <c r="D221" s="578"/>
      <c r="E221" s="578"/>
      <c r="F221" s="578"/>
      <c r="G221" s="676"/>
      <c r="H221" s="578"/>
      <c r="I221" s="669"/>
      <c r="J221" s="578"/>
      <c r="K221" s="669"/>
      <c r="L221" s="669"/>
      <c r="M221" s="669"/>
      <c r="N221" s="669"/>
      <c r="O221" s="669"/>
    </row>
    <row r="222" spans="1:16">
      <c r="A222" s="585" t="s">
        <v>867</v>
      </c>
      <c r="B222" s="585" t="s">
        <v>868</v>
      </c>
      <c r="C222" s="570">
        <v>1</v>
      </c>
      <c r="E222" s="586">
        <f>+IFERROR(VLOOKUP(A222,'[51]Data Pivots'!$J$7:$Q$303,8,FALSE),0)+IFERROR(VLOOKUP(A222,'[51]Data Pivots'!$O$311:$AB$633,14,FALSE),0)</f>
        <v>56284.11</v>
      </c>
      <c r="I222" s="504">
        <f t="shared" ref="I222:I223" si="22">+$I$6*C222</f>
        <v>3.553611937551375E-2</v>
      </c>
      <c r="J222" s="586"/>
      <c r="K222" s="504">
        <f t="shared" ref="K222:K223" si="23">+G222*I222*12</f>
        <v>0</v>
      </c>
      <c r="M222" s="504">
        <f t="shared" ref="M222:M223" si="24">+C222+I222</f>
        <v>1.0355361193755137</v>
      </c>
      <c r="O222" s="504">
        <f t="shared" ref="O222:O223" si="25">+E222+K222</f>
        <v>56284.11</v>
      </c>
      <c r="P222" s="599"/>
    </row>
    <row r="223" spans="1:16">
      <c r="A223" s="585" t="s">
        <v>869</v>
      </c>
      <c r="B223" s="585" t="s">
        <v>870</v>
      </c>
      <c r="C223" s="570">
        <f>+'Proposed Rates'!B11</f>
        <v>25</v>
      </c>
      <c r="E223" s="586">
        <f>+IFERROR(VLOOKUP(A223,'[51]Data Pivots'!$J$7:$Q$303,8,FALSE),0)+IFERROR(VLOOKUP(A223,'[51]Data Pivots'!$O$311:$AB$633,14,FALSE),0)</f>
        <v>950</v>
      </c>
      <c r="I223" s="504">
        <f t="shared" si="22"/>
        <v>0.88840298438784371</v>
      </c>
      <c r="J223" s="586"/>
      <c r="K223" s="504">
        <f t="shared" si="23"/>
        <v>0</v>
      </c>
      <c r="M223" s="504">
        <f t="shared" si="24"/>
        <v>25.888402984387845</v>
      </c>
      <c r="O223" s="504">
        <f t="shared" si="25"/>
        <v>950</v>
      </c>
    </row>
    <row r="224" spans="1:16">
      <c r="A224" s="585"/>
      <c r="B224" s="585"/>
    </row>
    <row r="225" spans="1:16">
      <c r="A225" s="588"/>
      <c r="B225" s="594" t="s">
        <v>871</v>
      </c>
      <c r="E225" s="590">
        <f>+SUM(E222:E224)</f>
        <v>57234.11</v>
      </c>
      <c r="F225" s="593"/>
      <c r="G225" s="679">
        <f>+SUM(G222:G224)</f>
        <v>0</v>
      </c>
      <c r="H225" s="590"/>
      <c r="I225" s="668"/>
      <c r="J225" s="593"/>
      <c r="K225" s="590">
        <f>+SUM(K222:K224)</f>
        <v>0</v>
      </c>
      <c r="L225" s="590"/>
      <c r="M225" s="593">
        <f>+SUM(M222:M224)</f>
        <v>26.92393910376336</v>
      </c>
      <c r="N225" s="593"/>
      <c r="O225" s="593">
        <f>+SUM(O222:O224)</f>
        <v>57234.11</v>
      </c>
      <c r="P225" s="599"/>
    </row>
    <row r="226" spans="1:16">
      <c r="A226" s="588"/>
    </row>
    <row r="227" spans="1:16" ht="13.5" thickBot="1">
      <c r="A227" s="595"/>
      <c r="B227" s="594" t="s">
        <v>872</v>
      </c>
      <c r="C227" s="596"/>
      <c r="E227" s="597">
        <f>+E225+E218+E204+E153+E46</f>
        <v>20472394.300000004</v>
      </c>
      <c r="F227" s="598"/>
      <c r="G227" s="680">
        <f>+G225+G218+G204+G153+G46</f>
        <v>89349.749528507688</v>
      </c>
      <c r="H227" s="597"/>
      <c r="I227" s="680"/>
      <c r="J227" s="680"/>
      <c r="K227" s="680">
        <f>+K225+K218+K204+K153+K46</f>
        <v>643471.05094909959</v>
      </c>
      <c r="L227" s="680"/>
      <c r="M227" s="680">
        <f>+M225+M218+M204+M153+M46</f>
        <v>26039.932127843858</v>
      </c>
      <c r="N227" s="680"/>
      <c r="O227" s="680">
        <f>+O225+O218+O204+O153+O46</f>
        <v>21115865.350949094</v>
      </c>
    </row>
    <row r="228" spans="1:16" ht="13.5" thickTop="1">
      <c r="A228" s="595"/>
      <c r="B228" s="595"/>
      <c r="C228" s="596"/>
    </row>
    <row r="229" spans="1:16">
      <c r="A229" s="595"/>
      <c r="B229" s="595"/>
      <c r="C229" s="596"/>
      <c r="E229" s="599"/>
      <c r="I229" s="1372"/>
      <c r="J229" s="1373"/>
      <c r="K229" s="1372"/>
      <c r="L229" s="1372"/>
    </row>
    <row r="230" spans="1:16">
      <c r="A230" s="588"/>
      <c r="E230" s="599"/>
      <c r="I230" s="1372"/>
      <c r="J230" s="1374"/>
      <c r="K230" s="1372"/>
      <c r="L230" s="1372"/>
    </row>
    <row r="231" spans="1:16">
      <c r="I231" s="1372"/>
      <c r="J231" s="484"/>
      <c r="K231" s="1372"/>
      <c r="L231" s="1372"/>
    </row>
    <row r="232" spans="1:16">
      <c r="A232" s="595"/>
      <c r="B232" s="594"/>
      <c r="C232" s="596"/>
    </row>
    <row r="233" spans="1:16">
      <c r="A233" s="595"/>
      <c r="B233" s="595"/>
      <c r="C233" s="596"/>
    </row>
    <row r="234" spans="1:16">
      <c r="A234" s="595"/>
      <c r="B234" s="595"/>
      <c r="C234" s="596"/>
    </row>
  </sheetData>
  <mergeCells count="2">
    <mergeCell ref="E6:G6"/>
    <mergeCell ref="A5:E5"/>
  </mergeCells>
  <pageMargins left="0.7" right="0.7" top="0.75" bottom="0.75" header="0.3" footer="0.3"/>
  <pageSetup scale="78" pageOrder="overThenDown" orientation="portrait" r:id="rId1"/>
  <headerFooter>
    <oddFooter xml:space="preserve">&amp;L&amp;F - &amp;A
&amp;RPage &amp;P of &amp;N
</oddFooter>
  </headerFooter>
  <colBreaks count="1" manualBreakCount="1">
    <brk id="7" max="233" man="1"/>
  </col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showGridLines="0" view="pageBreakPreview" zoomScale="85" zoomScaleNormal="100" zoomScaleSheetLayoutView="85" workbookViewId="0">
      <selection activeCell="AI26" sqref="AI26"/>
    </sheetView>
  </sheetViews>
  <sheetFormatPr defaultRowHeight="15"/>
  <cols>
    <col min="1" max="1" width="22.140625" customWidth="1"/>
    <col min="2" max="2" width="29.28515625" customWidth="1"/>
    <col min="3" max="3" width="12.140625" bestFit="1" customWidth="1"/>
    <col min="4" max="4" width="8" bestFit="1" customWidth="1"/>
    <col min="5" max="5" width="10.140625" bestFit="1" customWidth="1"/>
    <col min="6" max="6" width="10.42578125" bestFit="1" customWidth="1"/>
    <col min="7" max="7" width="11.5703125" customWidth="1"/>
    <col min="8" max="8" width="11.140625" bestFit="1" customWidth="1"/>
    <col min="9" max="9" width="10" bestFit="1" customWidth="1"/>
    <col min="10" max="11" width="13.7109375" bestFit="1" customWidth="1"/>
    <col min="12" max="12" width="10.5703125" bestFit="1" customWidth="1"/>
    <col min="14" max="14" width="13.28515625" bestFit="1" customWidth="1"/>
  </cols>
  <sheetData>
    <row r="1" spans="1:12">
      <c r="A1" s="123" t="s">
        <v>1282</v>
      </c>
    </row>
    <row r="2" spans="1:12" ht="16.5" customHeight="1">
      <c r="A2" s="123" t="s">
        <v>1283</v>
      </c>
      <c r="C2" s="613"/>
    </row>
    <row r="4" spans="1:12" ht="30">
      <c r="A4" s="614"/>
      <c r="B4" s="615" t="s">
        <v>388</v>
      </c>
      <c r="C4" s="615" t="s">
        <v>1284</v>
      </c>
      <c r="D4" s="615" t="s">
        <v>1285</v>
      </c>
      <c r="E4" s="615" t="s">
        <v>1286</v>
      </c>
      <c r="F4" s="615" t="s">
        <v>1287</v>
      </c>
      <c r="G4" s="615" t="s">
        <v>1288</v>
      </c>
      <c r="H4" s="615" t="s">
        <v>1289</v>
      </c>
      <c r="I4" s="615" t="s">
        <v>482</v>
      </c>
      <c r="J4" s="615" t="s">
        <v>1290</v>
      </c>
      <c r="K4" s="615" t="s">
        <v>1291</v>
      </c>
      <c r="L4" s="614"/>
    </row>
    <row r="5" spans="1:12">
      <c r="A5" s="616" t="s">
        <v>1292</v>
      </c>
      <c r="B5" s="617">
        <f>+'[53]Customer Count Summary'!$B$5</f>
        <v>64740.327497774051</v>
      </c>
      <c r="C5" s="617">
        <v>0</v>
      </c>
      <c r="D5" s="617">
        <f>+'[53]Camas Non-Reg'!G14</f>
        <v>0</v>
      </c>
      <c r="E5" s="618">
        <f>+'[53]Ridgefield Non-Reg'!H45</f>
        <v>2332.9594216824144</v>
      </c>
      <c r="F5" s="617">
        <f>+'[53]Vancouver Non-Reg'!H51</f>
        <v>42548.352001028419</v>
      </c>
      <c r="G5" s="617">
        <f>+'[53]Washougal Non-Reg'!H39</f>
        <v>5135.8516696243769</v>
      </c>
      <c r="H5" s="617">
        <v>0</v>
      </c>
      <c r="I5" s="617"/>
      <c r="J5" s="617">
        <f>SUM(C5:I5)</f>
        <v>50017.163092335206</v>
      </c>
      <c r="K5" s="617">
        <f>+J5+B5</f>
        <v>114757.49059010926</v>
      </c>
      <c r="L5" s="619"/>
    </row>
    <row r="6" spans="1:12">
      <c r="A6" s="616" t="s">
        <v>1293</v>
      </c>
      <c r="B6" s="617">
        <v>0</v>
      </c>
      <c r="C6" s="617">
        <f>+'[53]UTC Non-REg'!F27</f>
        <v>62317.753267659777</v>
      </c>
      <c r="D6" s="617">
        <f>+'[53]Camas Non-Reg'!G19</f>
        <v>7744.1116315378613</v>
      </c>
      <c r="E6" s="620">
        <f>+'[53]Ridgefield Non-Reg'!H51</f>
        <v>2160.6522435897436</v>
      </c>
      <c r="F6" s="617">
        <f>+'[53]Vancouver Non-Reg'!H67</f>
        <v>43381.560863095234</v>
      </c>
      <c r="G6" s="617">
        <f>+'[53]Washougal Non-Reg'!H47</f>
        <v>5016.4783333333335</v>
      </c>
      <c r="H6" s="617">
        <v>0</v>
      </c>
      <c r="I6" s="617"/>
      <c r="J6" s="617">
        <f t="shared" ref="J6:J15" si="0">SUM(C6:I6)</f>
        <v>120620.55633921595</v>
      </c>
      <c r="K6" s="617">
        <f t="shared" ref="K6:K15" si="1">+J6+B6</f>
        <v>120620.55633921595</v>
      </c>
      <c r="L6" s="619"/>
    </row>
    <row r="7" spans="1:12">
      <c r="A7" s="616" t="s">
        <v>1294</v>
      </c>
      <c r="B7" s="617">
        <v>0</v>
      </c>
      <c r="C7" s="617">
        <f>+'[53]UTC Non-REg'!F48</f>
        <v>23763.43022930649</v>
      </c>
      <c r="D7" s="617">
        <f>+'[53]Camas Non-Reg'!G34</f>
        <v>2693.020337085306</v>
      </c>
      <c r="E7" s="620">
        <f>+'[53]Ridgefield Non-Reg'!H58</f>
        <v>1096.3477188655982</v>
      </c>
      <c r="F7" s="617">
        <f>+'[53]Vancouver Non-Reg'!H88</f>
        <v>19597.697161835753</v>
      </c>
      <c r="G7" s="617">
        <f>+'[53]Washougal Non-Reg'!H63</f>
        <v>2063.0233153272015</v>
      </c>
      <c r="H7" s="617">
        <v>0</v>
      </c>
      <c r="I7" s="617"/>
      <c r="J7" s="617">
        <f t="shared" si="0"/>
        <v>49213.518762420346</v>
      </c>
      <c r="K7" s="617">
        <f t="shared" si="1"/>
        <v>49213.518762420346</v>
      </c>
      <c r="L7" s="619"/>
    </row>
    <row r="8" spans="1:12">
      <c r="A8" s="616" t="s">
        <v>1295</v>
      </c>
      <c r="B8" s="617">
        <f>+'[53]Customer Count Summary'!$B$8</f>
        <v>4063.1633009423308</v>
      </c>
      <c r="C8" s="617">
        <v>0</v>
      </c>
      <c r="D8" s="617">
        <f>+'[53]Camas Non-Reg'!G43</f>
        <v>1.0833333333333335</v>
      </c>
      <c r="E8" s="620">
        <f>+'[53]Ridgefield Non-Reg'!H116</f>
        <v>80.880177863042007</v>
      </c>
      <c r="F8" s="617">
        <f>+'[53]Vancouver Non-Reg'!H211</f>
        <v>3998.5884752059201</v>
      </c>
      <c r="G8" s="617">
        <f>+'[53]Washougal Non-Reg'!H134</f>
        <v>213.45204149561451</v>
      </c>
      <c r="H8" s="617">
        <v>0</v>
      </c>
      <c r="I8" s="617"/>
      <c r="J8" s="617">
        <f t="shared" si="0"/>
        <v>4294.0040278979095</v>
      </c>
      <c r="K8" s="617">
        <f t="shared" si="1"/>
        <v>8357.1673288402399</v>
      </c>
      <c r="L8" s="619"/>
    </row>
    <row r="9" spans="1:12">
      <c r="A9" s="616" t="s">
        <v>487</v>
      </c>
      <c r="B9" s="617">
        <v>0</v>
      </c>
      <c r="C9" s="617">
        <v>0</v>
      </c>
      <c r="D9" s="617">
        <v>0</v>
      </c>
      <c r="E9" s="620">
        <v>0</v>
      </c>
      <c r="F9" s="617">
        <v>0</v>
      </c>
      <c r="G9" s="617">
        <v>0</v>
      </c>
      <c r="H9" s="617">
        <v>0</v>
      </c>
      <c r="I9" s="617"/>
      <c r="J9" s="617">
        <f t="shared" si="0"/>
        <v>0</v>
      </c>
      <c r="K9" s="617">
        <f t="shared" si="1"/>
        <v>0</v>
      </c>
      <c r="L9" s="619"/>
    </row>
    <row r="10" spans="1:12">
      <c r="A10" s="616" t="s">
        <v>1296</v>
      </c>
      <c r="B10" s="617">
        <v>0</v>
      </c>
      <c r="C10" s="617">
        <f>+'[53]UTC Non-REg'!F32</f>
        <v>9526.2001044932076</v>
      </c>
      <c r="D10" s="617">
        <v>0</v>
      </c>
      <c r="E10" s="620">
        <v>0</v>
      </c>
      <c r="F10" s="617">
        <f>+'[53]Vancouver Non-Reg'!H73</f>
        <v>25997.192552742614</v>
      </c>
      <c r="G10" s="617">
        <f>+'[53]Washougal Non-Reg'!H69</f>
        <v>504.328125</v>
      </c>
      <c r="H10" s="617">
        <v>0</v>
      </c>
      <c r="I10" s="617"/>
      <c r="J10" s="663">
        <f>H52</f>
        <v>1469</v>
      </c>
      <c r="K10" s="617">
        <f t="shared" si="1"/>
        <v>1469</v>
      </c>
      <c r="L10" s="619"/>
    </row>
    <row r="11" spans="1:12">
      <c r="A11" s="616" t="s">
        <v>23</v>
      </c>
      <c r="B11" s="617">
        <v>0</v>
      </c>
      <c r="C11" s="617">
        <f>+'[53]UTC Non-REg'!F152</f>
        <v>642.79019817112794</v>
      </c>
      <c r="D11" s="617">
        <f>+'[53]Camas Non-Reg'!G114</f>
        <v>97.943696162555753</v>
      </c>
      <c r="E11" s="620">
        <f>+'[53]Ridgefield Non-Reg'!H161</f>
        <v>41.559464850356207</v>
      </c>
      <c r="F11" s="617">
        <f>+'[53]Vancouver Non-Reg'!H327</f>
        <v>2290.2440822185545</v>
      </c>
      <c r="G11" s="617">
        <f>+'[53]Washougal Non-Reg'!H197</f>
        <v>73.561418055279162</v>
      </c>
      <c r="H11" s="617">
        <f>+'[53]West Van Non-Reg'!H52+'[53]West Van Non-Reg'!H13</f>
        <v>17.457094863241842</v>
      </c>
      <c r="I11" s="617">
        <f>+'[53]Shred Non-Reg'!G24</f>
        <v>937</v>
      </c>
      <c r="J11" s="617">
        <f t="shared" si="0"/>
        <v>4100.5559543211157</v>
      </c>
      <c r="K11" s="617">
        <f t="shared" si="1"/>
        <v>4100.5559543211157</v>
      </c>
      <c r="L11" s="619"/>
    </row>
    <row r="12" spans="1:12">
      <c r="A12" s="616" t="s">
        <v>1297</v>
      </c>
      <c r="B12" s="658">
        <f>SUM(C23,C25:C26,C28:C29,C31:C32,C34,E23,E25:E26,E28:E29,E31:E32,E34,G23:H23,G25:H26,G28:H29,G31:H32,G34:H34,K23,K25:K26,K28:K29,K31:K32,K34)</f>
        <v>306</v>
      </c>
      <c r="C12" s="617"/>
      <c r="D12" s="617"/>
      <c r="E12" s="620"/>
      <c r="F12" s="617"/>
      <c r="G12" s="617"/>
      <c r="H12" s="617"/>
      <c r="I12" s="617"/>
      <c r="J12" s="657">
        <f>SUM(D23,D25:D26,D28:D29,D31:D32,D34,F23,F25:F26,F28:F29,F31:F32,F34,I23:J23,I25:J26,I28:J29,I31:J32,I34:J34,J35:J37)</f>
        <v>377</v>
      </c>
      <c r="K12" s="617">
        <f t="shared" si="1"/>
        <v>683</v>
      </c>
      <c r="L12" s="619"/>
    </row>
    <row r="13" spans="1:12">
      <c r="A13" s="616" t="s">
        <v>1298</v>
      </c>
      <c r="B13" s="617">
        <v>0</v>
      </c>
      <c r="C13" s="617"/>
      <c r="D13" s="617"/>
      <c r="E13" s="620"/>
      <c r="F13" s="617"/>
      <c r="G13" s="617"/>
      <c r="H13" s="617"/>
      <c r="I13" s="617"/>
      <c r="J13" s="662">
        <f>SUM(L24,L27,L30,L33)</f>
        <v>170</v>
      </c>
      <c r="K13" s="617">
        <f t="shared" si="1"/>
        <v>170</v>
      </c>
      <c r="L13" s="619"/>
    </row>
    <row r="14" spans="1:12">
      <c r="A14" s="616" t="s">
        <v>1299</v>
      </c>
      <c r="B14" s="617">
        <f>+'[53]Customer Count Summary'!$B$14</f>
        <v>0</v>
      </c>
      <c r="C14" s="617">
        <f>+'[53]UTC Non-REg'!F181</f>
        <v>0</v>
      </c>
      <c r="D14" s="617">
        <f>+'[53]Camas Non-Reg'!G176</f>
        <v>0</v>
      </c>
      <c r="E14" s="620">
        <f>+'[53]Ridgefield Non-Reg'!H226</f>
        <v>0</v>
      </c>
      <c r="F14" s="620">
        <f>+'[53]Vancouver Non-Reg'!H418</f>
        <v>0</v>
      </c>
      <c r="G14" s="620">
        <f>+'[53]Washougal Non-Reg'!H247</f>
        <v>0</v>
      </c>
      <c r="H14" s="620">
        <v>0</v>
      </c>
      <c r="I14" s="620"/>
      <c r="J14" s="617">
        <f t="shared" si="0"/>
        <v>0</v>
      </c>
      <c r="K14" s="617">
        <f t="shared" si="1"/>
        <v>0</v>
      </c>
      <c r="L14" s="619"/>
    </row>
    <row r="15" spans="1:12">
      <c r="A15" s="616" t="s">
        <v>488</v>
      </c>
      <c r="B15" s="621">
        <f>+'[53]Customer Count Summary'!$B$15</f>
        <v>0</v>
      </c>
      <c r="C15" s="621"/>
      <c r="D15" s="621">
        <f>+'[53]Camas Non-Reg'!G186</f>
        <v>0</v>
      </c>
      <c r="E15" s="621">
        <f>+'[53]Ridgefield Non-Reg'!H236</f>
        <v>0</v>
      </c>
      <c r="F15" s="621">
        <f>+'[53]Vancouver Non-Reg'!H430</f>
        <v>0</v>
      </c>
      <c r="G15" s="621">
        <f>+'[53]Washougal Non-Reg'!H257</f>
        <v>0</v>
      </c>
      <c r="H15" s="621">
        <f>+'[53]West Van Non-Reg'!H88</f>
        <v>0</v>
      </c>
      <c r="I15" s="621">
        <f>+'[53]Shred Non-Reg'!G32</f>
        <v>0</v>
      </c>
      <c r="J15" s="621">
        <f t="shared" si="0"/>
        <v>0</v>
      </c>
      <c r="K15" s="621">
        <f t="shared" si="1"/>
        <v>0</v>
      </c>
      <c r="L15" s="619"/>
    </row>
    <row r="16" spans="1:12">
      <c r="A16" s="622"/>
      <c r="B16" s="623">
        <f t="shared" ref="B16:K16" si="2">SUM(B5:B15)</f>
        <v>69109.490798716375</v>
      </c>
      <c r="C16" s="623">
        <f t="shared" si="2"/>
        <v>96250.173799630604</v>
      </c>
      <c r="D16" s="623">
        <f t="shared" si="2"/>
        <v>10536.158998119057</v>
      </c>
      <c r="E16" s="623">
        <f t="shared" si="2"/>
        <v>5712.3990268511543</v>
      </c>
      <c r="F16" s="617">
        <f t="shared" si="2"/>
        <v>137813.63513612648</v>
      </c>
      <c r="G16" s="617">
        <f t="shared" si="2"/>
        <v>13006.694902835807</v>
      </c>
      <c r="H16" s="617">
        <f t="shared" si="2"/>
        <v>17.457094863241842</v>
      </c>
      <c r="I16" s="617">
        <f t="shared" si="2"/>
        <v>937</v>
      </c>
      <c r="J16" s="617">
        <f t="shared" si="2"/>
        <v>230261.79817619052</v>
      </c>
      <c r="K16" s="617">
        <f t="shared" si="2"/>
        <v>299371.2889749069</v>
      </c>
      <c r="L16" s="614"/>
    </row>
    <row r="17" spans="1:14">
      <c r="A17" s="614"/>
      <c r="B17" s="624"/>
      <c r="C17" s="624"/>
      <c r="D17" s="624"/>
      <c r="E17" s="624"/>
      <c r="F17" s="625"/>
      <c r="G17" s="625"/>
      <c r="H17" s="625"/>
      <c r="I17" s="625"/>
      <c r="J17" s="614"/>
      <c r="K17" s="614"/>
      <c r="L17" s="614"/>
    </row>
    <row r="18" spans="1:14">
      <c r="N18" s="626"/>
    </row>
    <row r="19" spans="1:14" ht="45.75" customHeight="1">
      <c r="A19" s="1401" t="s">
        <v>1329</v>
      </c>
      <c r="B19" s="1401"/>
      <c r="C19" s="1401"/>
      <c r="D19" s="1401"/>
      <c r="E19" s="1401"/>
      <c r="F19" s="1401"/>
      <c r="G19" s="1401"/>
      <c r="H19" s="1401"/>
      <c r="I19" s="1401"/>
      <c r="J19" s="1401"/>
      <c r="K19" s="1401"/>
      <c r="L19" s="1401"/>
      <c r="N19" s="626"/>
    </row>
    <row r="20" spans="1:14">
      <c r="A20" s="627"/>
      <c r="B20" s="627"/>
      <c r="C20" s="627"/>
      <c r="D20" s="627"/>
      <c r="E20" s="627"/>
      <c r="F20" s="627"/>
      <c r="G20" s="627"/>
      <c r="H20" s="627"/>
      <c r="I20" s="627"/>
      <c r="J20" s="627"/>
      <c r="K20" s="627"/>
      <c r="L20" s="627"/>
      <c r="N20" s="626"/>
    </row>
    <row r="21" spans="1:14">
      <c r="A21" s="646" t="s">
        <v>1300</v>
      </c>
      <c r="B21" s="629"/>
      <c r="C21" s="646" t="s">
        <v>1301</v>
      </c>
      <c r="D21" s="629"/>
      <c r="E21" s="629"/>
      <c r="F21" s="629"/>
      <c r="G21" s="629"/>
      <c r="H21" s="629"/>
      <c r="I21" s="629"/>
      <c r="J21" s="629"/>
      <c r="K21" s="629"/>
      <c r="L21" s="630"/>
      <c r="N21" s="626"/>
    </row>
    <row r="22" spans="1:14">
      <c r="A22" s="646" t="s">
        <v>1302</v>
      </c>
      <c r="B22" s="646" t="s">
        <v>493</v>
      </c>
      <c r="C22" s="647" t="s">
        <v>1303</v>
      </c>
      <c r="D22" s="631" t="s">
        <v>1314</v>
      </c>
      <c r="E22" s="648" t="s">
        <v>1304</v>
      </c>
      <c r="F22" s="631" t="s">
        <v>1315</v>
      </c>
      <c r="G22" s="648" t="s">
        <v>1305</v>
      </c>
      <c r="H22" s="648" t="s">
        <v>1306</v>
      </c>
      <c r="I22" s="631" t="s">
        <v>1316</v>
      </c>
      <c r="J22" s="631" t="s">
        <v>1317</v>
      </c>
      <c r="K22" s="648" t="s">
        <v>1307</v>
      </c>
      <c r="L22" s="632" t="s">
        <v>343</v>
      </c>
    </row>
    <row r="23" spans="1:14">
      <c r="A23" s="628" t="s">
        <v>1308</v>
      </c>
      <c r="B23" s="628" t="s">
        <v>809</v>
      </c>
      <c r="C23" s="649"/>
      <c r="D23" s="655"/>
      <c r="E23" s="650"/>
      <c r="F23" s="655"/>
      <c r="G23" s="650">
        <v>2</v>
      </c>
      <c r="H23" s="650"/>
      <c r="I23" s="655">
        <v>5</v>
      </c>
      <c r="J23" s="655"/>
      <c r="K23" s="650"/>
      <c r="L23" s="635">
        <v>7</v>
      </c>
    </row>
    <row r="24" spans="1:14">
      <c r="A24" s="636"/>
      <c r="B24" s="637" t="s">
        <v>1309</v>
      </c>
      <c r="C24" s="638"/>
      <c r="D24" s="639">
        <v>3</v>
      </c>
      <c r="E24" s="639"/>
      <c r="F24" s="639"/>
      <c r="G24" s="639">
        <v>1</v>
      </c>
      <c r="H24" s="639">
        <v>9</v>
      </c>
      <c r="I24" s="639">
        <v>6</v>
      </c>
      <c r="J24" s="639">
        <v>1</v>
      </c>
      <c r="K24" s="639"/>
      <c r="L24" s="654">
        <v>20</v>
      </c>
    </row>
    <row r="25" spans="1:14">
      <c r="A25" s="636"/>
      <c r="B25" s="637" t="s">
        <v>817</v>
      </c>
      <c r="C25" s="651"/>
      <c r="D25" s="656"/>
      <c r="E25" s="652"/>
      <c r="F25" s="656"/>
      <c r="G25" s="652">
        <v>1</v>
      </c>
      <c r="H25" s="652">
        <v>1</v>
      </c>
      <c r="I25" s="656"/>
      <c r="J25" s="656"/>
      <c r="K25" s="652"/>
      <c r="L25" s="640">
        <v>2</v>
      </c>
    </row>
    <row r="26" spans="1:14">
      <c r="A26" s="636"/>
      <c r="B26" s="637" t="s">
        <v>811</v>
      </c>
      <c r="C26" s="651">
        <v>1</v>
      </c>
      <c r="D26" s="656">
        <v>14</v>
      </c>
      <c r="E26" s="652">
        <v>2</v>
      </c>
      <c r="F26" s="656">
        <v>5</v>
      </c>
      <c r="G26" s="652">
        <v>4</v>
      </c>
      <c r="H26" s="652">
        <v>17</v>
      </c>
      <c r="I26" s="656">
        <v>92</v>
      </c>
      <c r="J26" s="656"/>
      <c r="K26" s="652"/>
      <c r="L26" s="640">
        <v>135</v>
      </c>
    </row>
    <row r="27" spans="1:14">
      <c r="A27" s="636"/>
      <c r="B27" s="637" t="s">
        <v>1310</v>
      </c>
      <c r="C27" s="638"/>
      <c r="D27" s="639">
        <v>5</v>
      </c>
      <c r="E27" s="639"/>
      <c r="F27" s="639">
        <v>2</v>
      </c>
      <c r="G27" s="639">
        <v>3</v>
      </c>
      <c r="H27" s="639">
        <v>9</v>
      </c>
      <c r="I27" s="639">
        <v>27</v>
      </c>
      <c r="J27" s="639">
        <v>1</v>
      </c>
      <c r="K27" s="639">
        <v>1</v>
      </c>
      <c r="L27" s="654">
        <v>48</v>
      </c>
    </row>
    <row r="28" spans="1:14">
      <c r="A28" s="636"/>
      <c r="B28" s="637" t="s">
        <v>819</v>
      </c>
      <c r="C28" s="651">
        <v>8</v>
      </c>
      <c r="D28" s="656"/>
      <c r="E28" s="652">
        <v>1</v>
      </c>
      <c r="F28" s="656"/>
      <c r="G28" s="652">
        <v>31</v>
      </c>
      <c r="H28" s="652">
        <v>37</v>
      </c>
      <c r="I28" s="656">
        <v>1</v>
      </c>
      <c r="J28" s="656"/>
      <c r="K28" s="652"/>
      <c r="L28" s="640">
        <v>78</v>
      </c>
    </row>
    <row r="29" spans="1:14">
      <c r="A29" s="636"/>
      <c r="B29" s="637" t="s">
        <v>813</v>
      </c>
      <c r="C29" s="651">
        <v>2</v>
      </c>
      <c r="D29" s="656">
        <v>15</v>
      </c>
      <c r="E29" s="652">
        <v>1</v>
      </c>
      <c r="F29" s="656">
        <v>9</v>
      </c>
      <c r="G29" s="652">
        <v>6</v>
      </c>
      <c r="H29" s="652">
        <v>21</v>
      </c>
      <c r="I29" s="656">
        <v>95</v>
      </c>
      <c r="J29" s="656"/>
      <c r="K29" s="652"/>
      <c r="L29" s="640">
        <v>149</v>
      </c>
    </row>
    <row r="30" spans="1:14">
      <c r="A30" s="636"/>
      <c r="B30" s="637" t="s">
        <v>1311</v>
      </c>
      <c r="C30" s="653">
        <v>2</v>
      </c>
      <c r="D30" s="639">
        <v>4</v>
      </c>
      <c r="E30" s="639"/>
      <c r="F30" s="639"/>
      <c r="G30" s="639">
        <v>4</v>
      </c>
      <c r="H30" s="639">
        <v>15</v>
      </c>
      <c r="I30" s="639">
        <v>22</v>
      </c>
      <c r="J30" s="639">
        <v>5</v>
      </c>
      <c r="K30" s="639"/>
      <c r="L30" s="654">
        <v>52</v>
      </c>
    </row>
    <row r="31" spans="1:14">
      <c r="A31" s="636"/>
      <c r="B31" s="637" t="s">
        <v>823</v>
      </c>
      <c r="C31" s="651">
        <v>6</v>
      </c>
      <c r="D31" s="656"/>
      <c r="E31" s="652"/>
      <c r="F31" s="656"/>
      <c r="G31" s="652">
        <v>36</v>
      </c>
      <c r="H31" s="652">
        <v>41</v>
      </c>
      <c r="I31" s="656"/>
      <c r="J31" s="656"/>
      <c r="K31" s="652">
        <v>1</v>
      </c>
      <c r="L31" s="640">
        <v>84</v>
      </c>
    </row>
    <row r="32" spans="1:14">
      <c r="A32" s="636"/>
      <c r="B32" s="637" t="s">
        <v>815</v>
      </c>
      <c r="C32" s="651">
        <v>2</v>
      </c>
      <c r="D32" s="656">
        <v>5</v>
      </c>
      <c r="E32" s="652"/>
      <c r="F32" s="656">
        <v>7</v>
      </c>
      <c r="G32" s="652">
        <v>3</v>
      </c>
      <c r="H32" s="652">
        <v>12</v>
      </c>
      <c r="I32" s="656">
        <v>100</v>
      </c>
      <c r="J32" s="656"/>
      <c r="K32" s="652"/>
      <c r="L32" s="640">
        <v>129</v>
      </c>
    </row>
    <row r="33" spans="1:13">
      <c r="A33" s="636"/>
      <c r="B33" s="637" t="s">
        <v>1312</v>
      </c>
      <c r="C33" s="653">
        <v>3</v>
      </c>
      <c r="D33" s="639">
        <v>2</v>
      </c>
      <c r="E33" s="639"/>
      <c r="F33" s="639">
        <v>1</v>
      </c>
      <c r="G33" s="639">
        <v>5</v>
      </c>
      <c r="H33" s="639">
        <v>12</v>
      </c>
      <c r="I33" s="639">
        <v>22</v>
      </c>
      <c r="J33" s="639">
        <v>5</v>
      </c>
      <c r="K33" s="639"/>
      <c r="L33" s="654">
        <v>50</v>
      </c>
    </row>
    <row r="34" spans="1:13">
      <c r="A34" s="636"/>
      <c r="B34" s="637" t="s">
        <v>825</v>
      </c>
      <c r="C34" s="651">
        <v>2</v>
      </c>
      <c r="D34" s="656"/>
      <c r="E34" s="652">
        <v>1</v>
      </c>
      <c r="F34" s="656"/>
      <c r="G34" s="652">
        <v>25</v>
      </c>
      <c r="H34" s="652">
        <v>40</v>
      </c>
      <c r="I34" s="656"/>
      <c r="J34" s="656"/>
      <c r="K34" s="652">
        <v>2</v>
      </c>
      <c r="L34" s="640">
        <v>70</v>
      </c>
    </row>
    <row r="35" spans="1:13">
      <c r="A35" s="636"/>
      <c r="B35" s="637" t="s">
        <v>1318</v>
      </c>
      <c r="C35" s="638"/>
      <c r="D35" s="639"/>
      <c r="E35" s="639"/>
      <c r="F35" s="639"/>
      <c r="G35" s="639"/>
      <c r="H35" s="639"/>
      <c r="I35" s="639"/>
      <c r="J35" s="656">
        <v>13</v>
      </c>
      <c r="K35" s="639"/>
      <c r="L35" s="640">
        <v>13</v>
      </c>
    </row>
    <row r="36" spans="1:13">
      <c r="A36" s="636"/>
      <c r="B36" s="637" t="s">
        <v>1319</v>
      </c>
      <c r="C36" s="638"/>
      <c r="D36" s="639"/>
      <c r="E36" s="639"/>
      <c r="F36" s="639"/>
      <c r="G36" s="639"/>
      <c r="H36" s="639"/>
      <c r="I36" s="639"/>
      <c r="J36" s="656">
        <v>12</v>
      </c>
      <c r="K36" s="639"/>
      <c r="L36" s="640">
        <v>12</v>
      </c>
    </row>
    <row r="37" spans="1:13">
      <c r="A37" s="636"/>
      <c r="B37" s="637" t="s">
        <v>1320</v>
      </c>
      <c r="C37" s="638"/>
      <c r="D37" s="639"/>
      <c r="E37" s="639"/>
      <c r="F37" s="639"/>
      <c r="G37" s="639"/>
      <c r="H37" s="639"/>
      <c r="I37" s="639"/>
      <c r="J37" s="656">
        <v>4</v>
      </c>
      <c r="K37" s="639"/>
      <c r="L37" s="640">
        <v>4</v>
      </c>
    </row>
    <row r="38" spans="1:13">
      <c r="A38" s="628" t="s">
        <v>1313</v>
      </c>
      <c r="B38" s="629"/>
      <c r="C38" s="643">
        <f>SUM(C23:C37)</f>
        <v>26</v>
      </c>
      <c r="D38" s="644">
        <f t="shared" ref="D38:L38" si="3">SUM(D23:D37)</f>
        <v>48</v>
      </c>
      <c r="E38" s="644">
        <f t="shared" si="3"/>
        <v>5</v>
      </c>
      <c r="F38" s="644">
        <f t="shared" si="3"/>
        <v>24</v>
      </c>
      <c r="G38" s="644">
        <f t="shared" si="3"/>
        <v>121</v>
      </c>
      <c r="H38" s="644">
        <f t="shared" si="3"/>
        <v>214</v>
      </c>
      <c r="I38" s="644">
        <f t="shared" si="3"/>
        <v>370</v>
      </c>
      <c r="J38" s="644">
        <f t="shared" si="3"/>
        <v>41</v>
      </c>
      <c r="K38" s="644">
        <f t="shared" si="3"/>
        <v>4</v>
      </c>
      <c r="L38" s="659">
        <f t="shared" si="3"/>
        <v>853</v>
      </c>
    </row>
    <row r="39" spans="1:13">
      <c r="L39" s="660">
        <f>L38-B12-J12-J13</f>
        <v>0</v>
      </c>
      <c r="M39" s="661" t="s">
        <v>339</v>
      </c>
    </row>
    <row r="42" spans="1:13" ht="45.75" customHeight="1">
      <c r="A42" s="1401" t="s">
        <v>1328</v>
      </c>
      <c r="B42" s="1401"/>
      <c r="C42" s="1401"/>
      <c r="D42" s="1401"/>
      <c r="E42" s="1401"/>
      <c r="F42" s="1401"/>
      <c r="G42" s="1401"/>
      <c r="H42" s="1401"/>
      <c r="I42" s="1401"/>
      <c r="J42" s="1401"/>
      <c r="K42" s="1401"/>
      <c r="L42" s="1401"/>
    </row>
    <row r="43" spans="1:13">
      <c r="A43" s="627"/>
      <c r="B43" s="627"/>
      <c r="C43" s="627"/>
      <c r="D43" s="627"/>
      <c r="E43" s="627"/>
      <c r="F43" s="627"/>
      <c r="G43" s="627"/>
      <c r="H43" s="627"/>
    </row>
    <row r="44" spans="1:13">
      <c r="A44" s="646" t="s">
        <v>1300</v>
      </c>
      <c r="B44" s="629"/>
      <c r="C44" s="646" t="s">
        <v>1301</v>
      </c>
      <c r="D44" s="629"/>
      <c r="E44" s="629"/>
      <c r="F44" s="629"/>
      <c r="G44" s="629"/>
      <c r="H44" s="630"/>
    </row>
    <row r="45" spans="1:13">
      <c r="A45" s="646" t="s">
        <v>1302</v>
      </c>
      <c r="B45" s="646" t="s">
        <v>493</v>
      </c>
      <c r="C45" s="628" t="s">
        <v>1303</v>
      </c>
      <c r="D45" s="631" t="s">
        <v>1314</v>
      </c>
      <c r="E45" s="631" t="s">
        <v>1306</v>
      </c>
      <c r="F45" s="631" t="s">
        <v>1316</v>
      </c>
      <c r="G45" s="631" t="s">
        <v>1317</v>
      </c>
      <c r="H45" s="632" t="s">
        <v>343</v>
      </c>
    </row>
    <row r="46" spans="1:13">
      <c r="A46" s="628" t="s">
        <v>1321</v>
      </c>
      <c r="B46" s="628" t="s">
        <v>1322</v>
      </c>
      <c r="C46" s="633"/>
      <c r="D46" s="634"/>
      <c r="E46" s="634"/>
      <c r="F46" s="634"/>
      <c r="G46" s="634">
        <v>15</v>
      </c>
      <c r="H46" s="635">
        <v>15</v>
      </c>
    </row>
    <row r="47" spans="1:13">
      <c r="A47" s="636"/>
      <c r="B47" s="637" t="s">
        <v>1323</v>
      </c>
      <c r="C47" s="638">
        <v>3</v>
      </c>
      <c r="D47" s="639"/>
      <c r="E47" s="639">
        <v>14</v>
      </c>
      <c r="F47" s="639">
        <v>37</v>
      </c>
      <c r="G47" s="639"/>
      <c r="H47" s="640">
        <v>54</v>
      </c>
    </row>
    <row r="48" spans="1:13">
      <c r="A48" s="636"/>
      <c r="B48" s="637" t="s">
        <v>1324</v>
      </c>
      <c r="C48" s="638"/>
      <c r="D48" s="639">
        <v>24</v>
      </c>
      <c r="E48" s="639"/>
      <c r="F48" s="639"/>
      <c r="G48" s="639"/>
      <c r="H48" s="640">
        <v>24</v>
      </c>
    </row>
    <row r="49" spans="1:8">
      <c r="A49" s="636"/>
      <c r="B49" s="637" t="s">
        <v>1325</v>
      </c>
      <c r="C49" s="638">
        <v>26</v>
      </c>
      <c r="D49" s="639"/>
      <c r="E49" s="639">
        <v>807</v>
      </c>
      <c r="F49" s="639">
        <v>487</v>
      </c>
      <c r="G49" s="639"/>
      <c r="H49" s="640">
        <v>1320</v>
      </c>
    </row>
    <row r="50" spans="1:8">
      <c r="A50" s="636"/>
      <c r="B50" s="637" t="s">
        <v>1326</v>
      </c>
      <c r="C50" s="638"/>
      <c r="D50" s="639"/>
      <c r="E50" s="639"/>
      <c r="F50" s="639">
        <v>56</v>
      </c>
      <c r="G50" s="639"/>
      <c r="H50" s="640">
        <v>56</v>
      </c>
    </row>
    <row r="51" spans="1:8">
      <c r="A51" s="628" t="s">
        <v>1327</v>
      </c>
      <c r="B51" s="629"/>
      <c r="C51" s="633">
        <v>29</v>
      </c>
      <c r="D51" s="634">
        <v>24</v>
      </c>
      <c r="E51" s="634">
        <v>821</v>
      </c>
      <c r="F51" s="634">
        <v>580</v>
      </c>
      <c r="G51" s="634">
        <v>15</v>
      </c>
      <c r="H51" s="635">
        <v>1469</v>
      </c>
    </row>
    <row r="52" spans="1:8">
      <c r="A52" s="641" t="s">
        <v>343</v>
      </c>
      <c r="B52" s="642"/>
      <c r="C52" s="643">
        <v>29</v>
      </c>
      <c r="D52" s="644">
        <v>24</v>
      </c>
      <c r="E52" s="644">
        <v>821</v>
      </c>
      <c r="F52" s="644">
        <v>580</v>
      </c>
      <c r="G52" s="644">
        <v>15</v>
      </c>
      <c r="H52" s="645">
        <v>1469</v>
      </c>
    </row>
  </sheetData>
  <mergeCells count="2">
    <mergeCell ref="A19:L19"/>
    <mergeCell ref="A42:L42"/>
  </mergeCells>
  <pageMargins left="0.7" right="0.7" top="0.75" bottom="0.75" header="0.3" footer="0.3"/>
  <pageSetup scale="52" orientation="portrait" r:id="rId1"/>
  <headerFooter>
    <oddFooter xml:space="preserve">&amp;L&amp;F - &amp;A
&amp;RPage &amp;P of &amp;N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1af0c028-e016-4365-948e-cc2e26d65303"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91F48B17BD9B3844A9590C90A9422838" ma:contentTypeVersion="104" ma:contentTypeDescription="" ma:contentTypeScope="" ma:versionID="44cf60696ee6c0bf47228533db8b72a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89c495a0c88ffde05ae816fb4d76b5d2"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Workpapers</DocumentSetType>
    <Visibility xmlns="dc463f71-b30c-4ab2-9473-d307f9d35888" xsi:nil="true"/>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2017-11-15T08:00:00+00:00</OpenedDate>
    <Date1 xmlns="dc463f71-b30c-4ab2-9473-d307f9d35888">2017-11-15T08:00:00+00:00</Date1>
    <IsDocumentOrder xmlns="dc463f71-b30c-4ab2-9473-d307f9d35888">false</IsDocumentOrder>
    <IsHighlyConfidential xmlns="dc463f71-b30c-4ab2-9473-d307f9d35888">false</IsHighlyConfidential>
    <CaseCompanyNames xmlns="dc463f71-b30c-4ab2-9473-d307f9d35888">WASTE CONNECTIONS OF WASHINGTON, INC.</CaseCompanyNames>
    <Nickname xmlns="http://schemas.microsoft.com/sharepoint/v3" xsi:nil="true"/>
    <DocketNumber xmlns="dc463f71-b30c-4ab2-9473-d307f9d35888">171140</DocketNumber>
    <DelegatedOrder xmlns="dc463f71-b30c-4ab2-9473-d307f9d35888">false</DelegatedOrder>
    <SignificantOrder xmlns="dc463f71-b30c-4ab2-9473-d307f9d35888">false</SignificantOrder>
  </documentManagement>
</p:properties>
</file>

<file path=customXml/itemProps1.xml><?xml version="1.0" encoding="utf-8"?>
<ds:datastoreItem xmlns:ds="http://schemas.openxmlformats.org/officeDocument/2006/customXml" ds:itemID="{24F51E57-BA8B-4631-BC0F-43FE1BF4B0EF}"/>
</file>

<file path=customXml/itemProps2.xml><?xml version="1.0" encoding="utf-8"?>
<ds:datastoreItem xmlns:ds="http://schemas.openxmlformats.org/officeDocument/2006/customXml" ds:itemID="{7262E3EA-ADBB-4533-8D39-76D739968CD6}"/>
</file>

<file path=customXml/itemProps3.xml><?xml version="1.0" encoding="utf-8"?>
<ds:datastoreItem xmlns:ds="http://schemas.openxmlformats.org/officeDocument/2006/customXml" ds:itemID="{586A1155-80A4-4891-9482-7F9FB1EA22EA}"/>
</file>

<file path=customXml/itemProps4.xml><?xml version="1.0" encoding="utf-8"?>
<ds:datastoreItem xmlns:ds="http://schemas.openxmlformats.org/officeDocument/2006/customXml" ds:itemID="{F5CF9E81-FEB8-44D7-816C-A757D6D6A3C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117</vt:i4>
      </vt:variant>
    </vt:vector>
  </HeadingPairs>
  <TitlesOfParts>
    <vt:vector size="144" baseType="lpstr">
      <vt:lpstr>2010_IS</vt:lpstr>
      <vt:lpstr>Vancouver Consolidated IS</vt:lpstr>
      <vt:lpstr>Ratios</vt:lpstr>
      <vt:lpstr>Restating Adj's</vt:lpstr>
      <vt:lpstr>Pro-forma Adj's</vt:lpstr>
      <vt:lpstr>LG Regulated</vt:lpstr>
      <vt:lpstr>Proposed Rates</vt:lpstr>
      <vt:lpstr>Price Out</vt:lpstr>
      <vt:lpstr>Cust Counts</vt:lpstr>
      <vt:lpstr>Payroll Summary</vt:lpstr>
      <vt:lpstr>Payroll Detail</vt:lpstr>
      <vt:lpstr>Total Depreciation Summary</vt:lpstr>
      <vt:lpstr>Disposal</vt:lpstr>
      <vt:lpstr>Shop Exp</vt:lpstr>
      <vt:lpstr>Fuel</vt:lpstr>
      <vt:lpstr>DivCon-DVP Alloc Out</vt:lpstr>
      <vt:lpstr>43001</vt:lpstr>
      <vt:lpstr>60225</vt:lpstr>
      <vt:lpstr>70195</vt:lpstr>
      <vt:lpstr>70225</vt:lpstr>
      <vt:lpstr>WCI P&amp;L</vt:lpstr>
      <vt:lpstr>WCI BS</vt:lpstr>
      <vt:lpstr>Region OH Calc</vt:lpstr>
      <vt:lpstr>Corp OH</vt:lpstr>
      <vt:lpstr>9.30.17 BS</vt:lpstr>
      <vt:lpstr>9.30.16 BS</vt:lpstr>
      <vt:lpstr>References</vt:lpstr>
      <vt:lpstr>'43001'!Accounts</vt:lpstr>
      <vt:lpstr>'60225'!Accounts</vt:lpstr>
      <vt:lpstr>'70195'!Accounts</vt:lpstr>
      <vt:lpstr>'70225'!Accounts</vt:lpstr>
      <vt:lpstr>'43001'!AmountFrom</vt:lpstr>
      <vt:lpstr>'60225'!AmountFrom</vt:lpstr>
      <vt:lpstr>'70195'!AmountFrom</vt:lpstr>
      <vt:lpstr>'70225'!AmountFrom</vt:lpstr>
      <vt:lpstr>'43001'!AmountTo</vt:lpstr>
      <vt:lpstr>'60225'!AmountTo</vt:lpstr>
      <vt:lpstr>'70195'!AmountTo</vt:lpstr>
      <vt:lpstr>'70225'!AmountTo</vt:lpstr>
      <vt:lpstr>'43001'!CurrentMonth</vt:lpstr>
      <vt:lpstr>'60225'!CurrentMonth</vt:lpstr>
      <vt:lpstr>'70195'!CurrentMonth</vt:lpstr>
      <vt:lpstr>'70225'!CurrentMonth</vt:lpstr>
      <vt:lpstr>'43001'!DateFrom</vt:lpstr>
      <vt:lpstr>'60225'!DateFrom</vt:lpstr>
      <vt:lpstr>'70195'!DateFrom</vt:lpstr>
      <vt:lpstr>'70225'!DateFrom</vt:lpstr>
      <vt:lpstr>'43001'!DateTo</vt:lpstr>
      <vt:lpstr>'60225'!DateTo</vt:lpstr>
      <vt:lpstr>'70195'!DateTo</vt:lpstr>
      <vt:lpstr>'70225'!DateTo</vt:lpstr>
      <vt:lpstr>'2010_IS'!District</vt:lpstr>
      <vt:lpstr>'9.30.16 BS'!District</vt:lpstr>
      <vt:lpstr>'9.30.17 BS'!District</vt:lpstr>
      <vt:lpstr>'Region OH Calc'!District</vt:lpstr>
      <vt:lpstr>'2010_IS'!DistrictName</vt:lpstr>
      <vt:lpstr>'9.30.16 BS'!DistrictName</vt:lpstr>
      <vt:lpstr>'9.30.17 BS'!DistrictName</vt:lpstr>
      <vt:lpstr>'Region OH Calc'!DistrictName</vt:lpstr>
      <vt:lpstr>'43001'!Districts</vt:lpstr>
      <vt:lpstr>'60225'!Districts</vt:lpstr>
      <vt:lpstr>'70195'!Districts</vt:lpstr>
      <vt:lpstr>'70225'!Districts</vt:lpstr>
      <vt:lpstr>'43001'!EntrieShownLimit</vt:lpstr>
      <vt:lpstr>'60225'!EntrieShownLimit</vt:lpstr>
      <vt:lpstr>'70195'!EntrieShownLimit</vt:lpstr>
      <vt:lpstr>'70225'!EntrieShownLimit</vt:lpstr>
      <vt:lpstr>'2010_IS'!ExcludeIC</vt:lpstr>
      <vt:lpstr>'9.30.16 BS'!ExcludeIC</vt:lpstr>
      <vt:lpstr>'9.30.17 BS'!ExcludeIC</vt:lpstr>
      <vt:lpstr>'Region OH Calc'!ExcludeIC</vt:lpstr>
      <vt:lpstr>'43001'!FromMonth</vt:lpstr>
      <vt:lpstr>'60225'!FromMonth</vt:lpstr>
      <vt:lpstr>'70195'!FromMonth</vt:lpstr>
      <vt:lpstr>'70225'!FromMonth</vt:lpstr>
      <vt:lpstr>'LG Regulated'!INPUT</vt:lpstr>
      <vt:lpstr>'43001'!Posting</vt:lpstr>
      <vt:lpstr>'60225'!Posting</vt:lpstr>
      <vt:lpstr>'70195'!Posting</vt:lpstr>
      <vt:lpstr>'70225'!Posting</vt:lpstr>
      <vt:lpstr>'2010_IS'!Print_Area</vt:lpstr>
      <vt:lpstr>'43001'!Print_Area</vt:lpstr>
      <vt:lpstr>'60225'!Print_Area</vt:lpstr>
      <vt:lpstr>'70195'!Print_Area</vt:lpstr>
      <vt:lpstr>'70225'!Print_Area</vt:lpstr>
      <vt:lpstr>'9.30.16 BS'!Print_Area</vt:lpstr>
      <vt:lpstr>'9.30.17 BS'!Print_Area</vt:lpstr>
      <vt:lpstr>'Corp OH'!Print_Area</vt:lpstr>
      <vt:lpstr>'LG Regulated'!Print_Area</vt:lpstr>
      <vt:lpstr>'Payroll Detail'!Print_Area</vt:lpstr>
      <vt:lpstr>'Price Out'!Print_Area</vt:lpstr>
      <vt:lpstr>'Pro-forma Adj''s'!Print_Area</vt:lpstr>
      <vt:lpstr>'Proposed Rates'!Print_Area</vt:lpstr>
      <vt:lpstr>Ratios!Print_Area</vt:lpstr>
      <vt:lpstr>References!Print_Area</vt:lpstr>
      <vt:lpstr>'Region OH Calc'!Print_Area</vt:lpstr>
      <vt:lpstr>'Restating Adj''s'!Print_Area</vt:lpstr>
      <vt:lpstr>'Total Depreciation Summary'!Print_Area</vt:lpstr>
      <vt:lpstr>'Vancouver Consolidated IS'!Print_Area</vt:lpstr>
      <vt:lpstr>'WCI P&amp;L'!Print_Area</vt:lpstr>
      <vt:lpstr>'LG Regulated'!Print_Area_MI</vt:lpstr>
      <vt:lpstr>'2010_IS'!Print_Titles</vt:lpstr>
      <vt:lpstr>'43001'!Print_Titles</vt:lpstr>
      <vt:lpstr>'60225'!Print_Titles</vt:lpstr>
      <vt:lpstr>'70195'!Print_Titles</vt:lpstr>
      <vt:lpstr>'70225'!Print_Titles</vt:lpstr>
      <vt:lpstr>'9.30.16 BS'!Print_Titles</vt:lpstr>
      <vt:lpstr>'9.30.17 BS'!Print_Titles</vt:lpstr>
      <vt:lpstr>'Corp OH'!Print_Titles</vt:lpstr>
      <vt:lpstr>Disposal!Print_Titles</vt:lpstr>
      <vt:lpstr>'Payroll Detail'!Print_Titles</vt:lpstr>
      <vt:lpstr>'Price Out'!Print_Titles</vt:lpstr>
      <vt:lpstr>'Pro-forma Adj''s'!Print_Titles</vt:lpstr>
      <vt:lpstr>'Proposed Rates'!Print_Titles</vt:lpstr>
      <vt:lpstr>Ratios!Print_Titles</vt:lpstr>
      <vt:lpstr>'Region OH Calc'!Print_Titles</vt:lpstr>
      <vt:lpstr>'Restating Adj''s'!Print_Titles</vt:lpstr>
      <vt:lpstr>'Total Depreciation Summary'!Print_Titles</vt:lpstr>
      <vt:lpstr>'Vancouver Consolidated IS'!Print_Titles</vt:lpstr>
      <vt:lpstr>'WCI BS'!Print_Titles</vt:lpstr>
      <vt:lpstr>'43001'!SubSystems</vt:lpstr>
      <vt:lpstr>'60225'!SubSystems</vt:lpstr>
      <vt:lpstr>'70195'!SubSystems</vt:lpstr>
      <vt:lpstr>'70225'!SubSystems</vt:lpstr>
      <vt:lpstr>'2010_IS'!System</vt:lpstr>
      <vt:lpstr>'9.30.16 BS'!System</vt:lpstr>
      <vt:lpstr>'9.30.17 BS'!System</vt:lpstr>
      <vt:lpstr>'Region OH Calc'!System</vt:lpstr>
      <vt:lpstr>'43001'!Systems</vt:lpstr>
      <vt:lpstr>'60225'!Systems</vt:lpstr>
      <vt:lpstr>'70195'!Systems</vt:lpstr>
      <vt:lpstr>'70225'!Systems</vt:lpstr>
      <vt:lpstr>'43001'!ToMonth</vt:lpstr>
      <vt:lpstr>'60225'!ToMonth</vt:lpstr>
      <vt:lpstr>'70195'!ToMonth</vt:lpstr>
      <vt:lpstr>'70225'!ToMonth</vt:lpstr>
      <vt:lpstr>'43001'!VendorCode</vt:lpstr>
      <vt:lpstr>'60225'!VendorCode</vt:lpstr>
      <vt:lpstr>'70195'!VendorCode</vt:lpstr>
      <vt:lpstr>'70225'!VendorCode</vt:lpstr>
      <vt:lpstr>'2010_IS'!YearMonth</vt:lpstr>
      <vt:lpstr>'9.30.16 BS'!YearMonth</vt:lpstr>
      <vt:lpstr>'9.30.17 BS'!YearMonth</vt:lpstr>
      <vt:lpstr>'Region OH Calc'!YearMonth</vt:lpstr>
    </vt:vector>
  </TitlesOfParts>
  <Company>R360 Environmental Solutions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Lindsay Waldram</dc:creator>
  <cp:lastModifiedBy>Lindsay Waldram</cp:lastModifiedBy>
  <cp:lastPrinted>2017-11-15T22:09:38Z</cp:lastPrinted>
  <dcterms:created xsi:type="dcterms:W3CDTF">2017-08-03T14:12:45Z</dcterms:created>
  <dcterms:modified xsi:type="dcterms:W3CDTF">2017-11-15T22:11:36Z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0x0101006E56B4D1795A2E4DB2F0B01679ED314A0091F48B17BD9B3844A9590C90A9422838</vt:lpwstr>
  </property>
  <property fmtid="{D5CDD505-2E9C-101B-9397-08002B2CF9AE}" pid="3" name="_docset_NoMedatataSyncRequired">
    <vt:lpwstr>False</vt:lpwstr>
  </property>
  <property fmtid="{D5CDD505-2E9C-101B-9397-08002B2CF9AE}" pid="4" name="IsEFSEC">
    <vt:bool>false</vt:bool>
  </property>
</Properties>
</file>