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eptember 2017\Sept 7 Thursday\170846\"/>
    </mc:Choice>
  </mc:AlternateContent>
  <bookViews>
    <workbookView xWindow="0" yWindow="0" windowWidth="25200" windowHeight="12555"/>
  </bookViews>
  <sheets>
    <sheet name=" Elec" sheetId="2" r:id="rId1"/>
    <sheet name="E Rev Conv" sheetId="3" r:id="rId2"/>
    <sheet name="Natural Gas" sheetId="1" r:id="rId3"/>
    <sheet name="G Rev Conv" sheetId="4" r:id="rId4"/>
    <sheet name="Forecast BD" sheetId="5" r:id="rId5"/>
    <sheet name="Prior Balances" sheetId="6" r:id="rId6"/>
  </sheets>
  <externalReferences>
    <externalReference r:id="rId7"/>
    <externalReference r:id="rId8"/>
  </externalReferences>
  <definedNames>
    <definedName name="Base1_Billing2" localSheetId="0">'[1]Pres &amp; Prop Rev'!$N$8</definedName>
    <definedName name="Base1_Billing2">'[2]Pres &amp; Prop Rev'!$O$8</definedName>
    <definedName name="_xlnm.Print_Area" localSheetId="0">' Elec'!$B$5:$P$26</definedName>
    <definedName name="_xlnm.Print_Area" localSheetId="2">'Natural Gas'!$B$6:$P$22</definedName>
    <definedName name="SL_RateIncr">'[1]St Lts'!$AD$1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2" l="1"/>
  <c r="K12" i="2" l="1"/>
  <c r="G13" i="1" l="1"/>
  <c r="G17" i="1"/>
  <c r="H17" i="1"/>
  <c r="C30" i="1"/>
  <c r="L36" i="1"/>
  <c r="G34" i="6"/>
  <c r="H32" i="6"/>
  <c r="I32" i="6" s="1"/>
  <c r="H31" i="6"/>
  <c r="H30" i="6"/>
  <c r="H29" i="6"/>
  <c r="H28" i="6"/>
  <c r="H27" i="6"/>
  <c r="H26" i="6"/>
  <c r="H25" i="6"/>
  <c r="H24" i="6"/>
  <c r="C24" i="6"/>
  <c r="C25" i="6" s="1"/>
  <c r="C26" i="6" s="1"/>
  <c r="C27" i="6" s="1"/>
  <c r="C28" i="6" s="1"/>
  <c r="C29" i="6" s="1"/>
  <c r="C30" i="6" s="1"/>
  <c r="C31" i="6" s="1"/>
  <c r="C32" i="6" s="1"/>
  <c r="C23" i="6"/>
  <c r="D32" i="6" l="1"/>
  <c r="B34" i="6"/>
  <c r="H11" i="6" l="1"/>
  <c r="H12" i="6"/>
  <c r="H13" i="6" s="1"/>
  <c r="H14" i="6" s="1"/>
  <c r="H15" i="6" s="1"/>
  <c r="H16" i="6" s="1"/>
  <c r="H17" i="6" s="1"/>
  <c r="H18" i="6" s="1"/>
  <c r="H19" i="6" s="1"/>
  <c r="H20" i="6" s="1"/>
  <c r="H21" i="6" s="1"/>
  <c r="I21" i="6" s="1"/>
  <c r="H10" i="6"/>
  <c r="C11" i="6"/>
  <c r="C12" i="6"/>
  <c r="C13" i="6"/>
  <c r="C14" i="6"/>
  <c r="C15" i="6" s="1"/>
  <c r="C16" i="6" s="1"/>
  <c r="C17" i="6" s="1"/>
  <c r="C18" i="6" s="1"/>
  <c r="C19" i="6" s="1"/>
  <c r="C20" i="6" s="1"/>
  <c r="C21" i="6" s="1"/>
  <c r="D21" i="6" s="1"/>
  <c r="C10" i="6"/>
  <c r="S13" i="1" l="1"/>
  <c r="S14" i="1"/>
  <c r="S15" i="1"/>
  <c r="S16" i="1"/>
  <c r="S17" i="1"/>
  <c r="S18" i="1"/>
  <c r="S12" i="2"/>
  <c r="S14" i="2"/>
  <c r="S16" i="2"/>
  <c r="S18" i="2"/>
  <c r="S20" i="2"/>
  <c r="S22" i="2"/>
  <c r="S24" i="2"/>
  <c r="U12" i="2"/>
  <c r="L25" i="1"/>
  <c r="K30" i="2"/>
  <c r="G12" i="2"/>
  <c r="G26" i="2"/>
  <c r="G27" i="2" s="1"/>
  <c r="L30" i="2"/>
  <c r="L29" i="1" l="1"/>
  <c r="R22" i="2" l="1"/>
  <c r="R20" i="2"/>
  <c r="R18" i="2"/>
  <c r="R16" i="2"/>
  <c r="R14" i="2"/>
  <c r="R12" i="2"/>
  <c r="F22" i="2" l="1"/>
  <c r="U22" i="2" l="1"/>
  <c r="U14" i="2"/>
  <c r="U16" i="2"/>
  <c r="U18" i="2"/>
  <c r="U20" i="2"/>
  <c r="U13" i="1"/>
  <c r="U14" i="1"/>
  <c r="U15" i="1"/>
  <c r="U16" i="1"/>
  <c r="U17" i="1"/>
  <c r="G31" i="2" l="1"/>
  <c r="K34" i="2"/>
  <c r="C26" i="5" l="1"/>
  <c r="D26" i="5"/>
  <c r="E26" i="5"/>
  <c r="F26" i="5"/>
  <c r="G26" i="5"/>
  <c r="H26" i="5"/>
  <c r="I26" i="5"/>
  <c r="J26" i="5"/>
  <c r="K26" i="5"/>
  <c r="L26" i="5"/>
  <c r="M26" i="5"/>
  <c r="B26" i="5"/>
  <c r="N22" i="5"/>
  <c r="G15" i="2" l="1"/>
  <c r="N28" i="5" l="1"/>
  <c r="D14" i="1" s="1"/>
  <c r="N29" i="5"/>
  <c r="D15" i="1" s="1"/>
  <c r="N30" i="5"/>
  <c r="D16" i="1" s="1"/>
  <c r="N31" i="5"/>
  <c r="D17" i="1" s="1"/>
  <c r="N32" i="5"/>
  <c r="D18" i="1" s="1"/>
  <c r="N27" i="5"/>
  <c r="N33" i="5" s="1"/>
  <c r="D13" i="1" l="1"/>
  <c r="F13" i="1" s="1"/>
  <c r="N12" i="5"/>
  <c r="N13" i="5"/>
  <c r="N14" i="5"/>
  <c r="N15" i="5"/>
  <c r="N16" i="5"/>
  <c r="N17" i="5"/>
  <c r="N18" i="5"/>
  <c r="N19" i="5"/>
  <c r="D22" i="2" s="1"/>
  <c r="N11" i="5"/>
  <c r="D14" i="2" l="1"/>
  <c r="D16" i="2"/>
  <c r="D20" i="2"/>
  <c r="N20" i="5"/>
  <c r="N23" i="5" s="1"/>
  <c r="D12" i="2"/>
  <c r="F12" i="2" s="1"/>
  <c r="D18" i="2"/>
  <c r="G22" i="2"/>
  <c r="G26" i="1" l="1"/>
  <c r="C23" i="4"/>
  <c r="C25" i="4" s="1"/>
  <c r="C29" i="4" s="1"/>
  <c r="E20" i="3" l="1"/>
  <c r="E22" i="3" s="1"/>
  <c r="E26" i="3" s="1"/>
  <c r="R24" i="2" l="1"/>
  <c r="R19" i="1"/>
  <c r="F20" i="2" l="1"/>
  <c r="F18" i="2"/>
  <c r="F16" i="2"/>
  <c r="F14" i="2"/>
  <c r="G20" i="2" l="1"/>
  <c r="G14" i="2"/>
  <c r="G16" i="2"/>
  <c r="H16" i="2" s="1"/>
  <c r="G18" i="2"/>
  <c r="H22" i="2"/>
  <c r="F24" i="2"/>
  <c r="K16" i="2" s="1"/>
  <c r="L16" i="2" s="1"/>
  <c r="D24" i="2"/>
  <c r="I16" i="2" l="1"/>
  <c r="O16" i="2" s="1"/>
  <c r="P16" i="2" s="1"/>
  <c r="N16" i="2"/>
  <c r="I22" i="2"/>
  <c r="K18" i="2"/>
  <c r="L18" i="2" s="1"/>
  <c r="F26" i="2"/>
  <c r="K22" i="2"/>
  <c r="L22" i="2" s="1"/>
  <c r="L12" i="2"/>
  <c r="K20" i="2"/>
  <c r="L20" i="2" s="1"/>
  <c r="K14" i="2"/>
  <c r="L14" i="2" s="1"/>
  <c r="H18" i="2"/>
  <c r="H20" i="2"/>
  <c r="H14" i="2"/>
  <c r="H12" i="2"/>
  <c r="G24" i="2"/>
  <c r="O22" i="2" l="1"/>
  <c r="P22" i="2" s="1"/>
  <c r="I20" i="2"/>
  <c r="O20" i="2" s="1"/>
  <c r="P20" i="2" s="1"/>
  <c r="N20" i="2"/>
  <c r="I18" i="2"/>
  <c r="O18" i="2" s="1"/>
  <c r="P18" i="2" s="1"/>
  <c r="N18" i="2"/>
  <c r="N22" i="2"/>
  <c r="N14" i="2"/>
  <c r="I14" i="2"/>
  <c r="O14" i="2" s="1"/>
  <c r="P14" i="2" s="1"/>
  <c r="N12" i="2"/>
  <c r="I12" i="2"/>
  <c r="O12" i="2" s="1"/>
  <c r="P12" i="2" s="1"/>
  <c r="K35" i="2" s="1"/>
  <c r="K36" i="2" s="1"/>
  <c r="L36" i="2" s="1"/>
  <c r="K24" i="2"/>
  <c r="K26" i="2" s="1"/>
  <c r="H24" i="2"/>
  <c r="H26" i="2" s="1"/>
  <c r="N24" i="2" l="1"/>
  <c r="N30" i="2" s="1"/>
  <c r="F18" i="1"/>
  <c r="F17" i="1"/>
  <c r="F16" i="1"/>
  <c r="F15" i="1"/>
  <c r="F14" i="1"/>
  <c r="D19" i="1"/>
  <c r="N26" i="2" l="1"/>
  <c r="G18" i="1"/>
  <c r="G16" i="1"/>
  <c r="G15" i="1"/>
  <c r="G14" i="1"/>
  <c r="I17" i="1"/>
  <c r="H18" i="1" l="1"/>
  <c r="H15" i="1"/>
  <c r="H16" i="1"/>
  <c r="H14" i="1"/>
  <c r="H13" i="1"/>
  <c r="I13" i="1" s="1"/>
  <c r="G19" i="1"/>
  <c r="S19" i="1" s="1"/>
  <c r="F19" i="1"/>
  <c r="I15" i="1" l="1"/>
  <c r="I14" i="1"/>
  <c r="I16" i="1"/>
  <c r="F21" i="1"/>
  <c r="K16" i="1"/>
  <c r="K17" i="1"/>
  <c r="K14" i="1"/>
  <c r="K15" i="1"/>
  <c r="K13" i="1"/>
  <c r="N13" i="1" s="1"/>
  <c r="K18" i="1"/>
  <c r="N18" i="1" s="1"/>
  <c r="G21" i="1"/>
  <c r="O21" i="1" s="1"/>
  <c r="H19" i="1"/>
  <c r="H21" i="1" s="1"/>
  <c r="G22" i="1" l="1"/>
  <c r="N14" i="1"/>
  <c r="L14" i="1"/>
  <c r="O14" i="1" s="1"/>
  <c r="P14" i="1" s="1"/>
  <c r="N17" i="1"/>
  <c r="L17" i="1"/>
  <c r="O17" i="1" s="1"/>
  <c r="P17" i="1" s="1"/>
  <c r="L13" i="1"/>
  <c r="O13" i="1" s="1"/>
  <c r="P13" i="1" s="1"/>
  <c r="K19" i="1"/>
  <c r="N16" i="1"/>
  <c r="L16" i="1"/>
  <c r="O16" i="1" s="1"/>
  <c r="P16" i="1" s="1"/>
  <c r="N15" i="1"/>
  <c r="L15" i="1"/>
  <c r="O15" i="1" s="1"/>
  <c r="P15" i="1" s="1"/>
  <c r="L30" i="1" l="1"/>
  <c r="L31" i="1" s="1"/>
  <c r="N31" i="1" s="1"/>
  <c r="N19" i="1"/>
  <c r="N21" i="1" s="1"/>
</calcChain>
</file>

<file path=xl/comments1.xml><?xml version="1.0" encoding="utf-8"?>
<comments xmlns="http://schemas.openxmlformats.org/spreadsheetml/2006/main">
  <authors>
    <author>Joe Miller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Present Billed Revenue from 2017 GRC plus the REC Revenue Rebate Adjustment effective 7.1.17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First two blocks only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2017 GRC Present Base Revenue</t>
        </r>
      </text>
    </comment>
  </commentList>
</comments>
</file>

<file path=xl/comments2.xml><?xml version="1.0" encoding="utf-8"?>
<comments xmlns="http://schemas.openxmlformats.org/spreadsheetml/2006/main">
  <authors>
    <author>Joe Miller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Last Approved GRC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Set at 1% per 2014 GRC Settlement Agreement
</t>
        </r>
      </text>
    </comment>
  </commentList>
</comments>
</file>

<file path=xl/sharedStrings.xml><?xml version="1.0" encoding="utf-8"?>
<sst xmlns="http://schemas.openxmlformats.org/spreadsheetml/2006/main" count="229" uniqueCount="128">
  <si>
    <t xml:space="preserve">Present </t>
  </si>
  <si>
    <t>Present</t>
  </si>
  <si>
    <t>Increased</t>
  </si>
  <si>
    <t>Proposed</t>
  </si>
  <si>
    <t>Type of</t>
  </si>
  <si>
    <t>Schedule</t>
  </si>
  <si>
    <t xml:space="preserve">Billing </t>
  </si>
  <si>
    <t xml:space="preserve">LIRAP </t>
  </si>
  <si>
    <t>LIRAP</t>
  </si>
  <si>
    <t>Service</t>
  </si>
  <si>
    <t>Number</t>
  </si>
  <si>
    <t>Determinants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</si>
  <si>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</si>
  <si>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</si>
  <si>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</si>
  <si>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</si>
  <si>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</si>
  <si>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</si>
  <si>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</si>
  <si>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</si>
  <si>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</si>
  <si>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</si>
  <si>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General Service</t>
  </si>
  <si>
    <t>Large General Service</t>
  </si>
  <si>
    <t>111/112</t>
  </si>
  <si>
    <t>Large General Svc.-High Annual Load Factor</t>
  </si>
  <si>
    <t>121/122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</si>
  <si>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</si>
  <si>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</si>
  <si>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</si>
  <si>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</si>
  <si>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</si>
  <si>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</si>
  <si>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Total</t>
  </si>
  <si>
    <t xml:space="preserve">Proposed </t>
  </si>
  <si>
    <t>Billing</t>
  </si>
  <si>
    <t>Increase</t>
  </si>
  <si>
    <t>Residential</t>
  </si>
  <si>
    <t>11/12</t>
  </si>
  <si>
    <t>21/22</t>
  </si>
  <si>
    <t>Extra Large General Service</t>
  </si>
  <si>
    <t>Pumping Service</t>
  </si>
  <si>
    <t>30/31/32</t>
  </si>
  <si>
    <t>Street &amp; Area Lights</t>
  </si>
  <si>
    <t>41-48</t>
  </si>
  <si>
    <t xml:space="preserve">Incremental </t>
  </si>
  <si>
    <t>Change</t>
  </si>
  <si>
    <t>(i)</t>
  </si>
  <si>
    <t>change</t>
  </si>
  <si>
    <t>Present Bill</t>
  </si>
  <si>
    <t>Proposed Bill</t>
  </si>
  <si>
    <t>Bill Change</t>
  </si>
  <si>
    <t>Billed</t>
  </si>
  <si>
    <t>Present Street &amp; Area Light Revenue</t>
  </si>
  <si>
    <t>Net Funding Increase</t>
  </si>
  <si>
    <t>Revenue Conversion Factor</t>
  </si>
  <si>
    <t>AVISTA UTILITIES</t>
  </si>
  <si>
    <t>Washington - Electric System</t>
  </si>
  <si>
    <t>TWELVE MONTHS ENDED SEPTEMBER 30, 2014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</si>
  <si>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</si>
  <si>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</si>
  <si>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</si>
  <si>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</si>
  <si>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</si>
  <si>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</si>
  <si>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</si>
  <si>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</si>
  <si>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</si>
  <si>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Franchise Fees</t>
  </si>
  <si>
    <t xml:space="preserve">    Total Expense</t>
  </si>
  <si>
    <t>Net Operating Income Before FIT</t>
  </si>
  <si>
    <t xml:space="preserve">  Federal Income Tax @ 35%</t>
  </si>
  <si>
    <t>REVENUE CONVERSION FACTOR</t>
  </si>
  <si>
    <t>Source:  UE-150204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</si>
  <si>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</si>
  <si>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</si>
  <si>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</si>
  <si>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</si>
  <si>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 xml:space="preserve">  Franchise Fees  (City of Millwood Expired in 2004)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</si>
  <si>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</si>
  <si>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</si>
  <si>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</si>
  <si>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</si>
  <si>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</si>
  <si>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</si>
  <si>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</si>
  <si>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</si>
  <si>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</si>
  <si>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WA101</t>
  </si>
  <si>
    <t>WA111</t>
  </si>
  <si>
    <t>WA121</t>
  </si>
  <si>
    <t>WA132</t>
  </si>
  <si>
    <t>WA146</t>
  </si>
  <si>
    <t>WA148</t>
  </si>
  <si>
    <t>Forecasted</t>
  </si>
  <si>
    <t>Net Funding</t>
  </si>
  <si>
    <t>3rd Block Schedule 25</t>
  </si>
  <si>
    <t>938 kWh's</t>
  </si>
  <si>
    <t>65 Therms</t>
  </si>
  <si>
    <t>WA025 (3rd Block)</t>
  </si>
  <si>
    <t xml:space="preserve">Prior LIRAP </t>
  </si>
  <si>
    <t>Year</t>
  </si>
  <si>
    <t>True-up Balance</t>
  </si>
  <si>
    <t>True-up</t>
  </si>
  <si>
    <t>Prior LIRAP Year True-up Balance</t>
  </si>
  <si>
    <t>LIRAP Funding</t>
  </si>
  <si>
    <t>(j)</t>
  </si>
  <si>
    <t>(k)</t>
  </si>
  <si>
    <t>(l)</t>
  </si>
  <si>
    <t>(m)</t>
  </si>
  <si>
    <t xml:space="preserve"> </t>
  </si>
  <si>
    <t>101/102</t>
  </si>
  <si>
    <t>1/2</t>
  </si>
  <si>
    <t>Electric</t>
  </si>
  <si>
    <t>Sch 92</t>
  </si>
  <si>
    <t>Prior Year True-up Balance</t>
  </si>
  <si>
    <t>GL/Database Balance</t>
  </si>
  <si>
    <t>Annual Budget Balance</t>
  </si>
  <si>
    <t>Over Collected</t>
  </si>
  <si>
    <t>Natural Gas</t>
  </si>
  <si>
    <t>Sch 192</t>
  </si>
  <si>
    <t>Under Collected</t>
  </si>
  <si>
    <t>Under-collected</t>
  </si>
  <si>
    <t>Over-collected</t>
  </si>
  <si>
    <t>Schedule 146 Calculation</t>
  </si>
  <si>
    <t>Net Funding Increase (101 - 132)</t>
  </si>
  <si>
    <t>Base Revenue (UG-150204)</t>
  </si>
  <si>
    <t>Proposed LIRAP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</si>
</sst>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_(&quot;$&quot;* #,##0_);_(&quot;$&quot;* \(#,##0\);_(&quot;$&quot;* &quot;-&quot;??_);_(@_)"/>
    <numFmt numFmtId="167" formatCode="0.0%"/>
    <numFmt numFmtId="168" formatCode="_(&quot;$&quot;* #,##0.000000_);_(&quot;$&quot;* \(#,##0.000000\);_(&quot;$&quot;* &quot;-&quot;??_);_(@_)"/>
    <numFmt numFmtId="169" formatCode="0.000000"/>
    <numFmt numFmtId="170" formatCode="0.00000"/>
    <numFmt numFmtId="171" formatCode="mmm\ yy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12"/>
      <name val="Times New Roman"/>
      <family val="1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quotePrefix="1" applyFont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166" fontId="0" fillId="0" borderId="0" xfId="2" applyNumberFormat="1" applyFont="1"/>
    <xf numFmtId="166" fontId="0" fillId="0" borderId="0" xfId="0" applyNumberFormat="1"/>
    <xf numFmtId="165" fontId="2" fillId="0" borderId="0" xfId="2" applyNumberFormat="1" applyFont="1"/>
    <xf numFmtId="0" fontId="1" fillId="0" borderId="0" xfId="0" applyFont="1" applyAlignment="1">
      <alignment wrapText="1"/>
    </xf>
    <xf numFmtId="164" fontId="3" fillId="0" borderId="0" xfId="1" applyNumberFormat="1" applyFont="1"/>
    <xf numFmtId="166" fontId="3" fillId="0" borderId="0" xfId="2" applyNumberFormat="1" applyFont="1"/>
    <xf numFmtId="166" fontId="3" fillId="0" borderId="0" xfId="0" applyNumberFormat="1" applyFont="1"/>
    <xf numFmtId="0" fontId="1" fillId="0" borderId="0" xfId="0" applyFont="1" applyAlignment="1">
      <alignment horizontal="left" indent="3"/>
    </xf>
    <xf numFmtId="10" fontId="0" fillId="0" borderId="0" xfId="3" applyNumberFormat="1" applyFont="1"/>
    <xf numFmtId="37" fontId="0" fillId="0" borderId="0" xfId="0" applyNumberFormat="1"/>
    <xf numFmtId="165" fontId="0" fillId="0" borderId="0" xfId="0" applyNumberFormat="1"/>
    <xf numFmtId="16" fontId="1" fillId="0" borderId="0" xfId="0" quotePrefix="1" applyNumberFormat="1" applyFont="1" applyAlignment="1">
      <alignment horizontal="center"/>
    </xf>
    <xf numFmtId="0" fontId="2" fillId="0" borderId="0" xfId="0" applyFont="1"/>
    <xf numFmtId="10" fontId="2" fillId="0" borderId="0" xfId="3" applyNumberFormat="1" applyFont="1"/>
    <xf numFmtId="167" fontId="0" fillId="0" borderId="0" xfId="3" applyNumberFormat="1" applyFon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44" fontId="0" fillId="0" borderId="0" xfId="0" applyNumberFormat="1"/>
    <xf numFmtId="166" fontId="6" fillId="0" borderId="0" xfId="2" applyNumberFormat="1" applyFont="1"/>
    <xf numFmtId="168" fontId="0" fillId="0" borderId="0" xfId="2" applyNumberFormat="1" applyFont="1"/>
    <xf numFmtId="0" fontId="7" fillId="0" borderId="0" xfId="4" applyFont="1" applyAlignment="1">
      <alignment horizontal="centerContinuous"/>
    </xf>
    <xf numFmtId="0" fontId="8" fillId="0" borderId="0" xfId="4" applyFont="1" applyAlignment="1">
      <alignment horizontal="centerContinuous"/>
    </xf>
    <xf numFmtId="0" fontId="1" fillId="0" borderId="0" xfId="4"/>
    <xf numFmtId="0" fontId="7" fillId="0" borderId="0" xfId="4" applyFont="1" applyAlignment="1">
      <alignment horizontal="center"/>
    </xf>
    <xf numFmtId="0" fontId="8" fillId="0" borderId="0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7" fillId="0" borderId="0" xfId="4" applyFont="1"/>
    <xf numFmtId="169" fontId="10" fillId="0" borderId="0" xfId="4" applyNumberFormat="1" applyFont="1"/>
    <xf numFmtId="169" fontId="7" fillId="0" borderId="0" xfId="4" applyNumberFormat="1" applyFont="1"/>
    <xf numFmtId="169" fontId="9" fillId="0" borderId="0" xfId="4" applyNumberFormat="1" applyFont="1"/>
    <xf numFmtId="169" fontId="10" fillId="0" borderId="0" xfId="5" applyNumberFormat="1" applyFont="1"/>
    <xf numFmtId="169" fontId="10" fillId="0" borderId="0" xfId="4" applyNumberFormat="1" applyFont="1" applyBorder="1"/>
    <xf numFmtId="169" fontId="10" fillId="0" borderId="2" xfId="4" applyNumberFormat="1" applyFont="1" applyBorder="1"/>
    <xf numFmtId="10" fontId="11" fillId="0" borderId="0" xfId="4" applyNumberFormat="1" applyFont="1"/>
    <xf numFmtId="169" fontId="10" fillId="0" borderId="1" xfId="4" applyNumberFormat="1" applyFont="1" applyBorder="1"/>
    <xf numFmtId="170" fontId="10" fillId="0" borderId="3" xfId="4" applyNumberFormat="1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169" fontId="7" fillId="0" borderId="0" xfId="4" applyNumberFormat="1" applyFont="1" applyAlignment="1">
      <alignment horizontal="center"/>
    </xf>
    <xf numFmtId="14" fontId="7" fillId="0" borderId="0" xfId="4" applyNumberFormat="1" applyFont="1"/>
    <xf numFmtId="169" fontId="7" fillId="0" borderId="0" xfId="4" applyNumberFormat="1" applyFont="1" applyAlignment="1">
      <alignment horizontal="right"/>
    </xf>
    <xf numFmtId="169" fontId="7" fillId="0" borderId="0" xfId="4" applyNumberFormat="1" applyFont="1" applyAlignment="1"/>
    <xf numFmtId="0" fontId="13" fillId="0" borderId="0" xfId="4" applyFont="1" applyBorder="1" applyAlignment="1">
      <alignment horizontal="center"/>
    </xf>
    <xf numFmtId="169" fontId="14" fillId="0" borderId="0" xfId="4" applyNumberFormat="1" applyFont="1" applyAlignment="1">
      <alignment horizontal="center"/>
    </xf>
    <xf numFmtId="169" fontId="13" fillId="0" borderId="0" xfId="4" applyNumberFormat="1" applyFont="1" applyFill="1" applyAlignment="1">
      <alignment horizontal="center"/>
    </xf>
    <xf numFmtId="0" fontId="13" fillId="0" borderId="1" xfId="4" applyFont="1" applyBorder="1" applyAlignment="1">
      <alignment horizontal="center"/>
    </xf>
    <xf numFmtId="169" fontId="15" fillId="0" borderId="0" xfId="4" applyNumberFormat="1" applyFont="1"/>
    <xf numFmtId="169" fontId="9" fillId="0" borderId="2" xfId="4" applyNumberFormat="1" applyFont="1" applyBorder="1"/>
    <xf numFmtId="170" fontId="9" fillId="0" borderId="0" xfId="4" applyNumberFormat="1" applyFont="1"/>
    <xf numFmtId="171" fontId="2" fillId="0" borderId="0" xfId="0" applyNumberFormat="1" applyFont="1" applyFill="1">
      <alignment readingOrder="1"/>
    </xf>
    <xf numFmtId="164" fontId="0" fillId="0" borderId="0" xfId="0" applyNumberFormat="1"/>
    <xf numFmtId="0" fontId="1" fillId="2" borderId="0" xfId="4" applyFont="1" applyFill="1" applyAlignment="1">
      <alignment horizontal="left" indent="1"/>
    </xf>
    <xf numFmtId="170" fontId="0" fillId="0" borderId="0" xfId="0" applyNumberFormat="1"/>
    <xf numFmtId="168" fontId="0" fillId="0" borderId="0" xfId="0" applyNumberFormat="1"/>
    <xf numFmtId="166" fontId="0" fillId="0" borderId="0" xfId="2" applyNumberFormat="1" applyFont="1" applyFill="1"/>
    <xf numFmtId="44" fontId="0" fillId="0" borderId="0" xfId="2" applyFont="1" applyFill="1"/>
    <xf numFmtId="0" fontId="2" fillId="0" borderId="0" xfId="0" applyFont="1" applyFill="1"/>
    <xf numFmtId="166" fontId="0" fillId="0" borderId="0" xfId="3" applyNumberFormat="1" applyFont="1"/>
    <xf numFmtId="14" fontId="0" fillId="0" borderId="0" xfId="0" applyNumberFormat="1"/>
    <xf numFmtId="44" fontId="0" fillId="0" borderId="4" xfId="0" applyNumberFormat="1" applyBorder="1"/>
    <xf numFmtId="0" fontId="0" fillId="0" borderId="5" xfId="0" applyBorder="1"/>
    <xf numFmtId="166" fontId="2" fillId="0" borderId="0" xfId="2" applyNumberFormat="1" applyFont="1"/>
    <xf numFmtId="44" fontId="2" fillId="0" borderId="4" xfId="0" applyNumberFormat="1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164" fontId="0" fillId="0" borderId="9" xfId="1" applyNumberFormat="1" applyFont="1" applyBorder="1"/>
    <xf numFmtId="9" fontId="0" fillId="0" borderId="8" xfId="0" applyNumberFormat="1" applyBorder="1" applyAlignment="1">
      <alignment horizontal="right"/>
    </xf>
    <xf numFmtId="9" fontId="0" fillId="0" borderId="9" xfId="3" applyFont="1" applyBorder="1"/>
    <xf numFmtId="0" fontId="0" fillId="0" borderId="10" xfId="0" applyFill="1" applyBorder="1" applyAlignment="1">
      <alignment horizontal="right"/>
    </xf>
    <xf numFmtId="164" fontId="0" fillId="0" borderId="11" xfId="0" applyNumberFormat="1" applyFill="1" applyBorder="1"/>
    <xf numFmtId="0" fontId="16" fillId="0" borderId="6" xfId="0" applyFont="1" applyBorder="1" applyAlignment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4"/>
    <cellStyle name="Percent" xfId="3" builtinId="5"/>
    <cellStyle name="Percent 2 2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2015/2015_WA_Elec_and_Gas_GRC/Compliance%20Filing%20-%20Final%20Order/UE-150204%20et%20al%20Compliance%20Filing%20Attachmen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2015/2015_WA_Elec_and_Gas_GRC/Compliance%20Filing%20-%20Final%20Order/UE-150204%20et%20al%20Compliance%20Filing%20Attachment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Adder Schedule"/>
      <sheetName val="ERM"/>
      <sheetName val="LIRAP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SEPT2014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>
        <row r="11">
          <cell r="H11" t="e">
            <v>#DIV/0!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P49">
            <v>58008579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1"/>
      <sheetName val="Exh2"/>
      <sheetName val="Exh3"/>
      <sheetName val="LIRAP"/>
      <sheetName val="Rate Spread"/>
      <sheetName val="ROR"/>
      <sheetName val="BFG"/>
      <sheetName val="Bill Impact"/>
      <sheetName val="Bill Determ"/>
      <sheetName val="Block Usage"/>
      <sheetName val="Big Schedules"/>
      <sheetName val="Rev Runs CY"/>
    </sheetNames>
    <sheetDataSet>
      <sheetData sheetId="0">
        <row r="8">
          <cell r="O8">
            <v>1</v>
          </cell>
        </row>
      </sheetData>
      <sheetData sheetId="1" refreshError="1"/>
      <sheetData sheetId="2" refreshError="1"/>
      <sheetData sheetId="3" refreshError="1"/>
      <sheetData sheetId="4">
        <row r="15">
          <cell r="E15">
            <v>0.38907000000000003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0">
          <cell r="O40">
            <v>665507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6:Y41"/>
  <sheetViews>
    <sheetView tabSelected="1" topLeftCell="B1" workbookViewId="0">
      <selection activeCell="D31" sqref="D31"/>
    </sheetView>
  </sheetViews>
  <sheetFormatPr defaultRowHeight="12.75" x14ac:dyDescent="0.2"/>
  <cols>
    <col min="1" max="1" width="4.42578125" customWidth="1"/>
    <col min="2" max="2" width="24.5703125" bestFit="1" customWidth="1"/>
    <col min="3" max="3" width="8.7109375" bestFit="1" customWidth="1"/>
    <col min="4" max="4" width="13.42578125" bestFit="1" customWidth="1"/>
    <col min="5" max="6" width="13.5703125" bestFit="1" customWidth="1"/>
    <col min="7" max="7" width="13.28515625" customWidth="1"/>
    <col min="8" max="8" width="13.42578125" customWidth="1"/>
    <col min="9" max="9" width="13.5703125" customWidth="1"/>
    <col min="10" max="10" width="4.7109375" customWidth="1"/>
    <col min="11" max="11" width="14" bestFit="1" customWidth="1"/>
    <col min="12" max="12" width="10.28515625" bestFit="1" customWidth="1"/>
    <col min="13" max="13" width="4.5703125" customWidth="1"/>
    <col min="14" max="14" width="11.28515625" bestFit="1" customWidth="1"/>
    <col min="15" max="15" width="9.7109375" bestFit="1" customWidth="1"/>
    <col min="16" max="16" width="11.140625" bestFit="1" customWidth="1"/>
    <col min="17" max="17" width="9.140625" customWidth="1"/>
    <col min="18" max="18" width="13.42578125" bestFit="1" customWidth="1"/>
  </cols>
  <sheetData>
    <row r="6" spans="2:25" x14ac:dyDescent="0.2">
      <c r="D6" s="1" t="s">
        <v>94</v>
      </c>
      <c r="N6" s="1" t="s">
        <v>33</v>
      </c>
      <c r="O6" s="1" t="s">
        <v>33</v>
      </c>
      <c r="P6" s="1" t="s">
        <v>33</v>
      </c>
    </row>
    <row r="7" spans="2:25" x14ac:dyDescent="0.2">
      <c r="D7" s="1" t="s">
        <v>8</v>
      </c>
      <c r="E7" s="1" t="s">
        <v>1</v>
      </c>
      <c r="F7" s="1" t="s">
        <v>0</v>
      </c>
      <c r="G7" s="1" t="s">
        <v>34</v>
      </c>
      <c r="H7" s="1" t="s">
        <v>3</v>
      </c>
      <c r="I7" s="1" t="s">
        <v>3</v>
      </c>
      <c r="J7" s="1"/>
      <c r="K7" s="1" t="s">
        <v>100</v>
      </c>
      <c r="L7" s="1" t="s">
        <v>3</v>
      </c>
      <c r="M7" s="1"/>
      <c r="N7" s="1" t="s">
        <v>3</v>
      </c>
      <c r="O7" s="1" t="s">
        <v>3</v>
      </c>
      <c r="P7" s="1" t="s">
        <v>45</v>
      </c>
      <c r="R7" s="1" t="s">
        <v>0</v>
      </c>
      <c r="S7" s="71"/>
      <c r="T7" s="71"/>
      <c r="U7" s="71"/>
      <c r="V7" s="71"/>
      <c r="W7" s="71"/>
      <c r="X7" s="71"/>
      <c r="Y7" s="27"/>
    </row>
    <row r="8" spans="2:25" x14ac:dyDescent="0.2">
      <c r="B8" s="2" t="s">
        <v>4</v>
      </c>
      <c r="C8" s="2" t="s">
        <v>5</v>
      </c>
      <c r="D8" s="1" t="s">
        <v>35</v>
      </c>
      <c r="E8" s="1" t="s">
        <v>105</v>
      </c>
      <c r="F8" s="1" t="s">
        <v>105</v>
      </c>
      <c r="G8" s="1" t="s">
        <v>105</v>
      </c>
      <c r="H8" s="1" t="s">
        <v>105</v>
      </c>
      <c r="I8" s="1" t="s">
        <v>105</v>
      </c>
      <c r="J8" s="1"/>
      <c r="K8" s="1" t="s">
        <v>101</v>
      </c>
      <c r="L8" s="1" t="s">
        <v>103</v>
      </c>
      <c r="M8" s="1"/>
      <c r="N8" s="1" t="s">
        <v>8</v>
      </c>
      <c r="O8" s="1" t="s">
        <v>8</v>
      </c>
      <c r="P8" s="1" t="s">
        <v>12</v>
      </c>
      <c r="R8" s="1" t="s">
        <v>6</v>
      </c>
    </row>
    <row r="9" spans="2:25" x14ac:dyDescent="0.2">
      <c r="B9" s="3" t="s">
        <v>9</v>
      </c>
      <c r="C9" s="3" t="s">
        <v>10</v>
      </c>
      <c r="D9" s="4" t="s">
        <v>11</v>
      </c>
      <c r="E9" s="4" t="s">
        <v>12</v>
      </c>
      <c r="F9" s="4" t="s">
        <v>13</v>
      </c>
      <c r="G9" s="4" t="s">
        <v>36</v>
      </c>
      <c r="H9" s="4" t="s">
        <v>13</v>
      </c>
      <c r="I9" s="4" t="s">
        <v>12</v>
      </c>
      <c r="J9" s="4"/>
      <c r="K9" s="4" t="s">
        <v>102</v>
      </c>
      <c r="L9" s="4" t="s">
        <v>12</v>
      </c>
      <c r="M9" s="4"/>
      <c r="N9" s="4" t="s">
        <v>13</v>
      </c>
      <c r="O9" s="4" t="s">
        <v>12</v>
      </c>
      <c r="P9" s="25" t="s">
        <v>48</v>
      </c>
      <c r="R9" s="24" t="s">
        <v>13</v>
      </c>
    </row>
    <row r="10" spans="2:25" x14ac:dyDescent="0.2">
      <c r="B10" s="2" t="s">
        <v>14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21</v>
      </c>
      <c r="J10" s="2"/>
      <c r="K10" s="2" t="s">
        <v>47</v>
      </c>
      <c r="L10" s="2" t="s">
        <v>106</v>
      </c>
      <c r="M10" s="2"/>
      <c r="N10" s="2" t="s">
        <v>107</v>
      </c>
      <c r="O10" s="2" t="s">
        <v>108</v>
      </c>
      <c r="P10" s="24" t="s">
        <v>109</v>
      </c>
    </row>
    <row r="11" spans="2:25" x14ac:dyDescent="0.2">
      <c r="B11" s="5"/>
      <c r="C11" s="2"/>
    </row>
    <row r="12" spans="2:25" x14ac:dyDescent="0.2">
      <c r="B12" s="5" t="s">
        <v>37</v>
      </c>
      <c r="C12" s="20" t="s">
        <v>112</v>
      </c>
      <c r="D12" s="18">
        <f>'Forecast BD'!N11</f>
        <v>2454262129.3725615</v>
      </c>
      <c r="E12" s="8">
        <v>9.7000000000000005E-4</v>
      </c>
      <c r="F12" s="9">
        <f>D12*E12</f>
        <v>2380634.2654913845</v>
      </c>
      <c r="G12" s="9">
        <f>F12*$G$30</f>
        <v>166644.39858439693</v>
      </c>
      <c r="H12" s="10">
        <f>F12+G12</f>
        <v>2547278.6640757816</v>
      </c>
      <c r="I12" s="11">
        <f>ROUND(H12/D12,5)</f>
        <v>1.0399999999999999E-3</v>
      </c>
      <c r="J12" s="11"/>
      <c r="K12" s="10">
        <f>(F12/$F$24)*-$K$40</f>
        <v>20100.118760907728</v>
      </c>
      <c r="L12" s="11">
        <f>ROUND(K12/D12,5)</f>
        <v>1.0000000000000001E-5</v>
      </c>
      <c r="M12" s="11"/>
      <c r="N12" s="10">
        <f>H12+K12</f>
        <v>2567378.7828366891</v>
      </c>
      <c r="O12" s="11">
        <f>I12+L12</f>
        <v>1.0499999999999999E-3</v>
      </c>
      <c r="P12" s="19">
        <f>ROUND(O12-E12,5)</f>
        <v>8.0000000000000007E-5</v>
      </c>
      <c r="R12" s="69">
        <f>221982000-549000</f>
        <v>221433000</v>
      </c>
      <c r="S12" s="17">
        <f>G12/R12</f>
        <v>7.5257255505907852E-4</v>
      </c>
      <c r="U12" s="67">
        <f>E12*(1+$G$30)</f>
        <v>1.0379E-3</v>
      </c>
    </row>
    <row r="13" spans="2:25" x14ac:dyDescent="0.2">
      <c r="B13" s="5"/>
      <c r="C13" s="2"/>
      <c r="F13" s="9"/>
      <c r="G13" s="9"/>
      <c r="H13" s="10"/>
      <c r="I13" s="11"/>
      <c r="J13" s="11"/>
      <c r="K13" s="10"/>
      <c r="L13" s="11"/>
      <c r="M13" s="11"/>
      <c r="N13" s="10"/>
      <c r="O13" s="11"/>
      <c r="P13" s="19"/>
      <c r="R13" s="69"/>
      <c r="S13" s="17"/>
      <c r="U13" s="67"/>
    </row>
    <row r="14" spans="2:25" x14ac:dyDescent="0.2">
      <c r="B14" s="5" t="s">
        <v>22</v>
      </c>
      <c r="C14" s="20" t="s">
        <v>38</v>
      </c>
      <c r="D14" s="18">
        <f>'Forecast BD'!N12+'Forecast BD'!N13</f>
        <v>625911409.09246004</v>
      </c>
      <c r="E14" s="8">
        <v>1.41E-3</v>
      </c>
      <c r="F14" s="9">
        <f t="shared" ref="F14:F20" si="0">D14*E14</f>
        <v>882535.08682036866</v>
      </c>
      <c r="G14" s="9">
        <f>F14*$G$30</f>
        <v>61777.456077425813</v>
      </c>
      <c r="H14" s="10">
        <f t="shared" ref="H14:H22" si="1">F14+G14</f>
        <v>944312.54289779451</v>
      </c>
      <c r="I14" s="11">
        <f t="shared" ref="I14:I20" si="2">ROUND(H14/D14,5)</f>
        <v>1.5100000000000001E-3</v>
      </c>
      <c r="J14" s="11"/>
      <c r="K14" s="10">
        <f>(F14/$F$24)*-$K$40</f>
        <v>7451.4007938535315</v>
      </c>
      <c r="L14" s="11">
        <f t="shared" ref="L14:L20" si="3">K14/D14</f>
        <v>1.1904880923416441E-5</v>
      </c>
      <c r="M14" s="11"/>
      <c r="N14" s="10">
        <f t="shared" ref="N14:N22" si="4">H14+K14</f>
        <v>951763.94369164808</v>
      </c>
      <c r="O14" s="11">
        <f t="shared" ref="O14:O20" si="5">I14+L14</f>
        <v>1.5219048809234166E-3</v>
      </c>
      <c r="P14" s="19">
        <f>O14-E14</f>
        <v>1.1190488092341659E-4</v>
      </c>
      <c r="R14" s="69">
        <f>75758000-127000</f>
        <v>75631000</v>
      </c>
      <c r="S14" s="17">
        <f>G14/R14</f>
        <v>8.1682717506612122E-4</v>
      </c>
      <c r="U14" s="67">
        <f>E14*(1+$G$30)</f>
        <v>1.5087000000000002E-3</v>
      </c>
    </row>
    <row r="15" spans="2:25" x14ac:dyDescent="0.2">
      <c r="B15" s="5"/>
      <c r="C15" s="2"/>
      <c r="F15" s="9"/>
      <c r="G15" s="9">
        <f>F15*$G$30</f>
        <v>0</v>
      </c>
      <c r="H15" s="10"/>
      <c r="I15" s="11"/>
      <c r="J15" s="11"/>
      <c r="K15" s="10"/>
      <c r="L15" s="11"/>
      <c r="M15" s="11"/>
      <c r="N15" s="10"/>
      <c r="O15" s="11"/>
      <c r="P15" s="19"/>
      <c r="R15" s="69"/>
      <c r="S15" s="17"/>
      <c r="U15" s="67"/>
    </row>
    <row r="16" spans="2:25" x14ac:dyDescent="0.2">
      <c r="B16" s="5" t="s">
        <v>23</v>
      </c>
      <c r="C16" s="6" t="s">
        <v>39</v>
      </c>
      <c r="D16" s="18">
        <f>'Forecast BD'!N14+'Forecast BD'!N15</f>
        <v>1406185013.499001</v>
      </c>
      <c r="E16" s="8">
        <v>1.0200000000000001E-3</v>
      </c>
      <c r="F16" s="9">
        <f t="shared" si="0"/>
        <v>1434308.7137689812</v>
      </c>
      <c r="G16" s="9">
        <f>F16*$G$30</f>
        <v>100401.6099638287</v>
      </c>
      <c r="H16" s="10">
        <f t="shared" si="1"/>
        <v>1534710.3237328099</v>
      </c>
      <c r="I16" s="11">
        <f t="shared" si="2"/>
        <v>1.09E-3</v>
      </c>
      <c r="J16" s="11"/>
      <c r="K16" s="10">
        <f>(F16/$F$24)*-$K$40</f>
        <v>12110.123719743488</v>
      </c>
      <c r="L16" s="11">
        <f t="shared" si="3"/>
        <v>8.6120415190672132E-6</v>
      </c>
      <c r="M16" s="11"/>
      <c r="N16" s="10">
        <f t="shared" si="4"/>
        <v>1546820.4474525533</v>
      </c>
      <c r="O16" s="11">
        <f t="shared" si="5"/>
        <v>1.0986120415190672E-3</v>
      </c>
      <c r="P16" s="19">
        <f>O16-E16</f>
        <v>7.8612041519067087E-5</v>
      </c>
      <c r="R16" s="69">
        <f>129514000-335000</f>
        <v>129179000</v>
      </c>
      <c r="S16" s="17">
        <f>G16/R16</f>
        <v>7.7722857402386374E-4</v>
      </c>
      <c r="U16" s="67">
        <f>E16*(1+$G$30)</f>
        <v>1.0914000000000002E-3</v>
      </c>
    </row>
    <row r="17" spans="2:21" x14ac:dyDescent="0.2">
      <c r="B17" s="5"/>
      <c r="C17" s="2"/>
      <c r="F17" s="9"/>
      <c r="G17" s="9"/>
      <c r="H17" s="10"/>
      <c r="I17" s="11"/>
      <c r="J17" s="11"/>
      <c r="K17" s="10"/>
      <c r="L17" s="11"/>
      <c r="M17" s="11"/>
      <c r="N17" s="10"/>
      <c r="O17" s="11"/>
      <c r="P17" s="19"/>
      <c r="R17" s="69"/>
      <c r="S17" s="17"/>
      <c r="U17" s="67"/>
    </row>
    <row r="18" spans="2:21" x14ac:dyDescent="0.2">
      <c r="B18" s="5" t="s">
        <v>40</v>
      </c>
      <c r="C18" s="2">
        <v>25</v>
      </c>
      <c r="D18" s="18">
        <f>'Forecast BD'!N16-'Forecast BD'!N22</f>
        <v>690877486.41150427</v>
      </c>
      <c r="E18" s="8">
        <v>6.4000000000000005E-4</v>
      </c>
      <c r="F18" s="9">
        <f t="shared" si="0"/>
        <v>442161.59130336274</v>
      </c>
      <c r="G18" s="9">
        <f>F18*$G$30</f>
        <v>30951.311391235395</v>
      </c>
      <c r="H18" s="10">
        <f t="shared" si="1"/>
        <v>473112.90269459813</v>
      </c>
      <c r="I18" s="11">
        <f t="shared" si="2"/>
        <v>6.8000000000000005E-4</v>
      </c>
      <c r="J18" s="11"/>
      <c r="K18" s="10">
        <f>(F18/$F$24)*-$K$40</f>
        <v>3733.2490023935184</v>
      </c>
      <c r="L18" s="11">
        <f t="shared" si="3"/>
        <v>5.4036338943166833E-6</v>
      </c>
      <c r="M18" s="11"/>
      <c r="N18" s="10">
        <f t="shared" si="4"/>
        <v>476846.15169699164</v>
      </c>
      <c r="O18" s="11">
        <f t="shared" si="5"/>
        <v>6.8540363389431671E-4</v>
      </c>
      <c r="P18" s="19">
        <f>O18-E18</f>
        <v>4.5403633894316661E-5</v>
      </c>
      <c r="R18" s="69">
        <f>66316000-253000</f>
        <v>66063000</v>
      </c>
      <c r="S18" s="17">
        <f>G18/R18</f>
        <v>4.6851204745826554E-4</v>
      </c>
      <c r="U18" s="67">
        <f>E18*(1+$G$30)</f>
        <v>6.8480000000000006E-4</v>
      </c>
    </row>
    <row r="19" spans="2:21" x14ac:dyDescent="0.2">
      <c r="B19" s="5"/>
      <c r="C19" s="2"/>
      <c r="F19" s="9"/>
      <c r="G19" s="9"/>
      <c r="H19" s="10"/>
      <c r="I19" s="11"/>
      <c r="J19" s="11"/>
      <c r="K19" s="10"/>
      <c r="L19" s="11"/>
      <c r="M19" s="11"/>
      <c r="N19" s="10"/>
      <c r="O19" s="11"/>
      <c r="P19" s="19"/>
      <c r="R19" s="69"/>
      <c r="S19" s="17"/>
      <c r="U19" s="67"/>
    </row>
    <row r="20" spans="2:21" x14ac:dyDescent="0.2">
      <c r="B20" s="5" t="s">
        <v>41</v>
      </c>
      <c r="C20" s="6" t="s">
        <v>42</v>
      </c>
      <c r="D20" s="18">
        <f>'Forecast BD'!N17+'Forecast BD'!N18</f>
        <v>128514788.61622202</v>
      </c>
      <c r="E20" s="8">
        <v>8.8999999999999995E-4</v>
      </c>
      <c r="F20" s="9">
        <f t="shared" si="0"/>
        <v>114378.1618684376</v>
      </c>
      <c r="G20" s="9">
        <f>F20*$G$30</f>
        <v>8006.4713307906331</v>
      </c>
      <c r="H20" s="10">
        <f t="shared" si="1"/>
        <v>122384.63319922824</v>
      </c>
      <c r="I20" s="11">
        <f t="shared" si="2"/>
        <v>9.5E-4</v>
      </c>
      <c r="J20" s="11"/>
      <c r="K20" s="10">
        <f>(F20/$F$24)*-$K$40</f>
        <v>965.71517537801458</v>
      </c>
      <c r="L20" s="11">
        <f t="shared" si="3"/>
        <v>7.5144283842841364E-6</v>
      </c>
      <c r="M20" s="11"/>
      <c r="N20" s="10">
        <f t="shared" si="4"/>
        <v>123350.34837460626</v>
      </c>
      <c r="O20" s="11">
        <f t="shared" si="5"/>
        <v>9.5751442838428412E-4</v>
      </c>
      <c r="P20" s="19">
        <f>O20-E20</f>
        <v>6.7514428384284173E-5</v>
      </c>
      <c r="R20" s="69">
        <f>11110000-25000</f>
        <v>11085000</v>
      </c>
      <c r="S20" s="17">
        <f>G20/R20</f>
        <v>7.222797772476891E-4</v>
      </c>
      <c r="U20" s="67">
        <f>E20*(1+$G$30)</f>
        <v>9.523E-4</v>
      </c>
    </row>
    <row r="21" spans="2:21" x14ac:dyDescent="0.2">
      <c r="B21" s="5"/>
      <c r="C21" s="2"/>
      <c r="G21" s="9"/>
      <c r="H21" s="10"/>
      <c r="I21" s="21"/>
      <c r="J21" s="21"/>
      <c r="K21" s="10"/>
      <c r="L21" s="21"/>
      <c r="M21" s="21"/>
      <c r="N21" s="10"/>
      <c r="O21" s="11"/>
      <c r="P21" s="19"/>
      <c r="R21" s="69"/>
      <c r="S21" s="17"/>
      <c r="U21" s="67"/>
    </row>
    <row r="22" spans="2:21" x14ac:dyDescent="0.2">
      <c r="B22" s="5" t="s">
        <v>43</v>
      </c>
      <c r="C22" s="2" t="s">
        <v>44</v>
      </c>
      <c r="D22" s="18">
        <f>'Forecast BD'!N19</f>
        <v>18403675.420081012</v>
      </c>
      <c r="E22" s="17">
        <v>1.21E-2</v>
      </c>
      <c r="F22" s="9">
        <f>K41*' Elec'!E22</f>
        <v>83139.099999999991</v>
      </c>
      <c r="G22" s="9">
        <f>F22*$G$30</f>
        <v>5819.7370000000001</v>
      </c>
      <c r="H22" s="10">
        <f t="shared" si="1"/>
        <v>88958.836999999985</v>
      </c>
      <c r="I22" s="22">
        <f>ROUND(H22/K41,4)</f>
        <v>1.29E-2</v>
      </c>
      <c r="J22" s="22"/>
      <c r="K22" s="10">
        <f>(F22/$F$24)*-$K$40</f>
        <v>701.95821672341265</v>
      </c>
      <c r="L22" s="22">
        <f>K22/K41</f>
        <v>1.0216245331442478E-4</v>
      </c>
      <c r="M22" s="22"/>
      <c r="N22" s="10">
        <f t="shared" si="4"/>
        <v>89660.795216723403</v>
      </c>
      <c r="O22" s="22">
        <f>I22+L22</f>
        <v>1.3002162453314425E-2</v>
      </c>
      <c r="P22" s="17">
        <f>O22-E22</f>
        <v>9.0216245331442568E-4</v>
      </c>
      <c r="R22" s="69">
        <f>7143000-6000</f>
        <v>7137000</v>
      </c>
      <c r="S22" s="17">
        <f>G22/R22</f>
        <v>8.1543183410396529E-4</v>
      </c>
      <c r="U22" s="17">
        <f>E22*(1+$G$30)</f>
        <v>1.2947E-2</v>
      </c>
    </row>
    <row r="23" spans="2:21" x14ac:dyDescent="0.2">
      <c r="B23" s="5"/>
      <c r="C23" s="2"/>
      <c r="K23" s="10"/>
      <c r="R23" s="9"/>
      <c r="S23" s="17"/>
    </row>
    <row r="24" spans="2:21" x14ac:dyDescent="0.2">
      <c r="B24" s="16" t="s">
        <v>33</v>
      </c>
      <c r="C24" s="2"/>
      <c r="D24" s="18">
        <f>SUM(D12:D22)</f>
        <v>5324154502.4118299</v>
      </c>
      <c r="F24" s="10">
        <f>SUM(F12:F22)</f>
        <v>5337156.9192525335</v>
      </c>
      <c r="G24" s="10">
        <f>SUM(G12:G22)</f>
        <v>373600.98434767744</v>
      </c>
      <c r="H24" s="10">
        <f>SUM(H12:H22)</f>
        <v>5710757.9036002122</v>
      </c>
      <c r="I24" s="10"/>
      <c r="J24" s="10"/>
      <c r="K24" s="10">
        <f>SUM(K12:K22)</f>
        <v>45062.56566899969</v>
      </c>
      <c r="L24" s="10"/>
      <c r="M24" s="10"/>
      <c r="N24" s="10">
        <f>SUM(N12:N22)</f>
        <v>5755820.4692692123</v>
      </c>
      <c r="R24" s="10">
        <f>SUM(R12:R22)</f>
        <v>510528000</v>
      </c>
      <c r="S24" s="17">
        <f>G24/R24</f>
        <v>7.3179332837313023E-4</v>
      </c>
    </row>
    <row r="25" spans="2:21" x14ac:dyDescent="0.2">
      <c r="K25" s="10"/>
      <c r="N25" s="10"/>
    </row>
    <row r="26" spans="2:21" x14ac:dyDescent="0.2">
      <c r="E26" s="68" t="s">
        <v>95</v>
      </c>
      <c r="F26" s="9">
        <f>F24*G31</f>
        <v>5090864.2003023457</v>
      </c>
      <c r="G26" s="10">
        <f>F26*G30</f>
        <v>356360.49402116425</v>
      </c>
      <c r="H26" s="9">
        <f>H24*G31</f>
        <v>5447224.6943235118</v>
      </c>
      <c r="I26" s="9"/>
      <c r="J26" s="9"/>
      <c r="K26" s="9">
        <f>K24*G31</f>
        <v>42983.072412683054</v>
      </c>
      <c r="L26" s="9"/>
      <c r="M26" s="9"/>
      <c r="N26" s="9">
        <f>N24*G31</f>
        <v>5490207.7667361954</v>
      </c>
      <c r="O26" s="10"/>
    </row>
    <row r="27" spans="2:21" x14ac:dyDescent="0.2">
      <c r="G27" s="23">
        <f>G26/F26</f>
        <v>7.0000000000000007E-2</v>
      </c>
    </row>
    <row r="30" spans="2:21" x14ac:dyDescent="0.2">
      <c r="G30" s="17">
        <v>7.0000000000000007E-2</v>
      </c>
      <c r="H30" t="s">
        <v>54</v>
      </c>
      <c r="K30" s="10">
        <f>F26*G30</f>
        <v>356360.49402116425</v>
      </c>
      <c r="L30" s="23">
        <f>K30/F24</f>
        <v>6.6769723920928364E-2</v>
      </c>
      <c r="M30" s="23"/>
      <c r="N30" s="72">
        <f>N24-F24</f>
        <v>418663.55001667887</v>
      </c>
    </row>
    <row r="31" spans="2:21" x14ac:dyDescent="0.2">
      <c r="G31" s="30">
        <f>'E Rev Conv'!E22</f>
        <v>0.95385319887040521</v>
      </c>
      <c r="H31" t="s">
        <v>55</v>
      </c>
      <c r="K31" s="10"/>
      <c r="L31" s="23"/>
      <c r="M31" s="23"/>
      <c r="N31" s="23"/>
      <c r="O31" s="28"/>
    </row>
    <row r="32" spans="2:21" x14ac:dyDescent="0.2">
      <c r="G32" s="17"/>
      <c r="K32" s="9"/>
      <c r="L32" s="23"/>
      <c r="M32" s="23"/>
      <c r="N32" s="23"/>
    </row>
    <row r="34" spans="7:14" x14ac:dyDescent="0.2">
      <c r="I34" t="s">
        <v>49</v>
      </c>
      <c r="K34" s="70">
        <f>ROUND((800*0.07904),2)+ROUND((138*0.09112),2)+8.5</f>
        <v>84.3</v>
      </c>
      <c r="N34" t="s">
        <v>97</v>
      </c>
    </row>
    <row r="35" spans="7:14" x14ac:dyDescent="0.2">
      <c r="I35" t="s">
        <v>50</v>
      </c>
      <c r="K35" s="70">
        <f>ROUND((800*(0.07904+P12)),2)+ROUND((138*(0.09112+P12)),2)+8.5</f>
        <v>84.39</v>
      </c>
    </row>
    <row r="36" spans="7:14" x14ac:dyDescent="0.2">
      <c r="I36" t="s">
        <v>51</v>
      </c>
      <c r="K36" s="28">
        <f>K35-K34</f>
        <v>9.0000000000003411E-2</v>
      </c>
      <c r="L36" s="17">
        <f>K36/K34</f>
        <v>1.0676156583630297E-3</v>
      </c>
      <c r="M36" s="17"/>
    </row>
    <row r="40" spans="7:14" x14ac:dyDescent="0.2">
      <c r="G40" t="s">
        <v>104</v>
      </c>
      <c r="K40" s="29">
        <f>'Prior Balances'!B34</f>
        <v>-45062.565668999683</v>
      </c>
      <c r="L40" t="s">
        <v>122</v>
      </c>
    </row>
    <row r="41" spans="7:14" x14ac:dyDescent="0.2">
      <c r="G41" t="s">
        <v>53</v>
      </c>
      <c r="K41" s="29">
        <v>6871000</v>
      </c>
    </row>
  </sheetData>
  <pageMargins left="0.7" right="0.7" top="0.75" bottom="0.75" header="0.3" footer="0.3"/>
  <pageSetup scale="69" orientation="landscape" r:id="rId1"/>
  <headerFooter>
    <oddHeader>&amp;LAvista
Annual LIRAP Funding
2017</oddHead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9"/>
  <sheetViews>
    <sheetView workbookViewId="0">
      <selection activeCell="C37" sqref="C37"/>
    </sheetView>
  </sheetViews>
  <sheetFormatPr defaultRowHeight="12.75" x14ac:dyDescent="0.2"/>
  <cols>
    <col min="3" max="3" width="30" bestFit="1" customWidth="1"/>
    <col min="5" max="5" width="9" bestFit="1" customWidth="1"/>
  </cols>
  <sheetData>
    <row r="1" spans="1:5" ht="13.5" x14ac:dyDescent="0.25">
      <c r="A1" s="31" t="s">
        <v>56</v>
      </c>
      <c r="B1" s="31"/>
      <c r="C1" s="31"/>
      <c r="D1" s="31"/>
      <c r="E1" s="32"/>
    </row>
    <row r="2" spans="1:5" ht="13.5" x14ac:dyDescent="0.25">
      <c r="A2" s="31" t="s">
        <v>55</v>
      </c>
      <c r="B2" s="31"/>
      <c r="C2" s="31"/>
      <c r="D2" s="31"/>
      <c r="E2" s="32"/>
    </row>
    <row r="3" spans="1:5" ht="13.5" x14ac:dyDescent="0.25">
      <c r="A3" s="31" t="s">
        <v>57</v>
      </c>
      <c r="B3" s="31"/>
      <c r="C3" s="31"/>
      <c r="D3" s="31"/>
      <c r="E3" s="32"/>
    </row>
    <row r="4" spans="1:5" ht="13.5" x14ac:dyDescent="0.25">
      <c r="A4" s="31" t="s">
        <v>58</v>
      </c>
      <c r="B4" s="31"/>
      <c r="C4" s="31"/>
      <c r="D4" s="31"/>
      <c r="E4" s="32"/>
    </row>
    <row r="5" spans="1:5" x14ac:dyDescent="0.2">
      <c r="A5" s="33"/>
      <c r="B5" s="33"/>
      <c r="C5" s="33"/>
      <c r="D5" s="33"/>
      <c r="E5" s="33"/>
    </row>
    <row r="6" spans="1:5" ht="13.5" x14ac:dyDescent="0.25">
      <c r="A6" s="34" t="s">
        <v>59</v>
      </c>
      <c r="B6" s="34"/>
      <c r="C6" s="34"/>
      <c r="D6" s="34"/>
      <c r="E6" s="35"/>
    </row>
    <row r="7" spans="1:5" ht="13.5" x14ac:dyDescent="0.25">
      <c r="A7" s="36" t="s">
        <v>60</v>
      </c>
      <c r="B7" s="34"/>
      <c r="C7" s="36" t="s">
        <v>61</v>
      </c>
      <c r="D7" s="37"/>
      <c r="E7" s="38" t="s">
        <v>62</v>
      </c>
    </row>
    <row r="8" spans="1:5" x14ac:dyDescent="0.2">
      <c r="A8" s="33"/>
      <c r="B8" s="33"/>
      <c r="C8" s="33"/>
      <c r="D8" s="33"/>
      <c r="E8" s="33"/>
    </row>
    <row r="9" spans="1:5" x14ac:dyDescent="0.2">
      <c r="A9" s="39">
        <v>1</v>
      </c>
      <c r="B9" s="33"/>
      <c r="C9" s="40" t="s">
        <v>63</v>
      </c>
      <c r="D9" s="33"/>
      <c r="E9" s="41">
        <v>1</v>
      </c>
    </row>
    <row r="10" spans="1:5" x14ac:dyDescent="0.2">
      <c r="A10" s="39"/>
      <c r="B10" s="33"/>
      <c r="C10" s="33"/>
      <c r="D10" s="33"/>
      <c r="E10" s="41"/>
    </row>
    <row r="11" spans="1:5" x14ac:dyDescent="0.2">
      <c r="A11" s="39"/>
      <c r="B11" s="33"/>
      <c r="C11" s="42" t="s">
        <v>64</v>
      </c>
      <c r="D11" s="43"/>
      <c r="E11" s="41"/>
    </row>
    <row r="12" spans="1:5" x14ac:dyDescent="0.2">
      <c r="A12" s="39">
        <v>2</v>
      </c>
      <c r="B12" s="33"/>
      <c r="C12" s="43" t="s">
        <v>65</v>
      </c>
      <c r="D12" s="43"/>
      <c r="E12" s="44">
        <v>5.6309087490816921E-3</v>
      </c>
    </row>
    <row r="13" spans="1:5" x14ac:dyDescent="0.2">
      <c r="A13" s="39"/>
      <c r="B13" s="33"/>
      <c r="C13" s="43"/>
      <c r="D13" s="43"/>
      <c r="E13" s="41"/>
    </row>
    <row r="14" spans="1:5" x14ac:dyDescent="0.2">
      <c r="A14" s="39">
        <v>3</v>
      </c>
      <c r="B14" s="33"/>
      <c r="C14" s="43" t="s">
        <v>66</v>
      </c>
      <c r="D14" s="43"/>
      <c r="E14" s="41">
        <v>2E-3</v>
      </c>
    </row>
    <row r="15" spans="1:5" x14ac:dyDescent="0.2">
      <c r="A15" s="39"/>
      <c r="B15" s="33"/>
      <c r="C15" s="43"/>
      <c r="D15" s="43"/>
      <c r="E15" s="41"/>
    </row>
    <row r="16" spans="1:5" x14ac:dyDescent="0.2">
      <c r="A16" s="39">
        <v>4</v>
      </c>
      <c r="B16" s="33"/>
      <c r="C16" s="43" t="s">
        <v>67</v>
      </c>
      <c r="D16" s="43"/>
      <c r="E16" s="41">
        <v>3.8515892380513068E-2</v>
      </c>
    </row>
    <row r="17" spans="1:5" x14ac:dyDescent="0.2">
      <c r="A17" s="39"/>
      <c r="B17" s="33"/>
      <c r="C17" s="43"/>
      <c r="D17" s="43"/>
      <c r="E17" s="41"/>
    </row>
    <row r="18" spans="1:5" x14ac:dyDescent="0.2">
      <c r="A18" s="39">
        <v>5</v>
      </c>
      <c r="B18" s="33"/>
      <c r="C18" s="43" t="s">
        <v>68</v>
      </c>
      <c r="D18" s="43"/>
      <c r="E18" s="45">
        <v>0</v>
      </c>
    </row>
    <row r="19" spans="1:5" x14ac:dyDescent="0.2">
      <c r="A19" s="39"/>
      <c r="B19" s="33"/>
      <c r="C19" s="43"/>
      <c r="D19" s="43"/>
      <c r="E19" s="45"/>
    </row>
    <row r="20" spans="1:5" x14ac:dyDescent="0.2">
      <c r="A20" s="39">
        <v>6</v>
      </c>
      <c r="B20" s="33"/>
      <c r="C20" s="43" t="s">
        <v>69</v>
      </c>
      <c r="D20" s="43"/>
      <c r="E20" s="46">
        <f>E12+E14+E16+E18</f>
        <v>4.614680112959476E-2</v>
      </c>
    </row>
    <row r="21" spans="1:5" x14ac:dyDescent="0.2">
      <c r="A21" s="33"/>
      <c r="B21" s="33"/>
      <c r="C21" s="43"/>
      <c r="D21" s="43"/>
      <c r="E21" s="45"/>
    </row>
    <row r="22" spans="1:5" x14ac:dyDescent="0.2">
      <c r="A22" s="39">
        <v>7</v>
      </c>
      <c r="B22" s="33"/>
      <c r="C22" s="43" t="s">
        <v>70</v>
      </c>
      <c r="D22" s="43"/>
      <c r="E22" s="45">
        <f>E9-E20</f>
        <v>0.95385319887040521</v>
      </c>
    </row>
    <row r="23" spans="1:5" x14ac:dyDescent="0.2">
      <c r="A23" s="33"/>
      <c r="B23" s="33"/>
      <c r="C23" s="43"/>
      <c r="D23" s="43"/>
      <c r="E23" s="45"/>
    </row>
    <row r="24" spans="1:5" x14ac:dyDescent="0.2">
      <c r="A24" s="39">
        <v>8</v>
      </c>
      <c r="B24" s="33"/>
      <c r="C24" s="43" t="s">
        <v>71</v>
      </c>
      <c r="D24" s="47"/>
      <c r="E24" s="48">
        <v>0.33384900000000001</v>
      </c>
    </row>
    <row r="25" spans="1:5" x14ac:dyDescent="0.2">
      <c r="A25" s="33"/>
      <c r="B25" s="33"/>
      <c r="C25" s="43"/>
      <c r="D25" s="43"/>
      <c r="E25" s="45"/>
    </row>
    <row r="26" spans="1:5" ht="13.5" thickBot="1" x14ac:dyDescent="0.25">
      <c r="A26" s="39">
        <v>9</v>
      </c>
      <c r="B26" s="33"/>
      <c r="C26" s="42" t="s">
        <v>72</v>
      </c>
      <c r="D26" s="43"/>
      <c r="E26" s="49">
        <f>E22-E24</f>
        <v>0.62000419887040525</v>
      </c>
    </row>
    <row r="27" spans="1:5" ht="13.5" thickTop="1" x14ac:dyDescent="0.2">
      <c r="A27" s="50"/>
      <c r="B27" s="50"/>
      <c r="C27" s="50"/>
      <c r="D27" s="50"/>
      <c r="E27" s="51"/>
    </row>
    <row r="28" spans="1:5" x14ac:dyDescent="0.2">
      <c r="A28" s="50"/>
      <c r="B28" s="50"/>
      <c r="C28" s="50"/>
      <c r="D28" s="50"/>
      <c r="E28" s="51"/>
    </row>
    <row r="29" spans="1:5" ht="18.75" x14ac:dyDescent="0.3">
      <c r="A29" s="52" t="s">
        <v>73</v>
      </c>
      <c r="B29" s="50"/>
      <c r="C29" s="50"/>
      <c r="D29" s="50"/>
      <c r="E29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7:U36"/>
  <sheetViews>
    <sheetView workbookViewId="0">
      <selection activeCell="F31" sqref="F31"/>
    </sheetView>
  </sheetViews>
  <sheetFormatPr defaultRowHeight="12.75" x14ac:dyDescent="0.2"/>
  <cols>
    <col min="1" max="1" width="2.140625" customWidth="1"/>
    <col min="2" max="2" width="38.5703125" customWidth="1"/>
    <col min="3" max="3" width="10.28515625" bestFit="1" customWidth="1"/>
    <col min="4" max="4" width="12.28515625" bestFit="1" customWidth="1"/>
    <col min="5" max="7" width="13.5703125" bestFit="1" customWidth="1"/>
    <col min="8" max="8" width="13.42578125" customWidth="1"/>
    <col min="9" max="9" width="9.7109375" bestFit="1" customWidth="1"/>
    <col min="10" max="10" width="3.85546875" customWidth="1"/>
    <col min="11" max="11" width="14.5703125" bestFit="1" customWidth="1"/>
    <col min="12" max="12" width="10.28515625" bestFit="1" customWidth="1"/>
    <col min="13" max="13" width="3.85546875" customWidth="1"/>
    <col min="14" max="14" width="11.28515625" bestFit="1" customWidth="1"/>
    <col min="15" max="15" width="9.7109375" bestFit="1" customWidth="1"/>
    <col min="16" max="16" width="11.140625" bestFit="1" customWidth="1"/>
    <col min="17" max="17" width="9.140625" customWidth="1"/>
    <col min="18" max="18" width="13.42578125" bestFit="1" customWidth="1"/>
  </cols>
  <sheetData>
    <row r="7" spans="2:21" x14ac:dyDescent="0.2">
      <c r="N7" s="1" t="s">
        <v>33</v>
      </c>
      <c r="O7" s="1" t="s">
        <v>33</v>
      </c>
      <c r="P7" s="1" t="s">
        <v>33</v>
      </c>
    </row>
    <row r="8" spans="2:21" x14ac:dyDescent="0.2">
      <c r="D8" s="1" t="s">
        <v>94</v>
      </c>
      <c r="E8" s="1" t="s">
        <v>0</v>
      </c>
      <c r="F8" s="1" t="s">
        <v>1</v>
      </c>
      <c r="G8" s="1" t="s">
        <v>2</v>
      </c>
      <c r="H8" s="1" t="s">
        <v>3</v>
      </c>
      <c r="I8" s="1" t="s">
        <v>3</v>
      </c>
      <c r="J8" s="1"/>
      <c r="K8" s="1" t="s">
        <v>100</v>
      </c>
      <c r="L8" s="1" t="s">
        <v>3</v>
      </c>
      <c r="M8" s="1"/>
      <c r="N8" s="1" t="s">
        <v>3</v>
      </c>
      <c r="O8" s="1" t="s">
        <v>3</v>
      </c>
      <c r="P8" s="1" t="s">
        <v>45</v>
      </c>
      <c r="R8" s="1" t="s">
        <v>0</v>
      </c>
    </row>
    <row r="9" spans="2:21" x14ac:dyDescent="0.2">
      <c r="B9" s="2" t="s">
        <v>4</v>
      </c>
      <c r="C9" s="2" t="s">
        <v>5</v>
      </c>
      <c r="D9" s="1" t="s">
        <v>6</v>
      </c>
      <c r="E9" s="1" t="s">
        <v>105</v>
      </c>
      <c r="F9" s="1" t="s">
        <v>105</v>
      </c>
      <c r="G9" s="1" t="s">
        <v>105</v>
      </c>
      <c r="H9" s="1" t="s">
        <v>105</v>
      </c>
      <c r="I9" s="1" t="s">
        <v>7</v>
      </c>
      <c r="J9" s="1"/>
      <c r="K9" s="1" t="s">
        <v>101</v>
      </c>
      <c r="L9" s="1" t="s">
        <v>103</v>
      </c>
      <c r="M9" s="1"/>
      <c r="N9" s="1" t="s">
        <v>8</v>
      </c>
      <c r="O9" s="1" t="s">
        <v>7</v>
      </c>
      <c r="P9" s="1" t="s">
        <v>12</v>
      </c>
      <c r="R9" s="1" t="s">
        <v>52</v>
      </c>
    </row>
    <row r="10" spans="2:21" x14ac:dyDescent="0.2">
      <c r="B10" s="3" t="s">
        <v>9</v>
      </c>
      <c r="C10" s="3" t="s">
        <v>10</v>
      </c>
      <c r="D10" s="4" t="s">
        <v>11</v>
      </c>
      <c r="E10" s="4" t="s">
        <v>12</v>
      </c>
      <c r="F10" s="4" t="s">
        <v>13</v>
      </c>
      <c r="G10" s="4" t="s">
        <v>2</v>
      </c>
      <c r="H10" s="4" t="s">
        <v>13</v>
      </c>
      <c r="I10" s="4" t="s">
        <v>12</v>
      </c>
      <c r="J10" s="4"/>
      <c r="K10" s="4" t="s">
        <v>102</v>
      </c>
      <c r="L10" s="4" t="s">
        <v>12</v>
      </c>
      <c r="M10" s="4"/>
      <c r="N10" s="4" t="s">
        <v>13</v>
      </c>
      <c r="O10" s="4" t="s">
        <v>12</v>
      </c>
      <c r="P10" s="25" t="s">
        <v>46</v>
      </c>
      <c r="R10" s="24" t="s">
        <v>13</v>
      </c>
    </row>
    <row r="11" spans="2:21" x14ac:dyDescent="0.2"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/>
      <c r="K11" s="2" t="s">
        <v>47</v>
      </c>
      <c r="L11" s="2" t="s">
        <v>106</v>
      </c>
      <c r="M11" s="2"/>
      <c r="N11" s="2" t="s">
        <v>107</v>
      </c>
      <c r="O11" s="2" t="s">
        <v>108</v>
      </c>
      <c r="P11" s="26" t="s">
        <v>109</v>
      </c>
    </row>
    <row r="12" spans="2:21" x14ac:dyDescent="0.2">
      <c r="B12" s="5"/>
      <c r="C12" s="2"/>
    </row>
    <row r="13" spans="2:21" x14ac:dyDescent="0.2">
      <c r="B13" s="5" t="s">
        <v>22</v>
      </c>
      <c r="C13" s="6" t="s">
        <v>111</v>
      </c>
      <c r="D13" s="7">
        <f>'Forecast BD'!N27</f>
        <v>124945325.9201549</v>
      </c>
      <c r="E13" s="8">
        <v>1.8319999999999999E-2</v>
      </c>
      <c r="F13" s="9">
        <f>D13*E13</f>
        <v>2288998.3708572378</v>
      </c>
      <c r="G13" s="10">
        <f>F13*$G$25</f>
        <v>160229.88596000665</v>
      </c>
      <c r="H13" s="10">
        <f>F13+G13</f>
        <v>2449228.2568172445</v>
      </c>
      <c r="I13" s="11">
        <f>ROUND(H13/D13,5)</f>
        <v>1.9599999999999999E-2</v>
      </c>
      <c r="J13" s="11"/>
      <c r="K13" s="10">
        <f>(F13/$F$19)*-$L$36</f>
        <v>-62769.034383500315</v>
      </c>
      <c r="L13" s="11">
        <f>ROUND(K13/D13,5)</f>
        <v>-5.0000000000000001E-4</v>
      </c>
      <c r="M13" s="11"/>
      <c r="N13" s="10">
        <f>H13+K13</f>
        <v>2386459.222433744</v>
      </c>
      <c r="O13" s="11">
        <f>I13+L13</f>
        <v>1.9099999999999999E-2</v>
      </c>
      <c r="P13" s="8">
        <f>O13-E13</f>
        <v>7.7999999999999944E-4</v>
      </c>
      <c r="R13" s="69">
        <v>111661000</v>
      </c>
      <c r="S13" s="17">
        <f t="shared" ref="S13:S19" si="0">G13/R13</f>
        <v>1.434967320371541E-3</v>
      </c>
      <c r="U13" s="67">
        <f>E13*(1+$G$25)</f>
        <v>1.9602399999999999E-2</v>
      </c>
    </row>
    <row r="14" spans="2:21" x14ac:dyDescent="0.2">
      <c r="B14" s="5" t="s">
        <v>23</v>
      </c>
      <c r="C14" s="6" t="s">
        <v>24</v>
      </c>
      <c r="D14" s="7">
        <f>'Forecast BD'!N28</f>
        <v>52735853.137929708</v>
      </c>
      <c r="E14" s="8">
        <v>1.5350000000000001E-2</v>
      </c>
      <c r="F14" s="9">
        <f t="shared" ref="F14:F18" si="1">D14*E14</f>
        <v>809495.345667221</v>
      </c>
      <c r="G14" s="10">
        <f>F14*$G$25</f>
        <v>56664.674196705477</v>
      </c>
      <c r="H14" s="10">
        <f t="shared" ref="H14:H18" si="2">F14+G14</f>
        <v>866160.01986392646</v>
      </c>
      <c r="I14" s="11">
        <f t="shared" ref="I14:I17" si="3">ROUND(H14/D14,5)</f>
        <v>1.6420000000000001E-2</v>
      </c>
      <c r="J14" s="11"/>
      <c r="K14" s="10">
        <f t="shared" ref="K14:K18" si="4">(F14/$F$19)*-$L$36</f>
        <v>-22198.024180524113</v>
      </c>
      <c r="L14" s="11">
        <f>ROUND(K14/D14,5)</f>
        <v>-4.2000000000000002E-4</v>
      </c>
      <c r="M14" s="11"/>
      <c r="N14" s="10">
        <f t="shared" ref="N14:N18" si="5">H14+K14</f>
        <v>843961.99568340229</v>
      </c>
      <c r="O14" s="11">
        <f t="shared" ref="O14:O17" si="6">I14+L14</f>
        <v>1.6E-2</v>
      </c>
      <c r="P14" s="8">
        <f>O14-E14</f>
        <v>6.4999999999999954E-4</v>
      </c>
      <c r="R14" s="69">
        <v>32707000</v>
      </c>
      <c r="S14" s="17">
        <f t="shared" si="0"/>
        <v>1.7324937841044876E-3</v>
      </c>
      <c r="U14" s="67">
        <f t="shared" ref="U14:U17" si="7">E14*(1+$G$25)</f>
        <v>1.6424500000000002E-2</v>
      </c>
    </row>
    <row r="15" spans="2:21" ht="12.75" customHeight="1" x14ac:dyDescent="0.2">
      <c r="B15" s="12" t="s">
        <v>25</v>
      </c>
      <c r="C15" s="6" t="s">
        <v>26</v>
      </c>
      <c r="D15" s="7">
        <f>'Forecast BD'!N29</f>
        <v>4407344.2876123805</v>
      </c>
      <c r="E15" s="8">
        <v>1.4019999999999999E-2</v>
      </c>
      <c r="F15" s="9">
        <f t="shared" si="1"/>
        <v>61790.966912325574</v>
      </c>
      <c r="G15" s="10">
        <f>F15*$G$25</f>
        <v>4325.3676838627907</v>
      </c>
      <c r="H15" s="10">
        <f t="shared" si="2"/>
        <v>66116.334596188361</v>
      </c>
      <c r="I15" s="11">
        <f t="shared" si="3"/>
        <v>1.4999999999999999E-2</v>
      </c>
      <c r="J15" s="11"/>
      <c r="K15" s="10">
        <f t="shared" si="4"/>
        <v>-1694.4351625977613</v>
      </c>
      <c r="L15" s="11">
        <f>ROUND(K15/D15,5)</f>
        <v>-3.8000000000000002E-4</v>
      </c>
      <c r="M15" s="11"/>
      <c r="N15" s="10">
        <f t="shared" si="5"/>
        <v>64421.899433590603</v>
      </c>
      <c r="O15" s="11">
        <f t="shared" si="6"/>
        <v>1.4619999999999999E-2</v>
      </c>
      <c r="P15" s="8">
        <f>O15-E15</f>
        <v>5.9999999999999984E-4</v>
      </c>
      <c r="R15" s="69">
        <v>2620000</v>
      </c>
      <c r="S15" s="17">
        <f t="shared" si="0"/>
        <v>1.6509036961308361E-3</v>
      </c>
      <c r="U15" s="67">
        <f t="shared" si="7"/>
        <v>1.50014E-2</v>
      </c>
    </row>
    <row r="16" spans="2:21" x14ac:dyDescent="0.2">
      <c r="B16" s="5" t="s">
        <v>27</v>
      </c>
      <c r="C16" s="2" t="s">
        <v>28</v>
      </c>
      <c r="D16" s="7">
        <f>'Forecast BD'!N30</f>
        <v>953143.43840953242</v>
      </c>
      <c r="E16" s="8">
        <v>1.3469999999999999E-2</v>
      </c>
      <c r="F16" s="9">
        <f t="shared" si="1"/>
        <v>12838.842115376401</v>
      </c>
      <c r="G16" s="10">
        <f>F16*$G$25</f>
        <v>898.71894807634817</v>
      </c>
      <c r="H16" s="10">
        <f t="shared" si="2"/>
        <v>13737.561063452749</v>
      </c>
      <c r="I16" s="11">
        <f t="shared" si="3"/>
        <v>1.4409999999999999E-2</v>
      </c>
      <c r="J16" s="11"/>
      <c r="K16" s="10">
        <f t="shared" si="4"/>
        <v>-352.06740749343032</v>
      </c>
      <c r="L16" s="11">
        <f>ROUND(K16/D16,5)</f>
        <v>-3.6999999999999999E-4</v>
      </c>
      <c r="M16" s="11"/>
      <c r="N16" s="10">
        <f t="shared" si="5"/>
        <v>13385.493655959319</v>
      </c>
      <c r="O16" s="11">
        <f t="shared" si="6"/>
        <v>1.4039999999999999E-2</v>
      </c>
      <c r="P16" s="8">
        <f>O16-E16</f>
        <v>5.6999999999999933E-4</v>
      </c>
      <c r="R16" s="69">
        <v>519000</v>
      </c>
      <c r="S16" s="17">
        <f t="shared" si="0"/>
        <v>1.7316357381047171E-3</v>
      </c>
      <c r="U16" s="67">
        <f t="shared" si="7"/>
        <v>1.4412899999999999E-2</v>
      </c>
    </row>
    <row r="17" spans="2:21" x14ac:dyDescent="0.2">
      <c r="B17" s="5" t="s">
        <v>29</v>
      </c>
      <c r="C17" s="6" t="s">
        <v>30</v>
      </c>
      <c r="D17" s="7">
        <f>'Forecast BD'!N31</f>
        <v>34111318</v>
      </c>
      <c r="E17" s="8">
        <v>1.0399999999999999E-3</v>
      </c>
      <c r="F17" s="9">
        <f t="shared" si="1"/>
        <v>35475.77072</v>
      </c>
      <c r="G17" s="10">
        <f>H17-F17</f>
        <v>-6125.7707200000004</v>
      </c>
      <c r="H17" s="10">
        <f>C30</f>
        <v>29350</v>
      </c>
      <c r="I17" s="11">
        <f t="shared" si="3"/>
        <v>8.5999999999999998E-4</v>
      </c>
      <c r="J17" s="11"/>
      <c r="K17" s="10">
        <f t="shared" si="4"/>
        <v>-972.81846088466943</v>
      </c>
      <c r="L17" s="11">
        <f>ROUND(K17/D17,5)</f>
        <v>-3.0000000000000001E-5</v>
      </c>
      <c r="M17" s="11"/>
      <c r="N17" s="10">
        <f t="shared" si="5"/>
        <v>28377.181539115332</v>
      </c>
      <c r="O17" s="11">
        <f t="shared" si="6"/>
        <v>8.3000000000000001E-4</v>
      </c>
      <c r="P17" s="8">
        <f>O17-E17</f>
        <v>-2.099999999999999E-4</v>
      </c>
      <c r="R17" s="69">
        <v>2970000</v>
      </c>
      <c r="S17" s="17">
        <f t="shared" si="0"/>
        <v>-2.0625490639730642E-3</v>
      </c>
      <c r="U17" s="67">
        <f t="shared" si="7"/>
        <v>1.1127999999999999E-3</v>
      </c>
    </row>
    <row r="18" spans="2:21" ht="15" x14ac:dyDescent="0.35">
      <c r="B18" s="5" t="s">
        <v>31</v>
      </c>
      <c r="C18" s="6" t="s">
        <v>32</v>
      </c>
      <c r="D18" s="13">
        <f>'Forecast BD'!N32</f>
        <v>47961450</v>
      </c>
      <c r="E18" s="8"/>
      <c r="F18" s="14">
        <f t="shared" si="1"/>
        <v>0</v>
      </c>
      <c r="G18" s="15">
        <f t="shared" ref="G18" si="8">F18*$G$27</f>
        <v>0</v>
      </c>
      <c r="H18" s="15">
        <f t="shared" si="2"/>
        <v>0</v>
      </c>
      <c r="I18" s="11"/>
      <c r="J18" s="11"/>
      <c r="K18" s="15">
        <f t="shared" si="4"/>
        <v>0</v>
      </c>
      <c r="L18" s="11"/>
      <c r="M18" s="11"/>
      <c r="N18" s="15">
        <f t="shared" si="5"/>
        <v>0</v>
      </c>
      <c r="O18" s="11"/>
      <c r="R18" s="69">
        <v>1612000</v>
      </c>
      <c r="S18" s="17">
        <f t="shared" si="0"/>
        <v>0</v>
      </c>
      <c r="U18" s="67"/>
    </row>
    <row r="19" spans="2:21" x14ac:dyDescent="0.2">
      <c r="B19" s="16" t="s">
        <v>33</v>
      </c>
      <c r="C19" s="2"/>
      <c r="D19" s="7">
        <f>SUM(D13:D18)</f>
        <v>265114434.78410652</v>
      </c>
      <c r="F19" s="10">
        <f>SUM(F13:F18)</f>
        <v>3208599.296272161</v>
      </c>
      <c r="G19" s="10">
        <f>SUM(G13:G18)</f>
        <v>215992.8760686513</v>
      </c>
      <c r="H19" s="10">
        <f>SUM(H13:H18)</f>
        <v>3424592.1723408117</v>
      </c>
      <c r="I19" s="10"/>
      <c r="J19" s="10"/>
      <c r="K19" s="10">
        <f>SUM(K13:K18)</f>
        <v>-87986.379595000282</v>
      </c>
      <c r="L19" s="10"/>
      <c r="M19" s="10"/>
      <c r="N19" s="10">
        <f>SUM(N13:N18)</f>
        <v>3336605.7927458114</v>
      </c>
      <c r="R19" s="9">
        <f>SUM(R13:R18)</f>
        <v>152089000</v>
      </c>
      <c r="S19" s="17">
        <f t="shared" si="0"/>
        <v>1.4201742142341083E-3</v>
      </c>
    </row>
    <row r="21" spans="2:21" x14ac:dyDescent="0.2">
      <c r="E21" t="s">
        <v>95</v>
      </c>
      <c r="F21" s="9">
        <f>F19*G26</f>
        <v>3061215.4961971953</v>
      </c>
      <c r="G21" s="9">
        <f>G19*G26</f>
        <v>206071.45929931386</v>
      </c>
      <c r="H21" s="9">
        <f>H19*G26</f>
        <v>3267286.9554965086</v>
      </c>
      <c r="I21" s="9"/>
      <c r="J21" s="9"/>
      <c r="K21" s="9"/>
      <c r="L21" s="9"/>
      <c r="M21" s="9"/>
      <c r="N21" s="9">
        <f>N19-F19</f>
        <v>128006.49647365045</v>
      </c>
      <c r="O21" s="10">
        <f>(G19*G26)-G21</f>
        <v>0</v>
      </c>
    </row>
    <row r="22" spans="2:21" x14ac:dyDescent="0.2">
      <c r="G22" s="23">
        <f>G21/F21</f>
        <v>6.7316874475288266E-2</v>
      </c>
    </row>
    <row r="24" spans="2:21" ht="13.5" thickBot="1" x14ac:dyDescent="0.25"/>
    <row r="25" spans="2:21" x14ac:dyDescent="0.2">
      <c r="B25" s="87" t="s">
        <v>124</v>
      </c>
      <c r="C25" s="79"/>
      <c r="G25" s="23">
        <v>7.0000000000000007E-2</v>
      </c>
      <c r="H25" t="s">
        <v>125</v>
      </c>
      <c r="L25" s="10">
        <f>F21*G25</f>
        <v>214285.0847338037</v>
      </c>
      <c r="M25" s="10"/>
    </row>
    <row r="26" spans="2:21" x14ac:dyDescent="0.2">
      <c r="B26" s="80"/>
      <c r="C26" s="81"/>
      <c r="G26" s="30">
        <f>'G Rev Conv'!C25</f>
        <v>0.95406599999999997</v>
      </c>
      <c r="H26" t="s">
        <v>55</v>
      </c>
      <c r="L26" s="10"/>
      <c r="M26" s="10"/>
    </row>
    <row r="27" spans="2:21" x14ac:dyDescent="0.2">
      <c r="B27" s="80" t="s">
        <v>126</v>
      </c>
      <c r="C27" s="82">
        <v>2935000</v>
      </c>
      <c r="G27" s="17"/>
      <c r="L27" s="9"/>
      <c r="M27" s="9"/>
    </row>
    <row r="28" spans="2:21" x14ac:dyDescent="0.2">
      <c r="B28" s="83"/>
      <c r="C28" s="84">
        <v>0.01</v>
      </c>
      <c r="H28" t="s">
        <v>110</v>
      </c>
    </row>
    <row r="29" spans="2:21" x14ac:dyDescent="0.2">
      <c r="B29" s="80"/>
      <c r="C29" s="81"/>
      <c r="K29" t="s">
        <v>49</v>
      </c>
      <c r="L29" s="70">
        <f>ROUND((65*0.75598),2)+9</f>
        <v>58.14</v>
      </c>
      <c r="M29" s="70"/>
      <c r="O29" t="s">
        <v>98</v>
      </c>
    </row>
    <row r="30" spans="2:21" ht="13.5" thickBot="1" x14ac:dyDescent="0.25">
      <c r="B30" s="85" t="s">
        <v>127</v>
      </c>
      <c r="C30" s="86">
        <f>C27*C28</f>
        <v>29350</v>
      </c>
      <c r="D30" s="27"/>
      <c r="E30" s="27"/>
      <c r="F30" s="27"/>
      <c r="G30" s="23"/>
      <c r="K30" t="s">
        <v>50</v>
      </c>
      <c r="L30" s="70">
        <f>ROUND((65*(0.75598+P13)),2)+9</f>
        <v>58.19</v>
      </c>
      <c r="M30" s="70"/>
    </row>
    <row r="31" spans="2:21" x14ac:dyDescent="0.2">
      <c r="K31" t="s">
        <v>51</v>
      </c>
      <c r="L31" s="28">
        <f>L30-L29</f>
        <v>4.9999999999997158E-2</v>
      </c>
      <c r="M31" s="28"/>
      <c r="N31" s="17">
        <f>L31/L29</f>
        <v>8.5999312005499067E-4</v>
      </c>
    </row>
    <row r="36" spans="7:14" x14ac:dyDescent="0.2">
      <c r="G36" t="s">
        <v>104</v>
      </c>
      <c r="L36" s="29">
        <f>'Prior Balances'!G34</f>
        <v>87986.379595000297</v>
      </c>
      <c r="M36" s="29"/>
      <c r="N36" t="s">
        <v>123</v>
      </c>
    </row>
  </sheetData>
  <pageMargins left="0.7" right="0.7" top="0.75" bottom="0.75" header="0.3" footer="0.3"/>
  <pageSetup scale="66" orientation="landscape" r:id="rId1"/>
  <headerFooter>
    <oddHeader>&amp;LAvista
Annual LIRAP Funding
2017</oddHeader>
    <oddFooter>&amp;L&amp;F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9"/>
  <sheetViews>
    <sheetView workbookViewId="0">
      <selection activeCell="A33" sqref="A33"/>
    </sheetView>
  </sheetViews>
  <sheetFormatPr defaultRowHeight="12.75" x14ac:dyDescent="0.2"/>
  <cols>
    <col min="1" max="1" width="42.42578125" bestFit="1" customWidth="1"/>
  </cols>
  <sheetData>
    <row r="1" spans="1:3" x14ac:dyDescent="0.2">
      <c r="A1" s="53" t="s">
        <v>56</v>
      </c>
      <c r="B1" s="42"/>
      <c r="C1" s="54"/>
    </row>
    <row r="2" spans="1:3" x14ac:dyDescent="0.2">
      <c r="A2" s="53" t="s">
        <v>55</v>
      </c>
      <c r="B2" s="42"/>
      <c r="C2" s="55"/>
    </row>
    <row r="3" spans="1:3" x14ac:dyDescent="0.2">
      <c r="A3" s="53" t="s">
        <v>74</v>
      </c>
      <c r="B3" s="42"/>
      <c r="C3" s="55"/>
    </row>
    <row r="4" spans="1:3" x14ac:dyDescent="0.2">
      <c r="A4" s="53" t="s">
        <v>58</v>
      </c>
      <c r="B4" s="56"/>
      <c r="C4" s="56"/>
    </row>
    <row r="5" spans="1:3" x14ac:dyDescent="0.2">
      <c r="A5" s="57"/>
      <c r="B5" s="43"/>
      <c r="C5" s="33"/>
    </row>
    <row r="6" spans="1:3" x14ac:dyDescent="0.2">
      <c r="A6" s="58"/>
      <c r="B6" s="43"/>
      <c r="C6" s="42"/>
    </row>
    <row r="7" spans="1:3" x14ac:dyDescent="0.2">
      <c r="A7" s="58"/>
      <c r="B7" s="43"/>
      <c r="C7" s="42"/>
    </row>
    <row r="8" spans="1:3" x14ac:dyDescent="0.2">
      <c r="A8" s="43"/>
      <c r="B8" s="43"/>
      <c r="C8" s="59"/>
    </row>
    <row r="9" spans="1:3" x14ac:dyDescent="0.2">
      <c r="A9" s="57"/>
      <c r="B9" s="43"/>
      <c r="C9" s="57"/>
    </row>
    <row r="10" spans="1:3" x14ac:dyDescent="0.2">
      <c r="A10" s="60" t="s">
        <v>61</v>
      </c>
      <c r="B10" s="43"/>
      <c r="C10" s="60" t="s">
        <v>62</v>
      </c>
    </row>
    <row r="11" spans="1:3" x14ac:dyDescent="0.2">
      <c r="A11" s="43"/>
      <c r="B11" s="43"/>
      <c r="C11" s="43"/>
    </row>
    <row r="12" spans="1:3" x14ac:dyDescent="0.2">
      <c r="A12" s="42" t="s">
        <v>63</v>
      </c>
      <c r="B12" s="43"/>
      <c r="C12" s="43">
        <v>1</v>
      </c>
    </row>
    <row r="13" spans="1:3" x14ac:dyDescent="0.2">
      <c r="A13" s="42"/>
      <c r="B13" s="43"/>
      <c r="C13" s="43"/>
    </row>
    <row r="14" spans="1:3" x14ac:dyDescent="0.2">
      <c r="A14" s="42" t="s">
        <v>64</v>
      </c>
      <c r="B14" s="43"/>
      <c r="C14" s="43"/>
    </row>
    <row r="15" spans="1:3" x14ac:dyDescent="0.2">
      <c r="A15" s="43" t="s">
        <v>75</v>
      </c>
      <c r="B15" s="43"/>
      <c r="C15" s="43">
        <v>5.6309999999999997E-3</v>
      </c>
    </row>
    <row r="16" spans="1:3" x14ac:dyDescent="0.2">
      <c r="A16" s="43"/>
      <c r="B16" s="43"/>
      <c r="C16" s="43"/>
    </row>
    <row r="17" spans="1:3" x14ac:dyDescent="0.2">
      <c r="A17" s="43" t="s">
        <v>76</v>
      </c>
      <c r="B17" s="43"/>
      <c r="C17" s="43">
        <v>2E-3</v>
      </c>
    </row>
    <row r="18" spans="1:3" x14ac:dyDescent="0.2">
      <c r="A18" s="43"/>
      <c r="B18" s="43"/>
      <c r="C18" s="43"/>
    </row>
    <row r="19" spans="1:3" x14ac:dyDescent="0.2">
      <c r="A19" s="43" t="s">
        <v>77</v>
      </c>
      <c r="B19" s="43"/>
      <c r="C19" s="43">
        <v>3.8302999999999997E-2</v>
      </c>
    </row>
    <row r="20" spans="1:3" x14ac:dyDescent="0.2">
      <c r="A20" s="43"/>
      <c r="B20" s="43"/>
      <c r="C20" s="43"/>
    </row>
    <row r="21" spans="1:3" x14ac:dyDescent="0.2">
      <c r="A21" s="43" t="s">
        <v>78</v>
      </c>
      <c r="B21" s="43"/>
      <c r="C21" s="43">
        <v>0</v>
      </c>
    </row>
    <row r="22" spans="1:3" x14ac:dyDescent="0.2">
      <c r="A22" s="43"/>
      <c r="B22" s="43"/>
      <c r="C22" s="43"/>
    </row>
    <row r="23" spans="1:3" x14ac:dyDescent="0.2">
      <c r="A23" s="43" t="s">
        <v>69</v>
      </c>
      <c r="B23" s="43"/>
      <c r="C23" s="62">
        <f>C15+C17+C19+C21</f>
        <v>4.5933999999999996E-2</v>
      </c>
    </row>
    <row r="24" spans="1:3" x14ac:dyDescent="0.2">
      <c r="A24" s="43"/>
      <c r="B24" s="43"/>
      <c r="C24" s="43"/>
    </row>
    <row r="25" spans="1:3" x14ac:dyDescent="0.2">
      <c r="A25" s="43" t="s">
        <v>70</v>
      </c>
      <c r="B25" s="43"/>
      <c r="C25" s="43">
        <f>C12-C23</f>
        <v>0.95406599999999997</v>
      </c>
    </row>
    <row r="26" spans="1:3" x14ac:dyDescent="0.2">
      <c r="A26" s="43"/>
      <c r="B26" s="43"/>
      <c r="C26" s="43"/>
    </row>
    <row r="27" spans="1:3" x14ac:dyDescent="0.2">
      <c r="A27" s="43" t="s">
        <v>71</v>
      </c>
      <c r="B27" s="47"/>
      <c r="C27" s="43">
        <v>0.33392300000000003</v>
      </c>
    </row>
    <row r="28" spans="1:3" x14ac:dyDescent="0.2">
      <c r="A28" s="43"/>
      <c r="B28" s="43"/>
      <c r="C28" s="61"/>
    </row>
    <row r="29" spans="1:3" x14ac:dyDescent="0.2">
      <c r="A29" s="43" t="s">
        <v>72</v>
      </c>
      <c r="B29" s="43"/>
      <c r="C29" s="63">
        <f>C25-C27</f>
        <v>0.62014299999999989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0:O33"/>
  <sheetViews>
    <sheetView workbookViewId="0">
      <selection activeCell="E36" sqref="E36"/>
    </sheetView>
  </sheetViews>
  <sheetFormatPr defaultRowHeight="12.75" x14ac:dyDescent="0.2"/>
  <cols>
    <col min="1" max="1" width="16.85546875" bestFit="1" customWidth="1"/>
    <col min="2" max="13" width="12.28515625" bestFit="1" customWidth="1"/>
    <col min="14" max="14" width="14" bestFit="1" customWidth="1"/>
  </cols>
  <sheetData>
    <row r="10" spans="1:14" x14ac:dyDescent="0.2">
      <c r="B10" s="64">
        <v>43009</v>
      </c>
      <c r="C10" s="64">
        <v>43040</v>
      </c>
      <c r="D10" s="64">
        <v>43070</v>
      </c>
      <c r="E10" s="64">
        <v>43101</v>
      </c>
      <c r="F10" s="64">
        <v>43132</v>
      </c>
      <c r="G10" s="64">
        <v>43160</v>
      </c>
      <c r="H10" s="64">
        <v>43191</v>
      </c>
      <c r="I10" s="64">
        <v>43221</v>
      </c>
      <c r="J10" s="64">
        <v>43252</v>
      </c>
      <c r="K10" s="64">
        <v>43282</v>
      </c>
      <c r="L10" s="64">
        <v>43313</v>
      </c>
      <c r="M10" s="64">
        <v>43344</v>
      </c>
      <c r="N10" t="s">
        <v>33</v>
      </c>
    </row>
    <row r="11" spans="1:14" x14ac:dyDescent="0.2">
      <c r="A11" t="s">
        <v>79</v>
      </c>
      <c r="B11" s="7">
        <v>182887491.37639776</v>
      </c>
      <c r="C11" s="7">
        <v>227355434.86213231</v>
      </c>
      <c r="D11" s="7">
        <v>285752423.76174927</v>
      </c>
      <c r="E11" s="7">
        <v>276988691.23352349</v>
      </c>
      <c r="F11" s="7">
        <v>221800956.18741477</v>
      </c>
      <c r="G11" s="7">
        <v>217487024.82509917</v>
      </c>
      <c r="H11" s="7">
        <v>180931205.26870883</v>
      </c>
      <c r="I11" s="7">
        <v>165504786.80450183</v>
      </c>
      <c r="J11" s="7">
        <v>159180004.84981185</v>
      </c>
      <c r="K11" s="7">
        <v>194722364.15325752</v>
      </c>
      <c r="L11" s="7">
        <v>184091057.52748036</v>
      </c>
      <c r="M11" s="7">
        <v>157560688.52248412</v>
      </c>
      <c r="N11" s="65">
        <f>SUM(B11:M11)</f>
        <v>2454262129.3725615</v>
      </c>
    </row>
    <row r="12" spans="1:14" x14ac:dyDescent="0.2">
      <c r="A12" t="s">
        <v>80</v>
      </c>
      <c r="B12" s="7">
        <v>45848080.978529997</v>
      </c>
      <c r="C12" s="7">
        <v>48191645.521341361</v>
      </c>
      <c r="D12" s="7">
        <v>54513346.247967936</v>
      </c>
      <c r="E12" s="7">
        <v>54396406.975658566</v>
      </c>
      <c r="F12" s="7">
        <v>46064187.058452941</v>
      </c>
      <c r="G12" s="7">
        <v>47384712.456686154</v>
      </c>
      <c r="H12" s="7">
        <v>42599874.792132966</v>
      </c>
      <c r="I12" s="7">
        <v>42625273.200821601</v>
      </c>
      <c r="J12" s="7">
        <v>42911599.208197169</v>
      </c>
      <c r="K12" s="7">
        <v>51160267.011545472</v>
      </c>
      <c r="L12" s="7">
        <v>48305210.112373255</v>
      </c>
      <c r="M12" s="7">
        <v>42472071.513467237</v>
      </c>
      <c r="N12" s="65">
        <f t="shared" ref="N12:N19" si="0">SUM(B12:M12)</f>
        <v>566472675.07717466</v>
      </c>
    </row>
    <row r="13" spans="1:14" x14ac:dyDescent="0.2">
      <c r="A13" t="s">
        <v>81</v>
      </c>
      <c r="B13" s="7">
        <v>4469905.6523894072</v>
      </c>
      <c r="C13" s="7">
        <v>5355830.9842260778</v>
      </c>
      <c r="D13" s="7">
        <v>6678738.8403042704</v>
      </c>
      <c r="E13" s="7">
        <v>6797091.0642403662</v>
      </c>
      <c r="F13" s="7">
        <v>5573614.6279981397</v>
      </c>
      <c r="G13" s="7">
        <v>5393226.81657458</v>
      </c>
      <c r="H13" s="7">
        <v>4467220.0119482484</v>
      </c>
      <c r="I13" s="7">
        <v>4169683.2989539341</v>
      </c>
      <c r="J13" s="7">
        <v>3929967.7008139975</v>
      </c>
      <c r="K13" s="7">
        <v>4409871.1920005381</v>
      </c>
      <c r="L13" s="7">
        <v>4248919.4730863925</v>
      </c>
      <c r="M13" s="7">
        <v>3944664.3527494543</v>
      </c>
      <c r="N13" s="65">
        <f t="shared" si="0"/>
        <v>59438734.01528541</v>
      </c>
    </row>
    <row r="14" spans="1:14" x14ac:dyDescent="0.2">
      <c r="A14" t="s">
        <v>82</v>
      </c>
      <c r="B14" s="7">
        <v>117183563.94755599</v>
      </c>
      <c r="C14" s="7">
        <v>113061653.78591004</v>
      </c>
      <c r="D14" s="7">
        <v>120962356.6789142</v>
      </c>
      <c r="E14" s="7">
        <v>119785442.17422071</v>
      </c>
      <c r="F14" s="7">
        <v>103726092.49836475</v>
      </c>
      <c r="G14" s="7">
        <v>111192947.35589856</v>
      </c>
      <c r="H14" s="7">
        <v>105676884.07343714</v>
      </c>
      <c r="I14" s="7">
        <v>110438901.86648306</v>
      </c>
      <c r="J14" s="7">
        <v>111595767.80093133</v>
      </c>
      <c r="K14" s="7">
        <v>128779332.78404483</v>
      </c>
      <c r="L14" s="7">
        <v>121490885.02102351</v>
      </c>
      <c r="M14" s="7">
        <v>109755614.70641792</v>
      </c>
      <c r="N14" s="65">
        <f t="shared" si="0"/>
        <v>1373649442.693202</v>
      </c>
    </row>
    <row r="15" spans="1:14" x14ac:dyDescent="0.2">
      <c r="A15" t="s">
        <v>83</v>
      </c>
      <c r="B15" s="7">
        <v>2564012.3159196842</v>
      </c>
      <c r="C15" s="7">
        <v>2796383.8801970826</v>
      </c>
      <c r="D15" s="7">
        <v>3315211.7018183405</v>
      </c>
      <c r="E15" s="7">
        <v>3374192.1326955515</v>
      </c>
      <c r="F15" s="7">
        <v>2802914.2246306897</v>
      </c>
      <c r="G15" s="7">
        <v>2798292.9167240681</v>
      </c>
      <c r="H15" s="7">
        <v>2443984.2877108753</v>
      </c>
      <c r="I15" s="7">
        <v>2396572.6326448624</v>
      </c>
      <c r="J15" s="7">
        <v>2349531.5922535108</v>
      </c>
      <c r="K15" s="7">
        <v>2750808.6106479224</v>
      </c>
      <c r="L15" s="7">
        <v>2611818.9746649642</v>
      </c>
      <c r="M15" s="7">
        <v>2331847.5358914919</v>
      </c>
      <c r="N15" s="65">
        <f t="shared" si="0"/>
        <v>32535570.805799041</v>
      </c>
    </row>
    <row r="16" spans="1:14" x14ac:dyDescent="0.2">
      <c r="A16" t="s">
        <v>84</v>
      </c>
      <c r="B16" s="7">
        <v>94054441.558820084</v>
      </c>
      <c r="C16" s="7">
        <v>92544672.451973617</v>
      </c>
      <c r="D16" s="7">
        <v>91817201.758654043</v>
      </c>
      <c r="E16" s="7">
        <v>91954920.140190691</v>
      </c>
      <c r="F16" s="7">
        <v>91680623.330278397</v>
      </c>
      <c r="G16" s="7">
        <v>89975531.042652205</v>
      </c>
      <c r="H16" s="7">
        <v>91951519.832541332</v>
      </c>
      <c r="I16" s="7">
        <v>92774510.056144252</v>
      </c>
      <c r="J16" s="7">
        <v>92304315.923737437</v>
      </c>
      <c r="K16" s="7">
        <v>92381168.796519667</v>
      </c>
      <c r="L16" s="7">
        <v>95801534.501396626</v>
      </c>
      <c r="M16" s="7">
        <v>96058766.262987971</v>
      </c>
      <c r="N16" s="65">
        <f t="shared" si="0"/>
        <v>1113299205.6558962</v>
      </c>
    </row>
    <row r="17" spans="1:15" x14ac:dyDescent="0.2">
      <c r="A17" t="s">
        <v>85</v>
      </c>
      <c r="B17" s="7">
        <v>7739750.3808894176</v>
      </c>
      <c r="C17" s="7">
        <v>3834402.6388298068</v>
      </c>
      <c r="D17" s="7">
        <v>3635059.1118685761</v>
      </c>
      <c r="E17" s="7">
        <v>3733492.1267063362</v>
      </c>
      <c r="F17" s="7">
        <v>3265283.2220228999</v>
      </c>
      <c r="G17" s="7">
        <v>4124007.1718869279</v>
      </c>
      <c r="H17" s="7">
        <v>6769360.669073917</v>
      </c>
      <c r="I17" s="7">
        <v>12065991.791762078</v>
      </c>
      <c r="J17" s="7">
        <v>15995304.544423161</v>
      </c>
      <c r="K17" s="7">
        <v>21975557.841599174</v>
      </c>
      <c r="L17" s="7">
        <v>21766114.929709442</v>
      </c>
      <c r="M17" s="7">
        <v>14925026.741142521</v>
      </c>
      <c r="N17" s="65">
        <f t="shared" si="0"/>
        <v>119829351.16991426</v>
      </c>
    </row>
    <row r="18" spans="1:15" x14ac:dyDescent="0.2">
      <c r="A18" t="s">
        <v>86</v>
      </c>
      <c r="B18" s="7">
        <v>529634.88268816215</v>
      </c>
      <c r="C18" s="7">
        <v>279122.62629639974</v>
      </c>
      <c r="D18" s="7">
        <v>276221.01176759007</v>
      </c>
      <c r="E18" s="7">
        <v>293120.9876039321</v>
      </c>
      <c r="F18" s="7">
        <v>247154.96540386151</v>
      </c>
      <c r="G18" s="7">
        <v>268569.10663395945</v>
      </c>
      <c r="H18" s="7">
        <v>485937.46243416233</v>
      </c>
      <c r="I18" s="7">
        <v>792900.36708913429</v>
      </c>
      <c r="J18" s="7">
        <v>1168815.5646040207</v>
      </c>
      <c r="K18" s="7">
        <v>1762506.7776767076</v>
      </c>
      <c r="L18" s="7">
        <v>1589138.3522715869</v>
      </c>
      <c r="M18" s="7">
        <v>992315.34183824365</v>
      </c>
      <c r="N18" s="65">
        <f t="shared" si="0"/>
        <v>8685437.4463077616</v>
      </c>
    </row>
    <row r="19" spans="1:15" x14ac:dyDescent="0.2">
      <c r="A19" t="s">
        <v>87</v>
      </c>
      <c r="B19" s="7">
        <v>1659231.9683812247</v>
      </c>
      <c r="C19" s="7">
        <v>1648729.9896841152</v>
      </c>
      <c r="D19" s="7">
        <v>1633248.9877172466</v>
      </c>
      <c r="E19" s="7">
        <v>1525945.0664072267</v>
      </c>
      <c r="F19" s="7">
        <v>1504210.6625064076</v>
      </c>
      <c r="G19" s="7">
        <v>1506535.1899971869</v>
      </c>
      <c r="H19" s="7">
        <v>1503052.4514471977</v>
      </c>
      <c r="I19" s="7">
        <v>1495752.0990312933</v>
      </c>
      <c r="J19" s="7">
        <v>1491875.9970526437</v>
      </c>
      <c r="K19" s="7">
        <v>1487548.7332422216</v>
      </c>
      <c r="L19" s="7">
        <v>1479929.0624368056</v>
      </c>
      <c r="M19" s="7">
        <v>1467615.2121774405</v>
      </c>
      <c r="N19" s="65">
        <f t="shared" si="0"/>
        <v>18403675.420081012</v>
      </c>
    </row>
    <row r="20" spans="1:15" x14ac:dyDescent="0.2">
      <c r="N20" s="65">
        <f>SUM(N11:N19)</f>
        <v>5746576221.6562233</v>
      </c>
    </row>
    <row r="22" spans="1:15" x14ac:dyDescent="0.2">
      <c r="A22" t="s">
        <v>99</v>
      </c>
      <c r="B22" s="7">
        <v>35377434.002361275</v>
      </c>
      <c r="C22" s="7">
        <v>33354179.92916175</v>
      </c>
      <c r="D22" s="7">
        <v>35541620.07083825</v>
      </c>
      <c r="E22" s="7">
        <v>35256140.023612753</v>
      </c>
      <c r="F22" s="7">
        <v>31617518.063754432</v>
      </c>
      <c r="G22" s="7">
        <v>36750658.087367184</v>
      </c>
      <c r="H22" s="7">
        <v>34753100.118063755</v>
      </c>
      <c r="I22" s="7">
        <v>37865851.003541917</v>
      </c>
      <c r="J22" s="7">
        <v>35878777.922077931</v>
      </c>
      <c r="K22" s="7">
        <v>35352125.029515944</v>
      </c>
      <c r="L22" s="7">
        <v>36517893.034238487</v>
      </c>
      <c r="M22" s="7">
        <v>34156421.959858321</v>
      </c>
      <c r="N22" s="65">
        <f>SUM(B22:M22)</f>
        <v>422421719.24439192</v>
      </c>
      <c r="O22" t="s">
        <v>96</v>
      </c>
    </row>
    <row r="23" spans="1:15" x14ac:dyDescent="0.2">
      <c r="N23" s="65">
        <f>N20-N22</f>
        <v>5324154502.4118309</v>
      </c>
    </row>
    <row r="26" spans="1:15" x14ac:dyDescent="0.2">
      <c r="B26" s="64">
        <f>B10</f>
        <v>43009</v>
      </c>
      <c r="C26" s="64">
        <f t="shared" ref="C26:M26" si="1">C10</f>
        <v>43040</v>
      </c>
      <c r="D26" s="64">
        <f t="shared" si="1"/>
        <v>43070</v>
      </c>
      <c r="E26" s="64">
        <f t="shared" si="1"/>
        <v>43101</v>
      </c>
      <c r="F26" s="64">
        <f t="shared" si="1"/>
        <v>43132</v>
      </c>
      <c r="G26" s="64">
        <f t="shared" si="1"/>
        <v>43160</v>
      </c>
      <c r="H26" s="64">
        <f t="shared" si="1"/>
        <v>43191</v>
      </c>
      <c r="I26" s="64">
        <f t="shared" si="1"/>
        <v>43221</v>
      </c>
      <c r="J26" s="64">
        <f t="shared" si="1"/>
        <v>43252</v>
      </c>
      <c r="K26" s="64">
        <f t="shared" si="1"/>
        <v>43282</v>
      </c>
      <c r="L26" s="64">
        <f t="shared" si="1"/>
        <v>43313</v>
      </c>
      <c r="M26" s="64">
        <f t="shared" si="1"/>
        <v>43344</v>
      </c>
      <c r="N26" t="s">
        <v>33</v>
      </c>
    </row>
    <row r="27" spans="1:15" x14ac:dyDescent="0.2">
      <c r="A27" s="66" t="s">
        <v>88</v>
      </c>
      <c r="B27" s="7">
        <v>7299345.1137861935</v>
      </c>
      <c r="C27" s="7">
        <v>15592583.725541875</v>
      </c>
      <c r="D27" s="7">
        <v>22863759.926111203</v>
      </c>
      <c r="E27" s="7">
        <v>22259359.784387771</v>
      </c>
      <c r="F27" s="7">
        <v>17730048.644797206</v>
      </c>
      <c r="G27" s="7">
        <v>15093057.210189164</v>
      </c>
      <c r="H27" s="7">
        <v>9139987.4900691621</v>
      </c>
      <c r="I27" s="7">
        <v>4933991.2844133256</v>
      </c>
      <c r="J27" s="7">
        <v>2947345.4485411197</v>
      </c>
      <c r="K27" s="7">
        <v>2341775.4052680354</v>
      </c>
      <c r="L27" s="7">
        <v>2171370.1317786262</v>
      </c>
      <c r="M27" s="7">
        <v>2572701.7552712322</v>
      </c>
      <c r="N27" s="65">
        <f>SUM(B27:M27)</f>
        <v>124945325.9201549</v>
      </c>
    </row>
    <row r="28" spans="1:15" x14ac:dyDescent="0.2">
      <c r="A28" s="66" t="s">
        <v>89</v>
      </c>
      <c r="B28" s="7">
        <v>4249418.2761738179</v>
      </c>
      <c r="C28" s="7">
        <v>7058672.5333838966</v>
      </c>
      <c r="D28" s="7">
        <v>8505567.0078217182</v>
      </c>
      <c r="E28" s="7">
        <v>8156678.9415757209</v>
      </c>
      <c r="F28" s="7">
        <v>6452480.7768498259</v>
      </c>
      <c r="G28" s="7">
        <v>5578170.404466101</v>
      </c>
      <c r="H28" s="7">
        <v>3589018.9187041274</v>
      </c>
      <c r="I28" s="7">
        <v>2132626.0718039582</v>
      </c>
      <c r="J28" s="7">
        <v>1603324.9567756448</v>
      </c>
      <c r="K28" s="7">
        <v>1603390.1499723494</v>
      </c>
      <c r="L28" s="7">
        <v>1721494.0399613078</v>
      </c>
      <c r="M28" s="7">
        <v>2085011.0604412418</v>
      </c>
      <c r="N28" s="65">
        <f t="shared" ref="N28:N32" si="2">SUM(B28:M28)</f>
        <v>52735853.137929708</v>
      </c>
    </row>
    <row r="29" spans="1:15" x14ac:dyDescent="0.2">
      <c r="A29" s="66" t="s">
        <v>90</v>
      </c>
      <c r="B29" s="7">
        <v>448636.0086530156</v>
      </c>
      <c r="C29" s="7">
        <v>600836.29115375283</v>
      </c>
      <c r="D29" s="7">
        <v>551980.26543618122</v>
      </c>
      <c r="E29" s="7">
        <v>519727.73859013437</v>
      </c>
      <c r="F29" s="7">
        <v>481781.3386272582</v>
      </c>
      <c r="G29" s="7">
        <v>386209.59376304195</v>
      </c>
      <c r="H29" s="7">
        <v>286809.09172351839</v>
      </c>
      <c r="I29" s="7">
        <v>217201.1505908721</v>
      </c>
      <c r="J29" s="7">
        <v>191022.45945606695</v>
      </c>
      <c r="K29" s="7">
        <v>218783.46810150461</v>
      </c>
      <c r="L29" s="7">
        <v>246374.06281260759</v>
      </c>
      <c r="M29" s="7">
        <v>257982.81870442594</v>
      </c>
      <c r="N29" s="65">
        <f t="shared" si="2"/>
        <v>4407344.2876123805</v>
      </c>
    </row>
    <row r="30" spans="1:15" x14ac:dyDescent="0.2">
      <c r="A30" s="66" t="s">
        <v>91</v>
      </c>
      <c r="B30" s="7">
        <v>73038.485062302774</v>
      </c>
      <c r="C30" s="7">
        <v>122606.35504219359</v>
      </c>
      <c r="D30" s="7">
        <v>137409.33599749132</v>
      </c>
      <c r="E30" s="7">
        <v>139115.44453587584</v>
      </c>
      <c r="F30" s="7">
        <v>117360.6111497867</v>
      </c>
      <c r="G30" s="7">
        <v>103242.98744800191</v>
      </c>
      <c r="H30" s="7">
        <v>71885.50604078843</v>
      </c>
      <c r="I30" s="7">
        <v>52160.687655705784</v>
      </c>
      <c r="J30" s="7">
        <v>40631.400111988856</v>
      </c>
      <c r="K30" s="7">
        <v>36891.356126621657</v>
      </c>
      <c r="L30" s="7">
        <v>27985.967619872506</v>
      </c>
      <c r="M30" s="7">
        <v>30815.301618903115</v>
      </c>
      <c r="N30" s="65">
        <f t="shared" si="2"/>
        <v>953143.43840953242</v>
      </c>
    </row>
    <row r="31" spans="1:15" x14ac:dyDescent="0.2">
      <c r="A31" s="66" t="s">
        <v>92</v>
      </c>
      <c r="B31" s="7">
        <v>2175831</v>
      </c>
      <c r="C31" s="7">
        <v>2914237</v>
      </c>
      <c r="D31" s="7">
        <v>3245653</v>
      </c>
      <c r="E31" s="7">
        <v>3768507</v>
      </c>
      <c r="F31" s="7">
        <v>4014667</v>
      </c>
      <c r="G31" s="7">
        <v>3335227</v>
      </c>
      <c r="H31" s="7">
        <v>3363026</v>
      </c>
      <c r="I31" s="7">
        <v>2788406</v>
      </c>
      <c r="J31" s="7">
        <v>2366298</v>
      </c>
      <c r="K31" s="7">
        <v>2124081</v>
      </c>
      <c r="L31" s="7">
        <v>1983520</v>
      </c>
      <c r="M31" s="7">
        <v>2031865</v>
      </c>
      <c r="N31" s="65">
        <f t="shared" si="2"/>
        <v>34111318</v>
      </c>
    </row>
    <row r="32" spans="1:15" x14ac:dyDescent="0.2">
      <c r="A32" s="66" t="s">
        <v>93</v>
      </c>
      <c r="B32" s="7">
        <v>3483818</v>
      </c>
      <c r="C32" s="7">
        <v>4007883</v>
      </c>
      <c r="D32" s="7">
        <v>4396652</v>
      </c>
      <c r="E32" s="7">
        <v>4744657</v>
      </c>
      <c r="F32" s="7">
        <v>4855318</v>
      </c>
      <c r="G32" s="7">
        <v>4327876</v>
      </c>
      <c r="H32" s="7">
        <v>4349512</v>
      </c>
      <c r="I32" s="7">
        <v>3935607</v>
      </c>
      <c r="J32" s="7">
        <v>3619411</v>
      </c>
      <c r="K32" s="7">
        <v>3485178</v>
      </c>
      <c r="L32" s="7">
        <v>3311152</v>
      </c>
      <c r="M32" s="7">
        <v>3444386</v>
      </c>
      <c r="N32" s="65">
        <f t="shared" si="2"/>
        <v>47961450</v>
      </c>
    </row>
    <row r="33" spans="14:14" x14ac:dyDescent="0.2">
      <c r="N33" s="65">
        <f>SUM(N27:N32)</f>
        <v>265114434.78410652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J34"/>
  <sheetViews>
    <sheetView workbookViewId="0">
      <selection activeCell="C40" sqref="C40"/>
    </sheetView>
  </sheetViews>
  <sheetFormatPr defaultRowHeight="12.75" x14ac:dyDescent="0.2"/>
  <cols>
    <col min="1" max="1" width="12.140625" customWidth="1"/>
    <col min="2" max="2" width="19.42578125" bestFit="1" customWidth="1"/>
    <col min="3" max="3" width="20.7109375" bestFit="1" customWidth="1"/>
    <col min="4" max="4" width="11.28515625" bestFit="1" customWidth="1"/>
    <col min="6" max="6" width="11.140625" customWidth="1"/>
    <col min="7" max="7" width="19.42578125" bestFit="1" customWidth="1"/>
    <col min="8" max="8" width="20.7109375" bestFit="1" customWidth="1"/>
    <col min="9" max="9" width="11.85546875" bestFit="1" customWidth="1"/>
  </cols>
  <sheetData>
    <row r="3" spans="1:8" x14ac:dyDescent="0.2">
      <c r="A3" t="s">
        <v>113</v>
      </c>
      <c r="F3" t="s">
        <v>119</v>
      </c>
    </row>
    <row r="4" spans="1:8" x14ac:dyDescent="0.2">
      <c r="A4" t="s">
        <v>114</v>
      </c>
      <c r="F4" t="s">
        <v>120</v>
      </c>
    </row>
    <row r="5" spans="1:8" x14ac:dyDescent="0.2">
      <c r="A5" t="s">
        <v>115</v>
      </c>
      <c r="F5" t="s">
        <v>115</v>
      </c>
    </row>
    <row r="8" spans="1:8" x14ac:dyDescent="0.2">
      <c r="B8" t="s">
        <v>116</v>
      </c>
      <c r="C8" t="s">
        <v>117</v>
      </c>
      <c r="G8" t="s">
        <v>116</v>
      </c>
      <c r="H8" t="s">
        <v>117</v>
      </c>
    </row>
    <row r="9" spans="1:8" x14ac:dyDescent="0.2">
      <c r="A9" s="73">
        <v>42277</v>
      </c>
      <c r="B9" s="9">
        <v>0</v>
      </c>
      <c r="C9" s="9">
        <v>4240317</v>
      </c>
      <c r="F9" s="73">
        <v>42277</v>
      </c>
      <c r="G9" s="9">
        <v>0</v>
      </c>
      <c r="H9" s="9">
        <v>2203199</v>
      </c>
    </row>
    <row r="10" spans="1:8" x14ac:dyDescent="0.2">
      <c r="A10" s="73">
        <v>42308</v>
      </c>
      <c r="B10" s="9">
        <v>285159</v>
      </c>
      <c r="C10" s="9">
        <f>C9</f>
        <v>4240317</v>
      </c>
      <c r="F10" s="73">
        <v>42308</v>
      </c>
      <c r="G10" s="9">
        <v>70035</v>
      </c>
      <c r="H10" s="9">
        <f>H9</f>
        <v>2203199</v>
      </c>
    </row>
    <row r="11" spans="1:8" x14ac:dyDescent="0.2">
      <c r="A11" s="73">
        <v>42338</v>
      </c>
      <c r="B11" s="9">
        <v>601029</v>
      </c>
      <c r="C11" s="9">
        <f t="shared" ref="C11:C21" si="0">C10</f>
        <v>4240317</v>
      </c>
      <c r="F11" s="73">
        <v>42338</v>
      </c>
      <c r="G11" s="9">
        <v>228694</v>
      </c>
      <c r="H11" s="9">
        <f t="shared" ref="H11:H21" si="1">H10</f>
        <v>2203199</v>
      </c>
    </row>
    <row r="12" spans="1:8" x14ac:dyDescent="0.2">
      <c r="A12" s="73">
        <v>42369</v>
      </c>
      <c r="B12" s="9">
        <v>985758</v>
      </c>
      <c r="C12" s="9">
        <f t="shared" si="0"/>
        <v>4240317</v>
      </c>
      <c r="F12" s="73">
        <v>42369</v>
      </c>
      <c r="G12" s="9">
        <v>546312</v>
      </c>
      <c r="H12" s="9">
        <f t="shared" si="1"/>
        <v>2203199</v>
      </c>
    </row>
    <row r="13" spans="1:8" x14ac:dyDescent="0.2">
      <c r="A13" s="73">
        <v>42400</v>
      </c>
      <c r="B13" s="9">
        <v>1425918</v>
      </c>
      <c r="C13" s="9">
        <f t="shared" si="0"/>
        <v>4240317</v>
      </c>
      <c r="F13" s="73">
        <v>42400</v>
      </c>
      <c r="G13" s="9">
        <v>948894</v>
      </c>
      <c r="H13" s="9">
        <f t="shared" si="1"/>
        <v>2203199</v>
      </c>
    </row>
    <row r="14" spans="1:8" x14ac:dyDescent="0.2">
      <c r="A14" s="73">
        <v>42429</v>
      </c>
      <c r="B14" s="9">
        <v>1819183</v>
      </c>
      <c r="C14" s="9">
        <f t="shared" si="0"/>
        <v>4240317</v>
      </c>
      <c r="F14" s="73">
        <v>42429</v>
      </c>
      <c r="G14" s="9">
        <v>1292974</v>
      </c>
      <c r="H14" s="9">
        <f t="shared" si="1"/>
        <v>2203199</v>
      </c>
    </row>
    <row r="15" spans="1:8" x14ac:dyDescent="0.2">
      <c r="A15" s="73">
        <v>42460</v>
      </c>
      <c r="B15" s="9">
        <v>2147215</v>
      </c>
      <c r="C15" s="9">
        <f t="shared" si="0"/>
        <v>4240317</v>
      </c>
      <c r="F15" s="73">
        <v>42460</v>
      </c>
      <c r="G15" s="9">
        <v>1564571</v>
      </c>
      <c r="H15" s="9">
        <f t="shared" si="1"/>
        <v>2203199</v>
      </c>
    </row>
    <row r="16" spans="1:8" x14ac:dyDescent="0.2">
      <c r="A16" s="73">
        <v>42490</v>
      </c>
      <c r="B16" s="9">
        <v>2514233</v>
      </c>
      <c r="C16" s="9">
        <f t="shared" si="0"/>
        <v>4240317</v>
      </c>
      <c r="F16" s="73">
        <v>42490</v>
      </c>
      <c r="G16" s="9">
        <v>1765072</v>
      </c>
      <c r="H16" s="9">
        <f t="shared" si="1"/>
        <v>2203199</v>
      </c>
    </row>
    <row r="17" spans="1:10" x14ac:dyDescent="0.2">
      <c r="A17" s="73">
        <v>42521</v>
      </c>
      <c r="B17" s="9">
        <v>2837969</v>
      </c>
      <c r="C17" s="9">
        <f t="shared" si="0"/>
        <v>4240317</v>
      </c>
      <c r="F17" s="73">
        <v>42521</v>
      </c>
      <c r="G17" s="9">
        <v>1868794</v>
      </c>
      <c r="H17" s="9">
        <f t="shared" si="1"/>
        <v>2203199</v>
      </c>
    </row>
    <row r="18" spans="1:10" x14ac:dyDescent="0.2">
      <c r="A18" s="73">
        <v>42551</v>
      </c>
      <c r="B18" s="9">
        <v>3173621</v>
      </c>
      <c r="C18" s="9">
        <f t="shared" si="0"/>
        <v>4240317</v>
      </c>
      <c r="F18" s="73">
        <v>42551</v>
      </c>
      <c r="G18" s="9">
        <v>1950742</v>
      </c>
      <c r="H18" s="9">
        <f t="shared" si="1"/>
        <v>2203199</v>
      </c>
    </row>
    <row r="19" spans="1:10" x14ac:dyDescent="0.2">
      <c r="A19" s="73">
        <v>42582</v>
      </c>
      <c r="B19" s="9">
        <v>3528655</v>
      </c>
      <c r="C19" s="9">
        <f t="shared" si="0"/>
        <v>4240317</v>
      </c>
      <c r="F19" s="73">
        <v>42582</v>
      </c>
      <c r="G19" s="9">
        <v>2016716</v>
      </c>
      <c r="H19" s="9">
        <f t="shared" si="1"/>
        <v>2203199</v>
      </c>
    </row>
    <row r="20" spans="1:10" ht="13.5" thickBot="1" x14ac:dyDescent="0.25">
      <c r="A20" s="73">
        <v>42613</v>
      </c>
      <c r="B20" s="9">
        <v>3899356</v>
      </c>
      <c r="C20" s="9">
        <f t="shared" si="0"/>
        <v>4240317</v>
      </c>
      <c r="F20" s="73">
        <v>42613</v>
      </c>
      <c r="G20" s="9">
        <v>2073447</v>
      </c>
      <c r="H20" s="9">
        <f t="shared" si="1"/>
        <v>2203199</v>
      </c>
    </row>
    <row r="21" spans="1:10" ht="13.5" thickBot="1" x14ac:dyDescent="0.25">
      <c r="A21" s="73">
        <v>42643</v>
      </c>
      <c r="B21" s="9">
        <v>4268230.5999999996</v>
      </c>
      <c r="C21" s="9">
        <f t="shared" si="0"/>
        <v>4240317</v>
      </c>
      <c r="D21" s="74">
        <f>B21-C21</f>
        <v>27913.599999999627</v>
      </c>
      <c r="E21" s="75" t="s">
        <v>118</v>
      </c>
      <c r="F21" s="73">
        <v>42643</v>
      </c>
      <c r="G21" s="9">
        <v>2142327.59</v>
      </c>
      <c r="H21" s="9">
        <f t="shared" si="1"/>
        <v>2203199</v>
      </c>
      <c r="I21" s="74">
        <f>G21-H21</f>
        <v>-60871.410000000149</v>
      </c>
      <c r="J21" s="75" t="s">
        <v>121</v>
      </c>
    </row>
    <row r="23" spans="1:10" x14ac:dyDescent="0.2">
      <c r="A23" s="73"/>
      <c r="B23" s="9"/>
      <c r="C23" s="76">
        <f>4934334</f>
        <v>4934334</v>
      </c>
      <c r="F23" s="73"/>
      <c r="G23" s="9"/>
      <c r="H23" s="76">
        <v>2794541</v>
      </c>
    </row>
    <row r="24" spans="1:10" x14ac:dyDescent="0.2">
      <c r="A24" s="73">
        <v>42674</v>
      </c>
      <c r="B24" s="9">
        <v>329987.43987300002</v>
      </c>
      <c r="C24" s="9">
        <f>4934334*0.757</f>
        <v>3735290.838</v>
      </c>
      <c r="F24" s="73">
        <v>42674</v>
      </c>
      <c r="G24" s="7">
        <v>110487.83476500001</v>
      </c>
      <c r="H24" s="9">
        <f>2794541*0.928</f>
        <v>2593334.048</v>
      </c>
    </row>
    <row r="25" spans="1:10" x14ac:dyDescent="0.2">
      <c r="A25" s="73">
        <v>42704</v>
      </c>
      <c r="B25" s="9">
        <v>683665.65979599999</v>
      </c>
      <c r="C25" s="9">
        <f>C24</f>
        <v>3735290.838</v>
      </c>
      <c r="F25" s="73">
        <v>42704</v>
      </c>
      <c r="G25" s="7">
        <v>304534.25610300002</v>
      </c>
      <c r="H25" s="9">
        <f t="shared" ref="H25:H32" si="2">2794541*0.928</f>
        <v>2593334.048</v>
      </c>
    </row>
    <row r="26" spans="1:10" x14ac:dyDescent="0.2">
      <c r="A26" s="73">
        <v>42735</v>
      </c>
      <c r="B26" s="9">
        <v>1133293.0893339999</v>
      </c>
      <c r="C26" s="9">
        <f>C25</f>
        <v>3735290.838</v>
      </c>
      <c r="F26" s="73">
        <v>42735</v>
      </c>
      <c r="G26" s="7">
        <v>697551.70300199999</v>
      </c>
      <c r="H26" s="9">
        <f t="shared" si="2"/>
        <v>2593334.048</v>
      </c>
    </row>
    <row r="27" spans="1:10" x14ac:dyDescent="0.2">
      <c r="A27" s="73">
        <v>42766</v>
      </c>
      <c r="B27" s="9">
        <v>1681903.6233719999</v>
      </c>
      <c r="C27" s="9">
        <f t="shared" ref="C27:C32" si="3">C26</f>
        <v>3735290.838</v>
      </c>
      <c r="F27" s="73">
        <v>42766</v>
      </c>
      <c r="G27" s="7">
        <v>1307285.9254350001</v>
      </c>
      <c r="H27" s="9">
        <f t="shared" si="2"/>
        <v>2593334.048</v>
      </c>
    </row>
    <row r="28" spans="1:10" x14ac:dyDescent="0.2">
      <c r="A28" s="73">
        <v>42794</v>
      </c>
      <c r="B28" s="9">
        <v>2160009.850236</v>
      </c>
      <c r="C28" s="9">
        <f t="shared" si="3"/>
        <v>3735290.838</v>
      </c>
      <c r="F28" s="73">
        <v>42794</v>
      </c>
      <c r="G28" s="7">
        <v>1812590.0868600002</v>
      </c>
      <c r="H28" s="9">
        <f t="shared" si="2"/>
        <v>2593334.048</v>
      </c>
    </row>
    <row r="29" spans="1:10" x14ac:dyDescent="0.2">
      <c r="A29" s="73">
        <v>42825</v>
      </c>
      <c r="B29" s="9">
        <v>2581268.2134890002</v>
      </c>
      <c r="C29" s="9">
        <f t="shared" si="3"/>
        <v>3735290.838</v>
      </c>
      <c r="F29" s="73">
        <v>42825</v>
      </c>
      <c r="G29" s="7">
        <v>2196683.3694330002</v>
      </c>
      <c r="H29" s="9">
        <f t="shared" si="2"/>
        <v>2593334.048</v>
      </c>
    </row>
    <row r="30" spans="1:10" x14ac:dyDescent="0.2">
      <c r="A30" s="73">
        <v>42855</v>
      </c>
      <c r="B30" s="9">
        <v>2958820.6678100005</v>
      </c>
      <c r="C30" s="9">
        <f t="shared" si="3"/>
        <v>3735290.838</v>
      </c>
      <c r="F30" s="73">
        <v>42855</v>
      </c>
      <c r="G30" s="7">
        <v>2464107.2603280004</v>
      </c>
      <c r="H30" s="9">
        <f t="shared" si="2"/>
        <v>2593334.048</v>
      </c>
    </row>
    <row r="31" spans="1:10" x14ac:dyDescent="0.2">
      <c r="A31" s="73">
        <v>42886</v>
      </c>
      <c r="B31" s="9">
        <v>3307797.8557540006</v>
      </c>
      <c r="C31" s="9">
        <f t="shared" si="3"/>
        <v>3735290.838</v>
      </c>
      <c r="F31" s="73">
        <v>42886</v>
      </c>
      <c r="G31" s="7">
        <v>2644879.2129270006</v>
      </c>
      <c r="H31" s="9">
        <f t="shared" si="2"/>
        <v>2593334.048</v>
      </c>
    </row>
    <row r="32" spans="1:10" x14ac:dyDescent="0.2">
      <c r="A32" s="73">
        <v>42916</v>
      </c>
      <c r="B32" s="9">
        <v>3662314.6723310007</v>
      </c>
      <c r="C32" s="9">
        <f t="shared" si="3"/>
        <v>3735290.838</v>
      </c>
      <c r="D32" s="10">
        <f>B32-C32</f>
        <v>-72976.165668999311</v>
      </c>
      <c r="F32" s="73">
        <v>42916</v>
      </c>
      <c r="G32" s="7">
        <v>2742191.8375950004</v>
      </c>
      <c r="H32" s="9">
        <f t="shared" si="2"/>
        <v>2593334.048</v>
      </c>
      <c r="I32" s="9">
        <f>G32-H32</f>
        <v>148857.78959500045</v>
      </c>
    </row>
    <row r="33" spans="2:8" ht="13.5" thickBot="1" x14ac:dyDescent="0.25"/>
    <row r="34" spans="2:8" ht="13.5" thickBot="1" x14ac:dyDescent="0.25">
      <c r="B34" s="77">
        <f>B21-C21+B32-C32</f>
        <v>-45062.565668999683</v>
      </c>
      <c r="C34" s="78" t="s">
        <v>121</v>
      </c>
      <c r="G34" s="77">
        <f>G21-H21+G32-H32</f>
        <v>87986.379595000297</v>
      </c>
      <c r="H34" s="78" t="s">
        <v>118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2017-07-28T07:00:00+00:00</OpenedDate>
    <Date1 xmlns="dc463f71-b30c-4ab2-9473-d307f9d35888">2017-09-07T07:00:00+00:00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170846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A8A5EF114FADC46AC534D0A2C506E22" ma:contentTypeVersion="104" ma:contentTypeDescription="" ma:contentTypeScope="" ma:versionID="a71c67e854c64683aad03ab6a580ae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AF958F-ED9A-479B-97A8-C5F36EA9C72A}">
  <ds:schemaRefs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528E778-1D6A-476E-8E68-0D830BC808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F2AAC9-F2BA-455D-9E1F-37EA63073533}"/>
</file>

<file path=customXml/itemProps4.xml><?xml version="1.0" encoding="utf-8"?>
<ds:datastoreItem xmlns:ds="http://schemas.openxmlformats.org/officeDocument/2006/customXml" ds:itemID="{AAC6CBA1-6F72-4DB6-8AE4-6F8BB099C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Elec</vt:lpstr>
      <vt:lpstr>E Rev Conv</vt:lpstr>
      <vt:lpstr>Natural Gas</vt:lpstr>
      <vt:lpstr>G Rev Conv</vt:lpstr>
      <vt:lpstr>Forecast BD</vt:lpstr>
      <vt:lpstr>Prior Balances</vt:lpstr>
      <vt:lpstr>' Elec'!Print_Area</vt:lpstr>
      <vt:lpstr>'Natural Gas'!Print_Area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Huey, Lorilyn (UTC)</cp:lastModifiedBy>
  <cp:lastPrinted>2017-07-11T16:16:44Z</cp:lastPrinted>
  <dcterms:created xsi:type="dcterms:W3CDTF">2016-06-16T21:47:17Z</dcterms:created>
  <dcterms:modified xsi:type="dcterms:W3CDTF">2017-09-07T15:45:06Z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0x0101006E56B4D1795A2E4DB2F0B01679ED314A00FA8A5EF114FADC46AC534D0A2C506E22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