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iswc" sheetId="1" r:id="rId1"/>
    <sheet name="Balance Sheet" sheetId="2" r:id="rId2"/>
  </sheets>
  <definedNames>
    <definedName name="_xlnm.Print_Area" localSheetId="1">'Balance Sheet'!$P$7:$P$139</definedName>
    <definedName name="_xlnm.Print_Area" localSheetId="0">'iswc'!$C$8:$F$124</definedName>
    <definedName name="_xlnm.Print_Titles" localSheetId="1">'Balance Sheet'!$A:$B,'Balance Sheet'!$4:$6</definedName>
    <definedName name="_xlnm.Print_Titles" localSheetId="0">'iswc'!$A:$B,'iswc'!$1:$7</definedName>
    <definedName name="Z_D386E9E6_16C4_4585_B15E_618EE0B54CDF_.wvu.PrintArea" localSheetId="1" hidden="1">'Balance Sheet'!$P$7:$P$139</definedName>
    <definedName name="Z_D386E9E6_16C4_4585_B15E_618EE0B54CDF_.wvu.PrintArea" localSheetId="0" hidden="1">'iswc'!$C$8:$F$124</definedName>
    <definedName name="Z_D386E9E6_16C4_4585_B15E_618EE0B54CDF_.wvu.PrintTitles" localSheetId="1" hidden="1">'Balance Sheet'!$A:$B,'Balance Sheet'!$4:$6</definedName>
    <definedName name="Z_D386E9E6_16C4_4585_B15E_618EE0B54CDF_.wvu.PrintTitles" localSheetId="0" hidden="1">'iswc'!$A:$B,'iswc'!$1:$7</definedName>
  </definedNames>
  <calcPr fullCalcOnLoad="1"/>
</workbook>
</file>

<file path=xl/sharedStrings.xml><?xml version="1.0" encoding="utf-8"?>
<sst xmlns="http://schemas.openxmlformats.org/spreadsheetml/2006/main" count="282" uniqueCount="255">
  <si>
    <t>Interest And Dividends Receivable 171</t>
  </si>
  <si>
    <t>Capital Stock Expense 214</t>
  </si>
  <si>
    <t>Unamortized Discount On Long-Term Debt 226</t>
  </si>
  <si>
    <t>Accum Deferred Income Taxes-Liberalized Depn 282</t>
  </si>
  <si>
    <t>Assets And Other Debits</t>
  </si>
  <si>
    <t>Utility Plant</t>
  </si>
  <si>
    <t>Electric Plant In Service 101</t>
  </si>
  <si>
    <t>Property Under Capital Leases 101.1</t>
  </si>
  <si>
    <t>Electric Plant Purchased Or Sold 102</t>
  </si>
  <si>
    <t>Experimental Electric Plant - Unclassified 103</t>
  </si>
  <si>
    <t>Electric Plant Held For Future Use 105</t>
  </si>
  <si>
    <t>Completed Construction Not Classified 106</t>
  </si>
  <si>
    <t>Construction Work In Progress - Electric 107</t>
  </si>
  <si>
    <t>Electric Plant Acquisition Adjustments 114</t>
  </si>
  <si>
    <t>Other Utility Plant 118</t>
  </si>
  <si>
    <t>Nuclear Fuel 120.1 - 120.4</t>
  </si>
  <si>
    <t>Total Utility Plant</t>
  </si>
  <si>
    <t>Accum Prov For Depn Elect Plant In Service 108</t>
  </si>
  <si>
    <t>Accum Prov For Amort Elect Plant In Service 111</t>
  </si>
  <si>
    <t>Accum Prov For Depn Of Other Utility Plant 119</t>
  </si>
  <si>
    <t>Accum Prov For Amrt Of Nuclear Fuel Assmb 120.5</t>
  </si>
  <si>
    <t>Utility Plant - Net</t>
  </si>
  <si>
    <t>Nonutility Property And Investments</t>
  </si>
  <si>
    <t>Nonutility Property 121</t>
  </si>
  <si>
    <t>Accum Prov For Depr/Amort Of Nonutility Prop 122</t>
  </si>
  <si>
    <t>Investment In Associated Companies 123</t>
  </si>
  <si>
    <t>Investment In Subsidiary Companies 123.1</t>
  </si>
  <si>
    <t>Other Investments 124</t>
  </si>
  <si>
    <t>Other Special Funds 128</t>
  </si>
  <si>
    <t>Total Nonutility Property And Investments</t>
  </si>
  <si>
    <t>Current And Accrued Assets</t>
  </si>
  <si>
    <t>Cash 131</t>
  </si>
  <si>
    <t>Special Deposits 132 - 134</t>
  </si>
  <si>
    <t>Working Funds 135</t>
  </si>
  <si>
    <t>Temporary Cash Investments 136</t>
  </si>
  <si>
    <t>Notes Receivable 141</t>
  </si>
  <si>
    <t>Customer Accounts Receivable  142</t>
  </si>
  <si>
    <t>Other Accounts Receivable 143</t>
  </si>
  <si>
    <t>Notes Receivable From Associated Companies 145</t>
  </si>
  <si>
    <t>Accounts Receivable From Associated Companies 146</t>
  </si>
  <si>
    <t>Fuel Stock 151 - 152</t>
  </si>
  <si>
    <t>Materials And Supplies 154 - 163</t>
  </si>
  <si>
    <t>Prepayments 165</t>
  </si>
  <si>
    <t>Rents Receivable 172</t>
  </si>
  <si>
    <t>Accrued Utility Revenues 173</t>
  </si>
  <si>
    <t>Miscellaneous  Current And Accrued Assets 174</t>
  </si>
  <si>
    <t>Total Current And Accrued Assets</t>
  </si>
  <si>
    <t>Deferred Debits</t>
  </si>
  <si>
    <t>Unamortized Debt Expense 181</t>
  </si>
  <si>
    <t>Extraordinary Property Losses 182.1</t>
  </si>
  <si>
    <t>Unrecovered Plant And Regulatory Study Costs 182.2</t>
  </si>
  <si>
    <t>Other Regulatory Assets 182.3</t>
  </si>
  <si>
    <t>Preliminary Survey &amp; Investigation Charges 183</t>
  </si>
  <si>
    <t>Clearing Accounts 184</t>
  </si>
  <si>
    <t>Temporary Facilities 185</t>
  </si>
  <si>
    <t>Miscellaneous Deferred Debits 186</t>
  </si>
  <si>
    <t>Research Development &amp; Demonstration Expend 188</t>
  </si>
  <si>
    <t>Unamortized Loss On Reaquired Debt 189</t>
  </si>
  <si>
    <t>Accumulated Deferred Income Taxes 190</t>
  </si>
  <si>
    <t>Total Deferred Debits</t>
  </si>
  <si>
    <t>Total Assets And Other Debits</t>
  </si>
  <si>
    <t>Liabilities And Other Credits</t>
  </si>
  <si>
    <t>Common Stock Issued 201</t>
  </si>
  <si>
    <t>Common Stock Liability For Conversion 203</t>
  </si>
  <si>
    <t>Premium On Capital Stock 207</t>
  </si>
  <si>
    <t>Other Paid In Capital 208 - 211</t>
  </si>
  <si>
    <t>Installments Received On Capital Stock 212</t>
  </si>
  <si>
    <t>Retained Earnings 215.1, 216</t>
  </si>
  <si>
    <t>Reacquired Capital Stock 217</t>
  </si>
  <si>
    <t>Preferred Stock Issued 204</t>
  </si>
  <si>
    <t>Long-Term Debt</t>
  </si>
  <si>
    <t>Bonds 221</t>
  </si>
  <si>
    <t>Plnt Cnt Funds On Deposit With Trustee 221.4, 5</t>
  </si>
  <si>
    <t>Advances From Associated Companies 223</t>
  </si>
  <si>
    <t>Other Long-Term Debt 224</t>
  </si>
  <si>
    <t>Unamortized Premium On Long-Term Debt 225</t>
  </si>
  <si>
    <t>Total Long-Term Debt</t>
  </si>
  <si>
    <t>Total Capitalization</t>
  </si>
  <si>
    <t>Other Noncurrent Liabilities</t>
  </si>
  <si>
    <t>Obligations Under Capital Leases 227</t>
  </si>
  <si>
    <t>Accumulated Prov For Property Insurance 228.1</t>
  </si>
  <si>
    <t>Accumulated Prov For Injuries And Damages 228.2</t>
  </si>
  <si>
    <t>Accumulated Prov For Pensions And Benefits 228.3</t>
  </si>
  <si>
    <t>Accumulated Misc Operating Provisions 228.4</t>
  </si>
  <si>
    <t>Accumulated Provision For Rate Refunds 229</t>
  </si>
  <si>
    <t>Total Other Noncurrent Liabilities</t>
  </si>
  <si>
    <t>Current And Accrued Liabilities</t>
  </si>
  <si>
    <t>Notes Payable 231</t>
  </si>
  <si>
    <t>Accounts Payable 232</t>
  </si>
  <si>
    <t>Notes Payable To Associated Companies 233</t>
  </si>
  <si>
    <t>Accounts Payable To Associated Companies 234</t>
  </si>
  <si>
    <t>Customer Deposits 235</t>
  </si>
  <si>
    <t>Taxes Accrued 236</t>
  </si>
  <si>
    <t>Interest Accrued 237</t>
  </si>
  <si>
    <t>Dividends Declared 238</t>
  </si>
  <si>
    <t>Matured Long-Term Debt 239</t>
  </si>
  <si>
    <t>Matured Interest 240</t>
  </si>
  <si>
    <t>Tax Collections Payable 241</t>
  </si>
  <si>
    <t>Miscellaneous Current &amp; Accrued Liabilities 242</t>
  </si>
  <si>
    <t>Obligations Under Capital Leases 243</t>
  </si>
  <si>
    <t>Total Current And Accrued Liabilities</t>
  </si>
  <si>
    <t>Deferred Credits</t>
  </si>
  <si>
    <t>Customer Advances For Construction 252</t>
  </si>
  <si>
    <t>Other Deferred Credits 253</t>
  </si>
  <si>
    <t>Other Regulatory Liabilities 254</t>
  </si>
  <si>
    <t>Accumulated Deferred Investment Tax Credits 255</t>
  </si>
  <si>
    <t>Unamortized Gain On Reacquired Debt 257</t>
  </si>
  <si>
    <t>Accum Deferred Income Taxes-Accel Amort  281</t>
  </si>
  <si>
    <t>Accumulated Deferred Income Taxes - Other 283</t>
  </si>
  <si>
    <t>Long-term portion of derivative assets  175</t>
  </si>
  <si>
    <t>Long-term portion of derivative assets - Hedges 176</t>
  </si>
  <si>
    <t>(Less) Long-term portion of derivative instrument assets  175</t>
  </si>
  <si>
    <t>(Less) Long-term portion of derivative instrument assets - hedges 176</t>
  </si>
  <si>
    <t>Proprietary Capital</t>
  </si>
  <si>
    <t>Total Proprietary Capital</t>
  </si>
  <si>
    <t>End Balance</t>
  </si>
  <si>
    <t>Total Deferred Credits</t>
  </si>
  <si>
    <t>Total Liabilities And Other Credits</t>
  </si>
  <si>
    <t>Accum Prov For Asset Acquisition Adjustment 115</t>
  </si>
  <si>
    <t>Accumulated Other Comprehensive Income 219</t>
  </si>
  <si>
    <t>Derivative Instrument Liabilities 244</t>
  </si>
  <si>
    <t>Derivative Instrument Liabilities - Hedges 245</t>
  </si>
  <si>
    <t>Derivative Instrument Assets 175</t>
  </si>
  <si>
    <t>Derivative Instrument Assets - Hedges 176</t>
  </si>
  <si>
    <t>Asset Retirement Obligation 230</t>
  </si>
  <si>
    <t>(Less) Accumulated Prov For Uncollectible Accounts 144</t>
  </si>
  <si>
    <t>Current portion of derivative instrument liabilities</t>
  </si>
  <si>
    <t>Current portion of derivative instrument liabilities - hedges</t>
  </si>
  <si>
    <t>(Less) Current portion of derivative instrument liabilities 244</t>
  </si>
  <si>
    <t>(Less) Current portion of derivative instrument liabilities - hedges</t>
  </si>
  <si>
    <t>13-month average</t>
  </si>
  <si>
    <t>Source:  PacifiCorp Response to Staff Data Request 26</t>
  </si>
  <si>
    <t>MONTHLY BALANCE SHEET</t>
  </si>
  <si>
    <t>Pacific Power &amp; Light Company</t>
  </si>
  <si>
    <t>Investor Supplied Working Capital</t>
  </si>
  <si>
    <t>Source:</t>
  </si>
  <si>
    <t>Description</t>
  </si>
  <si>
    <t>Account Balance</t>
  </si>
  <si>
    <t>Notes:</t>
  </si>
  <si>
    <t>Average Invested Capital</t>
  </si>
  <si>
    <t>201, 208-211, 214, 215.1, 216</t>
  </si>
  <si>
    <t>Common Equity</t>
  </si>
  <si>
    <t>Preferred Stock</t>
  </si>
  <si>
    <t>221-226, 257, 181, 189</t>
  </si>
  <si>
    <t>Misc. Debt</t>
  </si>
  <si>
    <t>Accumulated Other Comprehensive Income</t>
  </si>
  <si>
    <t>Notes Payable</t>
  </si>
  <si>
    <t>Total Average Invested Capital</t>
  </si>
  <si>
    <t>Average Investments</t>
  </si>
  <si>
    <t>Operating:</t>
  </si>
  <si>
    <t>101, 102, 106</t>
  </si>
  <si>
    <t>Plant in Service</t>
  </si>
  <si>
    <t>1*</t>
  </si>
  <si>
    <t>Plant Held for Future Use</t>
  </si>
  <si>
    <t>Acquisition Adjustments</t>
  </si>
  <si>
    <t>Accum Prov For Asset Acquisition Adjustment</t>
  </si>
  <si>
    <t>Accumulated Depreciation</t>
  </si>
  <si>
    <t>Accumulated Amortization</t>
  </si>
  <si>
    <t>Note Receivable</t>
  </si>
  <si>
    <t>Deferred Income Taxes</t>
  </si>
  <si>
    <t>190 on AMA</t>
  </si>
  <si>
    <t xml:space="preserve">Deferred Income Tax </t>
  </si>
  <si>
    <t>Deferred Income Tax</t>
  </si>
  <si>
    <t>Total Deferred Income Tax</t>
  </si>
  <si>
    <t>2*</t>
  </si>
  <si>
    <t>Total Other Regulatory Assets</t>
  </si>
  <si>
    <t>Misc. Deferred Debits</t>
  </si>
  <si>
    <t xml:space="preserve">Misc. Deferred Credits </t>
  </si>
  <si>
    <t>Other Regulatory Liabilities</t>
  </si>
  <si>
    <t>Customer Advances in Aid of Construction</t>
  </si>
  <si>
    <t>Customer Deposits</t>
  </si>
  <si>
    <t>Sub-Total Average Operating Investment</t>
  </si>
  <si>
    <t>Non-Operating &amp; Other:</t>
  </si>
  <si>
    <t>Non-utility plant, Tab B8</t>
  </si>
  <si>
    <t>Non-utility plant Accum. Depr., Tab B17</t>
  </si>
  <si>
    <t>Construction Work in Progress (CWIP)</t>
  </si>
  <si>
    <t>Non-WA Plant Acquisition Adjustment (net)</t>
  </si>
  <si>
    <t>121, 123, 124</t>
  </si>
  <si>
    <t>Non-Utility Property</t>
  </si>
  <si>
    <t>Unrecovered Plant/Regulatory Study Costs</t>
  </si>
  <si>
    <t>Plus Non-utility Regulatory Assets</t>
  </si>
  <si>
    <t>Plant under Capital Lease</t>
  </si>
  <si>
    <t>Preliminary Survey &amp; Investigations</t>
  </si>
  <si>
    <t>Non-utility misc. deferred debits, Tab B11, p 4</t>
  </si>
  <si>
    <t>Deferred Income Taxes -- Non-Utility</t>
  </si>
  <si>
    <t>Non-utility deferred income tax</t>
  </si>
  <si>
    <t>Temporary Cash Investments</t>
  </si>
  <si>
    <t>Note Receivable from Assoc. Companies</t>
  </si>
  <si>
    <t>132-134</t>
  </si>
  <si>
    <t>Other Investments and Special Funds</t>
  </si>
  <si>
    <t>Non utilty, Tab B20</t>
  </si>
  <si>
    <t>Non-utility, Tab B15, p7</t>
  </si>
  <si>
    <t xml:space="preserve"> 227, 243</t>
  </si>
  <si>
    <t xml:space="preserve">Capital lease obligation </t>
  </si>
  <si>
    <t>Sub-Total Non-Operating &amp; Other</t>
  </si>
  <si>
    <t>Non-utility % of total</t>
  </si>
  <si>
    <t>Footnotes:</t>
  </si>
  <si>
    <t xml:space="preserve"> All deferred income taxes on Average of Monthly Average balances</t>
  </si>
  <si>
    <t>Tab B19, p 3</t>
  </si>
  <si>
    <t>Tab B19, p 5</t>
  </si>
  <si>
    <t>Tab B11, P. 4</t>
  </si>
  <si>
    <t>Tab B15, P. 4</t>
  </si>
  <si>
    <t>182M</t>
  </si>
  <si>
    <t>Twelve Months Ended March 31, 2006</t>
  </si>
  <si>
    <t>WA on SO factor</t>
  </si>
  <si>
    <t>145, 233, 234</t>
  </si>
  <si>
    <t>DR 89 detail, 1823109</t>
  </si>
  <si>
    <t>Tab B8, p 16</t>
  </si>
  <si>
    <t>Deferred Income Tax Credits</t>
  </si>
  <si>
    <t>Tab B19</t>
  </si>
  <si>
    <t>Non-utility  Deferred Investment Tax Credits</t>
  </si>
  <si>
    <t xml:space="preserve">FERC Account or </t>
  </si>
  <si>
    <t>Tab # in Ex. PMW-4</t>
  </si>
  <si>
    <t>Includes accruals for asset retirement accounts and franchises (acct 302)</t>
  </si>
  <si>
    <t>ARO accrued liability</t>
  </si>
  <si>
    <t>Tab B17, p 13</t>
  </si>
  <si>
    <t>Tab B19, p 1 of 1</t>
  </si>
  <si>
    <t>Non-utility DIT, Tab B19, p 3</t>
  </si>
  <si>
    <t>DIT non utility, Tab B19, p 5</t>
  </si>
  <si>
    <t>Other Regulatory Assets</t>
  </si>
  <si>
    <t>Less Non-utility Other Regulatory Assets</t>
  </si>
  <si>
    <t>FAS 109 Income Taxes Electric</t>
  </si>
  <si>
    <t>Tab B11, p 3, acct 182399</t>
  </si>
  <si>
    <t>175, 244</t>
  </si>
  <si>
    <t>DR 89 detail, 182399.186901</t>
  </si>
  <si>
    <t>Non-utility, Tab B15, p4</t>
  </si>
  <si>
    <t>228.3, 228.4</t>
  </si>
  <si>
    <t>Non-utility, Pensions &amp; Hydro Relicensing liabilities</t>
  </si>
  <si>
    <t>net of FAS 133 derivative related accounts</t>
  </si>
  <si>
    <t>Avg. of Monthly Avg.</t>
  </si>
  <si>
    <t>For the Period Ending March 31, 2006</t>
  </si>
  <si>
    <t>PacifiCorp Balance Sheet</t>
  </si>
  <si>
    <t>less Utility Asset-Bridger Mine (to line 20)</t>
  </si>
  <si>
    <t>Tab 8, p. 8.3.1</t>
  </si>
  <si>
    <t>Bridger Mine less current assets (from line 81)</t>
  </si>
  <si>
    <t>3*</t>
  </si>
  <si>
    <t xml:space="preserve">Transfers Bridger Mine from non-operating assets to operating assets, current asset portion treated as working capital </t>
  </si>
  <si>
    <t>AMA</t>
  </si>
  <si>
    <t>Relating to Adjustments 8.1, 8.3, 8.14, 8.15, and 8.16</t>
  </si>
  <si>
    <t>Operating Company Working Capital</t>
  </si>
  <si>
    <r>
      <t xml:space="preserve">less non-utility Plant in Service (to line </t>
    </r>
    <r>
      <rPr>
        <strike/>
        <sz val="12"/>
        <rFont val="Times New Roman"/>
        <family val="1"/>
      </rPr>
      <t xml:space="preserve">72 </t>
    </r>
    <r>
      <rPr>
        <u val="single"/>
        <sz val="12"/>
        <rFont val="Times New Roman"/>
        <family val="1"/>
      </rPr>
      <t>73</t>
    </r>
    <r>
      <rPr>
        <sz val="12"/>
        <rFont val="Times New Roman"/>
        <family val="1"/>
      </rPr>
      <t>)</t>
    </r>
  </si>
  <si>
    <r>
      <t xml:space="preserve">less Non-utility Accum. Depreciation (to line </t>
    </r>
    <r>
      <rPr>
        <strike/>
        <sz val="12"/>
        <rFont val="Times New Roman"/>
        <family val="1"/>
      </rPr>
      <t>73</t>
    </r>
    <r>
      <rPr>
        <u val="single"/>
        <sz val="12"/>
        <rFont val="Times New Roman"/>
        <family val="1"/>
      </rPr>
      <t xml:space="preserve"> 74</t>
    </r>
    <r>
      <rPr>
        <sz val="12"/>
        <rFont val="Times New Roman"/>
        <family val="1"/>
      </rPr>
      <t>)</t>
    </r>
  </si>
  <si>
    <r>
      <t xml:space="preserve">less non-utility DIT (to line </t>
    </r>
    <r>
      <rPr>
        <strike/>
        <sz val="12"/>
        <rFont val="Times New Roman"/>
        <family val="1"/>
      </rPr>
      <t>93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>96</t>
    </r>
    <r>
      <rPr>
        <sz val="12"/>
        <rFont val="Times New Roman"/>
        <family val="1"/>
      </rPr>
      <t>)</t>
    </r>
  </si>
  <si>
    <r>
      <t xml:space="preserve">Less non-utility tax credits (to line </t>
    </r>
    <r>
      <rPr>
        <strike/>
        <sz val="12"/>
        <rFont val="Times New Roman"/>
        <family val="1"/>
      </rPr>
      <t>106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>109</t>
    </r>
    <r>
      <rPr>
        <sz val="12"/>
        <rFont val="Times New Roman"/>
        <family val="1"/>
      </rPr>
      <t>)</t>
    </r>
  </si>
  <si>
    <r>
      <t xml:space="preserve">less Non-utility DIT (to line </t>
    </r>
    <r>
      <rPr>
        <strike/>
        <sz val="12"/>
        <rFont val="Times New Roman"/>
        <family val="1"/>
      </rPr>
      <t>80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>97</t>
    </r>
    <r>
      <rPr>
        <sz val="12"/>
        <rFont val="Times New Roman"/>
        <family val="1"/>
      </rPr>
      <t>)</t>
    </r>
  </si>
  <si>
    <r>
      <t xml:space="preserve">less Non-utility DIT (to line </t>
    </r>
    <r>
      <rPr>
        <strike/>
        <sz val="12"/>
        <rFont val="Times New Roman"/>
        <family val="1"/>
      </rPr>
      <t>95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>98</t>
    </r>
    <r>
      <rPr>
        <sz val="12"/>
        <rFont val="Times New Roman"/>
        <family val="1"/>
      </rPr>
      <t>)</t>
    </r>
  </si>
  <si>
    <r>
      <t xml:space="preserve">Misc. Deferred Assets (to line </t>
    </r>
    <r>
      <rPr>
        <strike/>
        <sz val="12"/>
        <rFont val="Times New Roman"/>
        <family val="1"/>
      </rPr>
      <t>84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>86</t>
    </r>
    <r>
      <rPr>
        <sz val="12"/>
        <rFont val="Times New Roman"/>
        <family val="1"/>
      </rPr>
      <t>)</t>
    </r>
  </si>
  <si>
    <r>
      <t xml:space="preserve">FAS 109 Income Taxes Electric (to line </t>
    </r>
    <r>
      <rPr>
        <strike/>
        <sz val="12"/>
        <rFont val="Times New Roman"/>
        <family val="1"/>
      </rPr>
      <t>85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>87</t>
    </r>
    <r>
      <rPr>
        <sz val="12"/>
        <rFont val="Times New Roman"/>
        <family val="1"/>
      </rPr>
      <t>)</t>
    </r>
  </si>
  <si>
    <r>
      <t xml:space="preserve">FAS 133 derivatives, etc (to line </t>
    </r>
    <r>
      <rPr>
        <strike/>
        <sz val="12"/>
        <rFont val="Times New Roman"/>
        <family val="1"/>
      </rPr>
      <t>86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>88</t>
    </r>
    <r>
      <rPr>
        <sz val="12"/>
        <rFont val="Times New Roman"/>
        <family val="1"/>
      </rPr>
      <t>)</t>
    </r>
  </si>
  <si>
    <r>
      <t xml:space="preserve">less Non-utility Misc. Deferred Debits (to line </t>
    </r>
    <r>
      <rPr>
        <strike/>
        <sz val="12"/>
        <rFont val="Times New Roman"/>
        <family val="1"/>
      </rPr>
      <t>91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>93</t>
    </r>
    <r>
      <rPr>
        <sz val="12"/>
        <rFont val="Times New Roman"/>
        <family val="1"/>
      </rPr>
      <t>)</t>
    </r>
  </si>
  <si>
    <r>
      <t xml:space="preserve">Less Non-utility Misc. Deferred Credits (to line </t>
    </r>
    <r>
      <rPr>
        <strike/>
        <sz val="12"/>
        <rFont val="Times New Roman"/>
        <family val="1"/>
      </rPr>
      <t>105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>107</t>
    </r>
    <r>
      <rPr>
        <sz val="12"/>
        <rFont val="Times New Roman"/>
        <family val="1"/>
      </rPr>
      <t>)</t>
    </r>
  </si>
  <si>
    <r>
      <t xml:space="preserve">Less Non-utility Other Regulatory Liabilities (to line </t>
    </r>
    <r>
      <rPr>
        <strike/>
        <sz val="12"/>
        <rFont val="Times New Roman"/>
        <family val="1"/>
      </rPr>
      <t>106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>108</t>
    </r>
    <r>
      <rPr>
        <sz val="12"/>
        <rFont val="Times New Roman"/>
        <family val="1"/>
      </rPr>
      <t>)</t>
    </r>
  </si>
  <si>
    <r>
      <t xml:space="preserve">Misc. Deferred Assets (from line </t>
    </r>
    <r>
      <rPr>
        <strike/>
        <sz val="12"/>
        <rFont val="Times New Roman"/>
        <family val="1"/>
      </rPr>
      <t>38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>50</t>
    </r>
    <r>
      <rPr>
        <sz val="12"/>
        <rFont val="Times New Roman"/>
        <family val="1"/>
      </rPr>
      <t>)</t>
    </r>
  </si>
  <si>
    <r>
      <t xml:space="preserve">Total Average Investment (line </t>
    </r>
    <r>
      <rPr>
        <b/>
        <strike/>
        <sz val="12"/>
        <rFont val="Times New Roman"/>
        <family val="1"/>
      </rPr>
      <t>58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70</t>
    </r>
    <r>
      <rPr>
        <b/>
        <sz val="12"/>
        <rFont val="Times New Roman"/>
        <family val="1"/>
      </rPr>
      <t xml:space="preserve"> + line </t>
    </r>
    <r>
      <rPr>
        <b/>
        <strike/>
        <sz val="12"/>
        <rFont val="Times New Roman"/>
        <family val="1"/>
      </rPr>
      <t>98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112</t>
    </r>
    <r>
      <rPr>
        <b/>
        <sz val="12"/>
        <rFont val="Times New Roman"/>
        <family val="1"/>
      </rPr>
      <t>)</t>
    </r>
  </si>
  <si>
    <r>
      <t xml:space="preserve">Investor Supplied Working Capital (line </t>
    </r>
    <r>
      <rPr>
        <b/>
        <strike/>
        <sz val="12"/>
        <rFont val="Times New Roman"/>
        <family val="1"/>
      </rPr>
      <t>8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15</t>
    </r>
    <r>
      <rPr>
        <b/>
        <sz val="12"/>
        <rFont val="Times New Roman"/>
        <family val="1"/>
      </rPr>
      <t xml:space="preserve"> - line </t>
    </r>
    <r>
      <rPr>
        <b/>
        <strike/>
        <sz val="12"/>
        <rFont val="Times New Roman"/>
        <family val="1"/>
      </rPr>
      <t>100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114</t>
    </r>
    <r>
      <rPr>
        <b/>
        <sz val="12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</si>
</sst>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&quot;$&quot;* #,##0_);_(&quot;$&quot;* \(#,##0\);_(&quot;$&quot;* &quot;-&quot;??_);_(@_)"/>
    <numFmt numFmtId="166" formatCode="mmm\-yyyy"/>
    <numFmt numFmtId="167" formatCode="[$-409]h:mm:ss\ AM/PM"/>
    <numFmt numFmtId="168" formatCode="[$-409]dddd\,\ mmmm\ dd\,\ yyyy"/>
    <numFmt numFmtId="169" formatCode="[$-409]mmmm\ d\,\ yyyy;@"/>
    <numFmt numFmtId="170" formatCode="0.0%"/>
    <numFmt numFmtId="171" formatCode="0.000%"/>
    <numFmt numFmtId="172" formatCode="0.0000%"/>
    <numFmt numFmtId="173" formatCode="0.00000%"/>
    <numFmt numFmtId="174" formatCode="_(* #,##0.0_);_(* \(#,##0.0\);_(* &quot;-&quot;??_);_(@_)"/>
    <numFmt numFmtId="175" formatCode="_(* #,##0_);_(* \(#,##0\);_(* &quot;-&quot;??_);_(@_)"/>
    <numFmt numFmtId="176" formatCode="_(&quot;$&quot;* #,##0.0_);_(&quot;$&quot;* \(#,##0.0\);_(&quot;$&quot;* &quot;-&quot;??_);_(@_)"/>
  </numFmts>
  <fonts count="15">
    <font>
      <sz val="10"/>
      <name val="Arial"/>
      <family val="0"/>
    </font>
    <font>
      <sz val="8"/>
      <name val="Arial"/>
      <family val="2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color indexed="14"/>
      <name val="Times New Roman"/>
      <family val="1"/>
    </font>
    <font>
      <strike/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b/>
      <strike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9" fontId="4" fillId="0" borderId="0" xfId="23" applyNumberFormat="1" applyFont="1" applyFill="1" applyBorder="1" applyAlignment="1">
      <alignment horizontal="center"/>
      <protection/>
    </xf>
    <xf numFmtId="169" fontId="4" fillId="0" borderId="0" xfId="0" applyNumberFormat="1" applyFont="1" applyFill="1" applyBorder="1" applyAlignment="1">
      <alignment horizontal="center"/>
    </xf>
    <xf numFmtId="0" fontId="5" fillId="0" borderId="0" xfId="23" applyFont="1" applyFill="1" applyBorder="1" applyAlignment="1">
      <alignment horizontal="center"/>
      <protection/>
    </xf>
    <xf numFmtId="41" fontId="4" fillId="0" borderId="0" xfId="23" applyNumberFormat="1" applyFont="1" applyFill="1" applyBorder="1">
      <alignment/>
      <protection/>
    </xf>
    <xf numFmtId="41" fontId="4" fillId="0" borderId="0" xfId="0" applyNumberFormat="1" applyFont="1" applyFill="1" applyBorder="1" applyAlignment="1">
      <alignment/>
    </xf>
    <xf numFmtId="0" fontId="4" fillId="0" borderId="1" xfId="23" applyFont="1" applyBorder="1">
      <alignment/>
      <protection/>
    </xf>
    <xf numFmtId="41" fontId="4" fillId="0" borderId="2" xfId="17" applyNumberFormat="1" applyFont="1" applyFill="1" applyBorder="1" applyAlignment="1">
      <alignment/>
    </xf>
    <xf numFmtId="41" fontId="4" fillId="0" borderId="3" xfId="23" applyNumberFormat="1" applyFont="1" applyFill="1" applyBorder="1">
      <alignment/>
      <protection/>
    </xf>
    <xf numFmtId="41" fontId="4" fillId="0" borderId="3" xfId="21" applyNumberFormat="1" applyFont="1" applyFill="1" applyBorder="1">
      <alignment/>
      <protection/>
    </xf>
    <xf numFmtId="41" fontId="4" fillId="0" borderId="3" xfId="22" applyNumberFormat="1" applyFont="1" applyFill="1" applyBorder="1">
      <alignment/>
      <protection/>
    </xf>
    <xf numFmtId="41" fontId="4" fillId="0" borderId="3" xfId="15" applyNumberFormat="1" applyFont="1" applyFill="1" applyBorder="1" applyAlignment="1">
      <alignment/>
    </xf>
    <xf numFmtId="41" fontId="4" fillId="0" borderId="3" xfId="17" applyNumberFormat="1" applyFont="1" applyFill="1" applyBorder="1" applyAlignment="1">
      <alignment/>
    </xf>
    <xf numFmtId="0" fontId="4" fillId="0" borderId="1" xfId="23" applyFont="1" applyBorder="1" applyAlignment="1">
      <alignment horizontal="right"/>
      <protection/>
    </xf>
    <xf numFmtId="41" fontId="4" fillId="2" borderId="3" xfId="23" applyNumberFormat="1" applyFont="1" applyFill="1" applyBorder="1">
      <alignment/>
      <protection/>
    </xf>
    <xf numFmtId="41" fontId="4" fillId="2" borderId="3" xfId="21" applyNumberFormat="1" applyFont="1" applyFill="1" applyBorder="1">
      <alignment/>
      <protection/>
    </xf>
    <xf numFmtId="41" fontId="4" fillId="2" borderId="3" xfId="22" applyNumberFormat="1" applyFont="1" applyFill="1" applyBorder="1">
      <alignment/>
      <protection/>
    </xf>
    <xf numFmtId="41" fontId="4" fillId="2" borderId="3" xfId="15" applyNumberFormat="1" applyFont="1" applyFill="1" applyBorder="1" applyAlignment="1">
      <alignment/>
    </xf>
    <xf numFmtId="41" fontId="4" fillId="3" borderId="3" xfId="15" applyNumberFormat="1" applyFont="1" applyFill="1" applyBorder="1" applyAlignment="1">
      <alignment/>
    </xf>
    <xf numFmtId="0" fontId="4" fillId="0" borderId="1" xfId="21" applyFont="1" applyBorder="1">
      <alignment/>
      <protection/>
    </xf>
    <xf numFmtId="0" fontId="5" fillId="0" borderId="1" xfId="23" applyFont="1" applyBorder="1" applyAlignment="1">
      <alignment horizontal="right"/>
      <protection/>
    </xf>
    <xf numFmtId="41" fontId="4" fillId="0" borderId="0" xfId="17" applyNumberFormat="1" applyFont="1" applyFill="1" applyAlignment="1">
      <alignment/>
    </xf>
    <xf numFmtId="0" fontId="5" fillId="0" borderId="1" xfId="23" applyFont="1" applyBorder="1" applyAlignment="1">
      <alignment horizontal="center"/>
      <protection/>
    </xf>
    <xf numFmtId="41" fontId="4" fillId="3" borderId="3" xfId="21" applyNumberFormat="1" applyFont="1" applyFill="1" applyBorder="1">
      <alignment/>
      <protection/>
    </xf>
    <xf numFmtId="41" fontId="4" fillId="2" borderId="3" xfId="0" applyNumberFormat="1" applyFont="1" applyFill="1" applyBorder="1" applyAlignment="1">
      <alignment/>
    </xf>
    <xf numFmtId="41" fontId="4" fillId="0" borderId="3" xfId="0" applyNumberFormat="1" applyFont="1" applyBorder="1" applyAlignment="1">
      <alignment/>
    </xf>
    <xf numFmtId="41" fontId="4" fillId="3" borderId="3" xfId="0" applyNumberFormat="1" applyFont="1" applyFill="1" applyBorder="1" applyAlignment="1">
      <alignment/>
    </xf>
    <xf numFmtId="41" fontId="4" fillId="0" borderId="0" xfId="0" applyNumberFormat="1" applyFont="1" applyAlignment="1">
      <alignment/>
    </xf>
    <xf numFmtId="41" fontId="4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 horizontal="center" wrapText="1"/>
    </xf>
    <xf numFmtId="41" fontId="4" fillId="0" borderId="3" xfId="0" applyNumberFormat="1" applyFont="1" applyFill="1" applyBorder="1" applyAlignment="1">
      <alignment/>
    </xf>
    <xf numFmtId="0" fontId="5" fillId="0" borderId="3" xfId="23" applyFont="1" applyBorder="1" applyAlignment="1">
      <alignment horizontal="center"/>
      <protection/>
    </xf>
    <xf numFmtId="0" fontId="5" fillId="0" borderId="4" xfId="23" applyFont="1" applyBorder="1" applyAlignment="1">
      <alignment horizontal="center"/>
      <protection/>
    </xf>
    <xf numFmtId="0" fontId="4" fillId="0" borderId="3" xfId="23" applyFont="1" applyBorder="1">
      <alignment/>
      <protection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5" fontId="7" fillId="0" borderId="0" xfId="0" applyNumberFormat="1" applyFont="1" applyFill="1" applyAlignment="1">
      <alignment/>
    </xf>
    <xf numFmtId="0" fontId="7" fillId="0" borderId="0" xfId="0" applyFont="1" applyAlignment="1">
      <alignment horizontal="center" vertical="center"/>
    </xf>
    <xf numFmtId="5" fontId="7" fillId="0" borderId="0" xfId="0" applyNumberFormat="1" applyFont="1" applyFill="1" applyAlignment="1">
      <alignment horizontal="center"/>
    </xf>
    <xf numFmtId="0" fontId="7" fillId="0" borderId="0" xfId="0" applyFont="1" applyAlignment="1">
      <alignment vertical="center"/>
    </xf>
    <xf numFmtId="5" fontId="7" fillId="0" borderId="0" xfId="0" applyNumberFormat="1" applyFont="1" applyFill="1" applyAlignment="1">
      <alignment vertic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5" fontId="7" fillId="0" borderId="0" xfId="0" applyNumberFormat="1" applyFont="1" applyFill="1" applyAlignment="1">
      <alignment/>
    </xf>
    <xf numFmtId="0" fontId="7" fillId="0" borderId="4" xfId="0" applyFont="1" applyBorder="1" applyAlignment="1">
      <alignment/>
    </xf>
    <xf numFmtId="43" fontId="7" fillId="0" borderId="0" xfId="0" applyNumberFormat="1" applyFont="1" applyAlignment="1">
      <alignment/>
    </xf>
    <xf numFmtId="0" fontId="9" fillId="0" borderId="5" xfId="0" applyFont="1" applyBorder="1" applyAlignment="1">
      <alignment/>
    </xf>
    <xf numFmtId="5" fontId="7" fillId="0" borderId="0" xfId="17" applyNumberFormat="1" applyFont="1" applyFill="1" applyAlignment="1">
      <alignment/>
    </xf>
    <xf numFmtId="43" fontId="7" fillId="0" borderId="0" xfId="15" applyFont="1" applyAlignment="1">
      <alignment/>
    </xf>
    <xf numFmtId="0" fontId="7" fillId="0" borderId="4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4" xfId="0" applyFont="1" applyBorder="1" applyAlignment="1">
      <alignment horizontal="right"/>
    </xf>
    <xf numFmtId="0" fontId="10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9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9" fillId="0" borderId="6" xfId="0" applyFont="1" applyBorder="1" applyAlignment="1">
      <alignment/>
    </xf>
    <xf numFmtId="5" fontId="9" fillId="0" borderId="6" xfId="0" applyNumberFormat="1" applyFont="1" applyFill="1" applyBorder="1" applyAlignment="1">
      <alignment/>
    </xf>
    <xf numFmtId="0" fontId="9" fillId="0" borderId="7" xfId="0" applyFont="1" applyBorder="1" applyAlignment="1">
      <alignment/>
    </xf>
    <xf numFmtId="5" fontId="9" fillId="0" borderId="7" xfId="0" applyNumberFormat="1" applyFont="1" applyFill="1" applyBorder="1" applyAlignment="1">
      <alignment/>
    </xf>
    <xf numFmtId="0" fontId="8" fillId="0" borderId="0" xfId="0" applyFont="1" applyAlignment="1">
      <alignment/>
    </xf>
    <xf numFmtId="5" fontId="8" fillId="0" borderId="0" xfId="0" applyNumberFormat="1" applyFont="1" applyFill="1" applyAlignment="1">
      <alignment/>
    </xf>
    <xf numFmtId="5" fontId="8" fillId="0" borderId="0" xfId="17" applyNumberFormat="1" applyFont="1" applyFill="1" applyAlignment="1">
      <alignment/>
    </xf>
    <xf numFmtId="10" fontId="7" fillId="0" borderId="0" xfId="24" applyNumberFormat="1" applyFont="1" applyFill="1" applyAlignment="1">
      <alignment/>
    </xf>
    <xf numFmtId="172" fontId="7" fillId="0" borderId="0" xfId="24" applyNumberFormat="1" applyFont="1" applyFill="1" applyAlignment="1">
      <alignment/>
    </xf>
    <xf numFmtId="0" fontId="7" fillId="0" borderId="0" xfId="0" applyFont="1" applyAlignment="1">
      <alignment vertical="top"/>
    </xf>
    <xf numFmtId="165" fontId="7" fillId="0" borderId="0" xfId="17" applyNumberFormat="1" applyFont="1" applyFill="1" applyAlignment="1">
      <alignment/>
    </xf>
    <xf numFmtId="0" fontId="7" fillId="0" borderId="0" xfId="0" applyFont="1" applyAlignment="1">
      <alignment horizontal="right" vertical="top"/>
    </xf>
    <xf numFmtId="165" fontId="7" fillId="0" borderId="4" xfId="17" applyNumberFormat="1" applyFont="1" applyFill="1" applyBorder="1" applyAlignment="1">
      <alignment/>
    </xf>
    <xf numFmtId="165" fontId="9" fillId="0" borderId="5" xfId="17" applyNumberFormat="1" applyFont="1" applyFill="1" applyBorder="1" applyAlignment="1">
      <alignment/>
    </xf>
    <xf numFmtId="165" fontId="7" fillId="0" borderId="0" xfId="17" applyNumberFormat="1" applyFont="1" applyAlignment="1">
      <alignment/>
    </xf>
    <xf numFmtId="165" fontId="7" fillId="0" borderId="0" xfId="17" applyNumberFormat="1" applyFont="1" applyFill="1" applyBorder="1" applyAlignment="1">
      <alignment/>
    </xf>
    <xf numFmtId="165" fontId="9" fillId="0" borderId="0" xfId="17" applyNumberFormat="1" applyFont="1" applyFill="1" applyAlignment="1">
      <alignment/>
    </xf>
    <xf numFmtId="165" fontId="9" fillId="0" borderId="6" xfId="17" applyNumberFormat="1" applyFont="1" applyFill="1" applyBorder="1" applyAlignment="1">
      <alignment/>
    </xf>
    <xf numFmtId="165" fontId="9" fillId="0" borderId="7" xfId="17" applyNumberFormat="1" applyFont="1" applyFill="1" applyBorder="1" applyAlignment="1">
      <alignment/>
    </xf>
    <xf numFmtId="165" fontId="8" fillId="0" borderId="0" xfId="17" applyNumberFormat="1" applyFont="1" applyFill="1" applyAlignment="1">
      <alignment/>
    </xf>
    <xf numFmtId="5" fontId="7" fillId="0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lance Sheet" xfId="21"/>
    <cellStyle name="Normal_Income Statement" xfId="22"/>
    <cellStyle name="Normal_Sheet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C496CF"/>
      <rgbColor rgb="00ED615E"/>
      <rgbColor rgb="0099CC66"/>
      <rgbColor rgb="0087C4C4"/>
      <rgbColor rgb="00D4D4D4"/>
      <rgbColor rgb="007DA6CF"/>
      <rgbColor rgb="00E3C7EB"/>
      <rgbColor rgb="00F28C8C"/>
      <rgbColor rgb="00BFE699"/>
      <rgbColor rgb="00ABD4D4"/>
      <rgbColor rgb="00FFFFB3"/>
      <rgbColor rgb="00F2F2F2"/>
      <rgbColor rgb="00ABC7D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7"/>
  <sheetViews>
    <sheetView tabSelected="1" workbookViewId="0" topLeftCell="A7">
      <selection activeCell="C21" sqref="C21"/>
    </sheetView>
  </sheetViews>
  <sheetFormatPr defaultColWidth="9.140625" defaultRowHeight="12.75"/>
  <cols>
    <col min="1" max="1" width="4.421875" style="0" customWidth="1"/>
    <col min="2" max="2" width="29.28125" style="0" bestFit="1" customWidth="1"/>
    <col min="3" max="3" width="55.421875" style="0" customWidth="1"/>
    <col min="4" max="5" width="18.140625" style="0" customWidth="1"/>
    <col min="6" max="6" width="6.421875" style="0" customWidth="1"/>
  </cols>
  <sheetData>
    <row r="1" spans="1:9" ht="15.75">
      <c r="A1" s="43">
        <f aca="true" t="shared" si="0" ref="A1:A8">ROW($A1:$IV1)</f>
        <v>1</v>
      </c>
      <c r="B1" s="44"/>
      <c r="C1" s="91" t="s">
        <v>133</v>
      </c>
      <c r="D1" s="91"/>
      <c r="E1" s="91"/>
      <c r="F1" s="43"/>
      <c r="G1" s="43"/>
      <c r="H1" s="43"/>
      <c r="I1" s="43"/>
    </row>
    <row r="2" spans="1:9" ht="15" customHeight="1">
      <c r="A2" s="43">
        <f t="shared" si="0"/>
        <v>2</v>
      </c>
      <c r="B2" s="44"/>
      <c r="C2" s="91" t="s">
        <v>134</v>
      </c>
      <c r="D2" s="91"/>
      <c r="E2" s="91"/>
      <c r="F2" s="43"/>
      <c r="G2" s="43"/>
      <c r="H2" s="43"/>
      <c r="I2" s="43"/>
    </row>
    <row r="3" spans="1:9" ht="15.75">
      <c r="A3" s="43">
        <f t="shared" si="0"/>
        <v>3</v>
      </c>
      <c r="B3" s="44"/>
      <c r="C3" s="91" t="s">
        <v>203</v>
      </c>
      <c r="D3" s="91"/>
      <c r="E3" s="91"/>
      <c r="F3" s="43"/>
      <c r="G3" s="43"/>
      <c r="H3" s="43"/>
      <c r="I3" s="43"/>
    </row>
    <row r="4" spans="1:9" ht="15.75">
      <c r="A4" s="43">
        <f t="shared" si="0"/>
        <v>4</v>
      </c>
      <c r="B4" s="44"/>
      <c r="C4" s="92" t="s">
        <v>238</v>
      </c>
      <c r="D4" s="92"/>
      <c r="E4" s="92"/>
      <c r="F4" s="43"/>
      <c r="G4" s="43"/>
      <c r="H4" s="43"/>
      <c r="I4" s="43"/>
    </row>
    <row r="5" spans="1:9" ht="15.75">
      <c r="A5" s="43">
        <f t="shared" si="0"/>
        <v>5</v>
      </c>
      <c r="B5" s="44" t="s">
        <v>135</v>
      </c>
      <c r="C5" s="43"/>
      <c r="D5" s="46"/>
      <c r="E5" s="46"/>
      <c r="F5" s="43"/>
      <c r="G5" s="43"/>
      <c r="H5" s="43"/>
      <c r="I5" s="43"/>
    </row>
    <row r="6" spans="1:9" ht="15" customHeight="1">
      <c r="A6" s="43">
        <f t="shared" si="0"/>
        <v>6</v>
      </c>
      <c r="B6" s="47" t="s">
        <v>211</v>
      </c>
      <c r="C6" s="43" t="s">
        <v>136</v>
      </c>
      <c r="D6" s="46"/>
      <c r="E6" s="48" t="s">
        <v>137</v>
      </c>
      <c r="F6" s="43"/>
      <c r="G6" s="43"/>
      <c r="H6" s="43"/>
      <c r="I6" s="43"/>
    </row>
    <row r="7" spans="1:9" s="2" customFormat="1" ht="15" customHeight="1">
      <c r="A7" s="43">
        <f t="shared" si="0"/>
        <v>7</v>
      </c>
      <c r="B7" s="45" t="s">
        <v>212</v>
      </c>
      <c r="C7" s="49"/>
      <c r="D7" s="50"/>
      <c r="E7" s="89" t="s">
        <v>237</v>
      </c>
      <c r="F7" s="49" t="s">
        <v>138</v>
      </c>
      <c r="G7" s="51"/>
      <c r="H7" s="51"/>
      <c r="I7" s="51"/>
    </row>
    <row r="8" spans="1:9" ht="15" customHeight="1">
      <c r="A8" s="43">
        <f t="shared" si="0"/>
        <v>8</v>
      </c>
      <c r="B8" s="43"/>
      <c r="C8" s="52" t="s">
        <v>139</v>
      </c>
      <c r="D8" s="53"/>
      <c r="E8" s="53"/>
      <c r="F8" s="51"/>
      <c r="G8" s="51"/>
      <c r="H8" s="51"/>
      <c r="I8" s="51"/>
    </row>
    <row r="9" spans="1:9" ht="15" customHeight="1">
      <c r="A9" s="43">
        <f aca="true" t="shared" si="1" ref="A9:A72">ROW($A9:$IV9)</f>
        <v>9</v>
      </c>
      <c r="B9" s="47" t="s">
        <v>140</v>
      </c>
      <c r="C9" s="51" t="s">
        <v>141</v>
      </c>
      <c r="D9" s="79"/>
      <c r="E9" s="79">
        <f>+'Balance Sheet'!P77+'Balance Sheet'!P81+'Balance Sheet'!P83+'Balance Sheet'!P84</f>
        <v>3574403288.119166</v>
      </c>
      <c r="F9" s="52"/>
      <c r="G9" s="51"/>
      <c r="H9" s="51"/>
      <c r="I9" s="51"/>
    </row>
    <row r="10" spans="1:9" ht="15" customHeight="1">
      <c r="A10" s="43">
        <f t="shared" si="1"/>
        <v>10</v>
      </c>
      <c r="B10" s="45">
        <v>204</v>
      </c>
      <c r="C10" s="51" t="s">
        <v>142</v>
      </c>
      <c r="D10" s="79"/>
      <c r="E10" s="79">
        <f>+'Balance Sheet'!P78</f>
        <v>41463300</v>
      </c>
      <c r="F10" s="51"/>
      <c r="G10" s="51"/>
      <c r="H10" s="51"/>
      <c r="I10" s="51"/>
    </row>
    <row r="11" spans="1:9" ht="15" customHeight="1">
      <c r="A11" s="43">
        <f t="shared" si="1"/>
        <v>11</v>
      </c>
      <c r="B11" s="47" t="s">
        <v>143</v>
      </c>
      <c r="C11" s="51" t="s">
        <v>144</v>
      </c>
      <c r="D11" s="79"/>
      <c r="E11" s="79">
        <f>+'Balance Sheet'!P89+'Balance Sheet'!P90+'Balance Sheet'!P91+'Balance Sheet'!P92+'Balance Sheet'!P93+'Balance Sheet'!P94+'Balance Sheet'!P132-'Balance Sheet'!P60-'Balance Sheet'!P69</f>
        <v>3926445365.843333</v>
      </c>
      <c r="F11" s="51"/>
      <c r="G11" s="51"/>
      <c r="H11" s="51"/>
      <c r="I11" s="51"/>
    </row>
    <row r="12" spans="1:9" ht="15" customHeight="1">
      <c r="A12" s="43">
        <f t="shared" si="1"/>
        <v>12</v>
      </c>
      <c r="B12" s="45"/>
      <c r="C12" s="51"/>
      <c r="D12" s="79"/>
      <c r="E12" s="79"/>
      <c r="F12" s="51"/>
      <c r="G12" s="51"/>
      <c r="H12" s="51"/>
      <c r="I12" s="51"/>
    </row>
    <row r="13" spans="1:9" ht="15" customHeight="1">
      <c r="A13" s="43">
        <f t="shared" si="1"/>
        <v>13</v>
      </c>
      <c r="B13" s="45">
        <v>219</v>
      </c>
      <c r="C13" s="51" t="s">
        <v>145</v>
      </c>
      <c r="D13" s="79"/>
      <c r="E13" s="79">
        <f>+'Balance Sheet'!P86</f>
        <v>-7945317.1525</v>
      </c>
      <c r="F13" s="52"/>
      <c r="G13" s="51"/>
      <c r="H13" s="51"/>
      <c r="I13" s="51"/>
    </row>
    <row r="14" spans="1:9" ht="15" customHeight="1">
      <c r="A14" s="43">
        <f t="shared" si="1"/>
        <v>14</v>
      </c>
      <c r="B14" s="45">
        <v>231</v>
      </c>
      <c r="C14" s="54" t="s">
        <v>146</v>
      </c>
      <c r="D14" s="81"/>
      <c r="E14" s="81">
        <f>+'Balance Sheet'!P109</f>
        <v>310725333.3333333</v>
      </c>
      <c r="F14" s="55"/>
      <c r="G14" s="51"/>
      <c r="H14" s="51"/>
      <c r="I14" s="51"/>
    </row>
    <row r="15" spans="1:9" ht="15" customHeight="1" thickBot="1">
      <c r="A15" s="43">
        <f t="shared" si="1"/>
        <v>15</v>
      </c>
      <c r="B15" s="45"/>
      <c r="C15" s="56" t="s">
        <v>147</v>
      </c>
      <c r="D15" s="82"/>
      <c r="E15" s="82">
        <f>SUM(E9:E14)</f>
        <v>7845091970.143332</v>
      </c>
      <c r="F15" s="51"/>
      <c r="G15" s="51"/>
      <c r="H15" s="51"/>
      <c r="I15" s="51"/>
    </row>
    <row r="16" spans="1:9" ht="15" customHeight="1" thickTop="1">
      <c r="A16" s="43">
        <f t="shared" si="1"/>
        <v>16</v>
      </c>
      <c r="B16" s="45"/>
      <c r="C16" s="51"/>
      <c r="D16" s="79"/>
      <c r="E16" s="79"/>
      <c r="F16" s="51"/>
      <c r="G16" s="51"/>
      <c r="H16" s="51"/>
      <c r="I16" s="51"/>
    </row>
    <row r="17" spans="1:9" ht="15" customHeight="1">
      <c r="A17" s="43">
        <f t="shared" si="1"/>
        <v>17</v>
      </c>
      <c r="B17" s="45"/>
      <c r="C17" s="52" t="s">
        <v>148</v>
      </c>
      <c r="D17" s="79"/>
      <c r="E17" s="79"/>
      <c r="F17" s="51"/>
      <c r="G17" s="51"/>
      <c r="H17" s="51"/>
      <c r="I17" s="51"/>
    </row>
    <row r="18" spans="1:9" ht="15" customHeight="1">
      <c r="A18" s="43">
        <f t="shared" si="1"/>
        <v>18</v>
      </c>
      <c r="B18" s="45"/>
      <c r="C18" s="52" t="s">
        <v>149</v>
      </c>
      <c r="D18" s="79"/>
      <c r="E18" s="79"/>
      <c r="F18" s="51"/>
      <c r="G18" s="51"/>
      <c r="H18" s="51"/>
      <c r="I18" s="51"/>
    </row>
    <row r="19" spans="1:9" ht="15" customHeight="1">
      <c r="A19" s="43">
        <f t="shared" si="1"/>
        <v>19</v>
      </c>
      <c r="B19" s="45" t="s">
        <v>150</v>
      </c>
      <c r="C19" s="51" t="s">
        <v>151</v>
      </c>
      <c r="D19" s="79">
        <f>+'Balance Sheet'!P9+'Balance Sheet'!P11+'Balance Sheet'!P14</f>
        <v>14204125272.733332</v>
      </c>
      <c r="E19" s="79"/>
      <c r="F19" s="58" t="s">
        <v>152</v>
      </c>
      <c r="G19" s="51"/>
      <c r="H19" s="51"/>
      <c r="I19" s="51"/>
    </row>
    <row r="20" spans="1:9" ht="15" customHeight="1">
      <c r="A20" s="43">
        <f t="shared" si="1"/>
        <v>20</v>
      </c>
      <c r="B20" s="45" t="s">
        <v>233</v>
      </c>
      <c r="C20" s="51" t="s">
        <v>234</v>
      </c>
      <c r="D20" s="79">
        <f>-D81-7929366</f>
        <v>51208575</v>
      </c>
      <c r="E20" s="79"/>
      <c r="F20" s="58" t="s">
        <v>164</v>
      </c>
      <c r="G20" s="51"/>
      <c r="H20" s="51"/>
      <c r="I20" s="51"/>
    </row>
    <row r="21" spans="1:9" ht="15" customHeight="1">
      <c r="A21" s="43">
        <f t="shared" si="1"/>
        <v>21</v>
      </c>
      <c r="B21" s="45" t="s">
        <v>207</v>
      </c>
      <c r="C21" s="54" t="s">
        <v>240</v>
      </c>
      <c r="D21" s="81">
        <v>0</v>
      </c>
      <c r="E21" s="79">
        <f>SUM(D19:D21)</f>
        <v>14255333847.733332</v>
      </c>
      <c r="F21" s="51"/>
      <c r="G21" s="51"/>
      <c r="H21" s="51"/>
      <c r="I21" s="51"/>
    </row>
    <row r="22" spans="1:9" ht="15" customHeight="1">
      <c r="A22" s="43">
        <f t="shared" si="1"/>
        <v>22</v>
      </c>
      <c r="B22" s="45"/>
      <c r="C22" s="51"/>
      <c r="D22" s="79"/>
      <c r="E22" s="79"/>
      <c r="F22" s="51"/>
      <c r="G22" s="51"/>
      <c r="H22" s="51"/>
      <c r="I22" s="51"/>
    </row>
    <row r="23" spans="1:9" ht="15" customHeight="1">
      <c r="A23" s="43">
        <f t="shared" si="1"/>
        <v>23</v>
      </c>
      <c r="B23" s="45"/>
      <c r="C23" s="51"/>
      <c r="D23" s="79"/>
      <c r="E23" s="79"/>
      <c r="F23" s="51"/>
      <c r="G23" s="51"/>
      <c r="H23" s="51"/>
      <c r="I23" s="51"/>
    </row>
    <row r="24" spans="1:9" ht="15" customHeight="1">
      <c r="A24" s="43">
        <f t="shared" si="1"/>
        <v>24</v>
      </c>
      <c r="B24" s="45">
        <v>105</v>
      </c>
      <c r="C24" s="51" t="s">
        <v>153</v>
      </c>
      <c r="D24" s="79"/>
      <c r="E24" s="79">
        <f>+'Balance Sheet'!P13</f>
        <v>2231662.2125</v>
      </c>
      <c r="F24" s="51"/>
      <c r="G24" s="51"/>
      <c r="H24" s="51"/>
      <c r="I24" s="51"/>
    </row>
    <row r="25" spans="1:9" ht="15" customHeight="1">
      <c r="A25" s="43">
        <f t="shared" si="1"/>
        <v>25</v>
      </c>
      <c r="B25" s="45">
        <v>114</v>
      </c>
      <c r="C25" s="51" t="s">
        <v>154</v>
      </c>
      <c r="D25" s="79">
        <f>+'Balance Sheet'!P16</f>
        <v>157193779.77083334</v>
      </c>
      <c r="E25" s="79"/>
      <c r="F25" s="51"/>
      <c r="G25" s="51"/>
      <c r="H25" s="51"/>
      <c r="I25" s="51"/>
    </row>
    <row r="26" spans="1:9" ht="15" customHeight="1">
      <c r="A26" s="43">
        <f t="shared" si="1"/>
        <v>26</v>
      </c>
      <c r="B26" s="45">
        <v>115</v>
      </c>
      <c r="C26" s="59" t="s">
        <v>155</v>
      </c>
      <c r="D26" s="81">
        <f>+'Balance Sheet'!P22</f>
        <v>-73039622.98333335</v>
      </c>
      <c r="E26" s="79">
        <f>+D25+D26</f>
        <v>84154156.7875</v>
      </c>
      <c r="F26" s="51"/>
      <c r="G26" s="51"/>
      <c r="H26" s="51"/>
      <c r="I26" s="51"/>
    </row>
    <row r="27" spans="1:9" ht="15" customHeight="1">
      <c r="A27" s="43">
        <f t="shared" si="1"/>
        <v>27</v>
      </c>
      <c r="B27" s="45"/>
      <c r="C27" s="60"/>
      <c r="D27" s="79"/>
      <c r="E27" s="79"/>
      <c r="F27" s="51"/>
      <c r="G27" s="51"/>
      <c r="H27" s="51"/>
      <c r="I27" s="51"/>
    </row>
    <row r="28" spans="1:9" ht="15" customHeight="1">
      <c r="A28" s="43">
        <f t="shared" si="1"/>
        <v>28</v>
      </c>
      <c r="B28" s="45">
        <v>108</v>
      </c>
      <c r="C28" s="51" t="s">
        <v>156</v>
      </c>
      <c r="D28" s="79">
        <f>+'Balance Sheet'!P20</f>
        <v>-5646520932.509999</v>
      </c>
      <c r="E28" s="79"/>
      <c r="F28" s="51"/>
      <c r="G28" s="51"/>
      <c r="H28" s="51"/>
      <c r="I28" s="51"/>
    </row>
    <row r="29" spans="1:9" ht="15" customHeight="1">
      <c r="A29" s="43">
        <f t="shared" si="1"/>
        <v>29</v>
      </c>
      <c r="B29" s="45">
        <v>230</v>
      </c>
      <c r="C29" s="51" t="s">
        <v>214</v>
      </c>
      <c r="D29" s="83">
        <f>-'Balance Sheet'!P106</f>
        <v>-63803218.79166669</v>
      </c>
      <c r="E29" s="83"/>
      <c r="F29" s="51"/>
      <c r="G29" s="51"/>
      <c r="H29" s="51"/>
      <c r="I29" s="51"/>
    </row>
    <row r="30" spans="1:9" ht="15" customHeight="1">
      <c r="A30" s="43">
        <f t="shared" si="1"/>
        <v>30</v>
      </c>
      <c r="B30" s="45" t="s">
        <v>215</v>
      </c>
      <c r="C30" s="54" t="s">
        <v>241</v>
      </c>
      <c r="D30" s="81">
        <v>0</v>
      </c>
      <c r="E30" s="79">
        <f>+D28+D29+D30</f>
        <v>-5710324151.301666</v>
      </c>
      <c r="F30" s="51"/>
      <c r="G30" s="51"/>
      <c r="H30" s="51"/>
      <c r="I30" s="51"/>
    </row>
    <row r="31" spans="1:9" ht="15" customHeight="1">
      <c r="A31" s="43">
        <f t="shared" si="1"/>
        <v>31</v>
      </c>
      <c r="B31" s="45"/>
      <c r="C31" s="61"/>
      <c r="D31" s="84"/>
      <c r="E31" s="79"/>
      <c r="F31" s="51"/>
      <c r="G31" s="51"/>
      <c r="H31" s="51"/>
      <c r="I31" s="51"/>
    </row>
    <row r="32" spans="1:9" ht="15" customHeight="1">
      <c r="A32" s="43">
        <f t="shared" si="1"/>
        <v>32</v>
      </c>
      <c r="B32" s="45">
        <v>111</v>
      </c>
      <c r="C32" s="51" t="s">
        <v>157</v>
      </c>
      <c r="D32" s="79"/>
      <c r="E32" s="79">
        <f>+'Balance Sheet'!P21</f>
        <v>-350477971.1091667</v>
      </c>
      <c r="F32" s="51"/>
      <c r="G32" s="51"/>
      <c r="H32" s="51"/>
      <c r="I32" s="51"/>
    </row>
    <row r="33" spans="1:9" ht="15" customHeight="1">
      <c r="A33" s="43">
        <f t="shared" si="1"/>
        <v>33</v>
      </c>
      <c r="B33" s="62">
        <v>141</v>
      </c>
      <c r="C33" s="61" t="s">
        <v>158</v>
      </c>
      <c r="D33" s="84"/>
      <c r="E33" s="84">
        <f>+'Balance Sheet'!P41</f>
        <v>659846.64000001</v>
      </c>
      <c r="F33" s="51"/>
      <c r="G33" s="51"/>
      <c r="H33" s="51"/>
      <c r="I33" s="51"/>
    </row>
    <row r="34" spans="1:9" ht="15" customHeight="1">
      <c r="A34" s="43">
        <f t="shared" si="1"/>
        <v>34</v>
      </c>
      <c r="B34" s="62"/>
      <c r="C34" s="61"/>
      <c r="D34" s="84"/>
      <c r="E34" s="84"/>
      <c r="F34" s="51"/>
      <c r="G34" s="51"/>
      <c r="H34" s="51"/>
      <c r="I34" s="51"/>
    </row>
    <row r="35" spans="1:9" ht="15" customHeight="1">
      <c r="A35" s="43">
        <f t="shared" si="1"/>
        <v>35</v>
      </c>
      <c r="B35" s="45"/>
      <c r="C35" s="45" t="s">
        <v>159</v>
      </c>
      <c r="D35" s="79"/>
      <c r="E35" s="79"/>
      <c r="F35" s="51"/>
      <c r="G35" s="51"/>
      <c r="H35" s="51"/>
      <c r="I35" s="51"/>
    </row>
    <row r="36" spans="1:9" ht="15" customHeight="1">
      <c r="A36" s="43">
        <f t="shared" si="1"/>
        <v>36</v>
      </c>
      <c r="B36" s="45" t="s">
        <v>160</v>
      </c>
      <c r="C36" s="51" t="s">
        <v>159</v>
      </c>
      <c r="D36" s="79">
        <f>+'Balance Sheet'!P70</f>
        <v>712654857.4250001</v>
      </c>
      <c r="E36" s="79"/>
      <c r="F36" s="51"/>
      <c r="G36" s="51"/>
      <c r="H36" s="51"/>
      <c r="I36" s="51"/>
    </row>
    <row r="37" spans="1:9" ht="15" customHeight="1">
      <c r="A37" s="43">
        <f t="shared" si="1"/>
        <v>37</v>
      </c>
      <c r="B37" s="45" t="s">
        <v>198</v>
      </c>
      <c r="C37" s="63" t="s">
        <v>242</v>
      </c>
      <c r="D37" s="79">
        <v>-24254000</v>
      </c>
      <c r="E37" s="79"/>
      <c r="F37" s="51"/>
      <c r="G37" s="51"/>
      <c r="H37" s="51"/>
      <c r="I37" s="51"/>
    </row>
    <row r="38" spans="1:9" ht="15" customHeight="1">
      <c r="A38" s="43">
        <f t="shared" si="1"/>
        <v>38</v>
      </c>
      <c r="B38" s="45">
        <v>255</v>
      </c>
      <c r="C38" s="51" t="s">
        <v>208</v>
      </c>
      <c r="D38" s="79">
        <f>-'Balance Sheet'!P131</f>
        <v>-71973095.83333333</v>
      </c>
      <c r="E38" s="79"/>
      <c r="F38" s="51"/>
      <c r="G38" s="51"/>
      <c r="H38" s="51"/>
      <c r="I38" s="51"/>
    </row>
    <row r="39" spans="1:9" ht="15" customHeight="1">
      <c r="A39" s="43">
        <f t="shared" si="1"/>
        <v>39</v>
      </c>
      <c r="B39" s="45" t="s">
        <v>216</v>
      </c>
      <c r="C39" s="63" t="s">
        <v>243</v>
      </c>
      <c r="D39" s="79">
        <v>223000</v>
      </c>
      <c r="E39" s="79"/>
      <c r="F39" s="51"/>
      <c r="G39" s="51"/>
      <c r="H39" s="51"/>
      <c r="I39" s="51"/>
    </row>
    <row r="40" spans="1:9" ht="15" customHeight="1">
      <c r="A40" s="43">
        <f t="shared" si="1"/>
        <v>40</v>
      </c>
      <c r="B40" s="45">
        <v>281.1</v>
      </c>
      <c r="C40" s="51" t="s">
        <v>161</v>
      </c>
      <c r="D40" s="79">
        <f>-'Balance Sheet'!P133</f>
        <v>-734301.5</v>
      </c>
      <c r="E40" s="79"/>
      <c r="F40" s="51"/>
      <c r="G40" s="51"/>
      <c r="H40" s="51"/>
      <c r="I40" s="51"/>
    </row>
    <row r="41" spans="1:9" ht="15" customHeight="1">
      <c r="A41" s="43">
        <f t="shared" si="1"/>
        <v>41</v>
      </c>
      <c r="B41" s="45">
        <v>282</v>
      </c>
      <c r="C41" s="51" t="s">
        <v>162</v>
      </c>
      <c r="D41" s="79">
        <f>-'Balance Sheet'!P134</f>
        <v>-2004827962.6408339</v>
      </c>
      <c r="E41" s="79"/>
      <c r="F41" s="51"/>
      <c r="G41" s="51"/>
      <c r="H41" s="51"/>
      <c r="I41" s="51"/>
    </row>
    <row r="42" spans="1:9" ht="15" customHeight="1">
      <c r="A42" s="43">
        <f t="shared" si="1"/>
        <v>42</v>
      </c>
      <c r="B42" s="45" t="s">
        <v>199</v>
      </c>
      <c r="C42" s="63" t="s">
        <v>244</v>
      </c>
      <c r="D42" s="79">
        <v>481000</v>
      </c>
      <c r="E42" s="79"/>
      <c r="F42" s="51"/>
      <c r="G42" s="51"/>
      <c r="H42" s="51"/>
      <c r="I42" s="51"/>
    </row>
    <row r="43" spans="1:9" ht="15" customHeight="1">
      <c r="A43" s="43">
        <f t="shared" si="1"/>
        <v>43</v>
      </c>
      <c r="B43" s="45">
        <v>283</v>
      </c>
      <c r="C43" s="51" t="s">
        <v>162</v>
      </c>
      <c r="D43" s="79">
        <f>-'Balance Sheet'!P135</f>
        <v>-336051667.88583344</v>
      </c>
      <c r="E43" s="79"/>
      <c r="F43" s="51"/>
      <c r="G43" s="51"/>
      <c r="H43" s="51"/>
      <c r="I43" s="51"/>
    </row>
    <row r="44" spans="1:9" ht="15" customHeight="1">
      <c r="A44" s="43">
        <f t="shared" si="1"/>
        <v>44</v>
      </c>
      <c r="B44" s="45" t="s">
        <v>199</v>
      </c>
      <c r="C44" s="64" t="s">
        <v>245</v>
      </c>
      <c r="D44" s="81">
        <v>-7056000</v>
      </c>
      <c r="E44" s="79"/>
      <c r="F44" s="51"/>
      <c r="G44" s="51"/>
      <c r="H44" s="51"/>
      <c r="I44" s="51"/>
    </row>
    <row r="45" spans="1:9" ht="15" customHeight="1">
      <c r="A45" s="43">
        <f t="shared" si="1"/>
        <v>45</v>
      </c>
      <c r="B45" s="45"/>
      <c r="C45" s="51" t="s">
        <v>163</v>
      </c>
      <c r="D45" s="79">
        <f>SUM(D36:D44)</f>
        <v>-1731538170.4350007</v>
      </c>
      <c r="E45" s="79">
        <f>+D45</f>
        <v>-1731538170.4350007</v>
      </c>
      <c r="F45" s="51" t="s">
        <v>235</v>
      </c>
      <c r="G45" s="51"/>
      <c r="H45" s="51"/>
      <c r="I45" s="51"/>
    </row>
    <row r="46" spans="1:9" ht="15" customHeight="1">
      <c r="A46" s="43">
        <f t="shared" si="1"/>
        <v>46</v>
      </c>
      <c r="B46" s="45"/>
      <c r="C46" s="51"/>
      <c r="D46" s="79"/>
      <c r="E46" s="79"/>
      <c r="F46" s="51"/>
      <c r="G46" s="51"/>
      <c r="H46" s="51"/>
      <c r="I46" s="51"/>
    </row>
    <row r="47" spans="1:9" ht="15" customHeight="1">
      <c r="A47" s="43">
        <f t="shared" si="1"/>
        <v>47</v>
      </c>
      <c r="B47" s="45"/>
      <c r="C47" s="43"/>
      <c r="D47" s="83"/>
      <c r="E47" s="83"/>
      <c r="F47" s="43"/>
      <c r="G47" s="51"/>
      <c r="H47" s="51"/>
      <c r="I47" s="51"/>
    </row>
    <row r="48" spans="1:9" ht="15" customHeight="1">
      <c r="A48" s="43">
        <f t="shared" si="1"/>
        <v>48</v>
      </c>
      <c r="B48" s="45">
        <v>182.3</v>
      </c>
      <c r="C48" s="51" t="s">
        <v>219</v>
      </c>
      <c r="D48" s="79">
        <f>+'Balance Sheet'!P63</f>
        <v>975801584.4291667</v>
      </c>
      <c r="E48" s="79"/>
      <c r="F48" s="65"/>
      <c r="G48" s="51"/>
      <c r="H48" s="51"/>
      <c r="I48" s="51"/>
    </row>
    <row r="49" spans="1:9" ht="15" customHeight="1">
      <c r="A49" s="43">
        <f t="shared" si="1"/>
        <v>49</v>
      </c>
      <c r="B49" s="45"/>
      <c r="C49" s="45" t="s">
        <v>220</v>
      </c>
      <c r="D49" s="79"/>
      <c r="E49" s="79"/>
      <c r="F49" s="65"/>
      <c r="G49" s="51"/>
      <c r="H49" s="51"/>
      <c r="I49" s="51"/>
    </row>
    <row r="50" spans="1:9" ht="15" customHeight="1">
      <c r="A50" s="43">
        <f t="shared" si="1"/>
        <v>50</v>
      </c>
      <c r="B50" s="45" t="s">
        <v>200</v>
      </c>
      <c r="C50" s="63" t="s">
        <v>246</v>
      </c>
      <c r="D50" s="79">
        <v>-21755000</v>
      </c>
      <c r="E50" s="79"/>
      <c r="F50" s="51"/>
      <c r="G50" s="51"/>
      <c r="H50" s="51"/>
      <c r="I50" s="51"/>
    </row>
    <row r="51" spans="1:9" ht="15" customHeight="1">
      <c r="A51" s="43">
        <f t="shared" si="1"/>
        <v>51</v>
      </c>
      <c r="B51" s="45" t="s">
        <v>206</v>
      </c>
      <c r="C51" s="63" t="s">
        <v>247</v>
      </c>
      <c r="D51" s="79">
        <f>29815456-528745038</f>
        <v>-498929582</v>
      </c>
      <c r="E51" s="79"/>
      <c r="F51" s="51"/>
      <c r="G51" s="51"/>
      <c r="H51" s="51"/>
      <c r="I51" s="51"/>
    </row>
    <row r="52" spans="1:9" ht="15" customHeight="1">
      <c r="A52" s="43">
        <f t="shared" si="1"/>
        <v>52</v>
      </c>
      <c r="B52" s="45" t="s">
        <v>224</v>
      </c>
      <c r="C52" s="64" t="s">
        <v>248</v>
      </c>
      <c r="D52" s="81">
        <v>-75877508</v>
      </c>
      <c r="E52" s="79"/>
      <c r="F52" s="51"/>
      <c r="G52" s="51"/>
      <c r="H52" s="51"/>
      <c r="I52" s="51"/>
    </row>
    <row r="53" spans="1:9" ht="15" customHeight="1">
      <c r="A53" s="43">
        <f t="shared" si="1"/>
        <v>53</v>
      </c>
      <c r="B53" s="45"/>
      <c r="C53" s="51" t="s">
        <v>165</v>
      </c>
      <c r="D53" s="79">
        <f>SUM(D48:D52)</f>
        <v>379239494.4291667</v>
      </c>
      <c r="E53" s="79">
        <f>+D53</f>
        <v>379239494.4291667</v>
      </c>
      <c r="F53" s="51"/>
      <c r="G53" s="51"/>
      <c r="H53" s="51"/>
      <c r="I53" s="51"/>
    </row>
    <row r="54" spans="1:9" ht="15" customHeight="1">
      <c r="A54" s="43">
        <f t="shared" si="1"/>
        <v>54</v>
      </c>
      <c r="B54" s="45"/>
      <c r="C54" s="51"/>
      <c r="D54" s="79"/>
      <c r="E54" s="79"/>
      <c r="F54" s="51"/>
      <c r="G54" s="51"/>
      <c r="H54" s="51"/>
      <c r="I54" s="51"/>
    </row>
    <row r="55" spans="1:9" ht="15" customHeight="1">
      <c r="A55" s="43">
        <f t="shared" si="1"/>
        <v>55</v>
      </c>
      <c r="B55" s="45">
        <v>186</v>
      </c>
      <c r="C55" s="51" t="s">
        <v>166</v>
      </c>
      <c r="D55" s="79">
        <f>+'Balance Sheet'!P67</f>
        <v>65240979.86333334</v>
      </c>
      <c r="E55" s="79"/>
      <c r="F55" s="51"/>
      <c r="G55" s="51"/>
      <c r="H55" s="51"/>
      <c r="I55" s="51"/>
    </row>
    <row r="56" spans="1:9" ht="15" customHeight="1">
      <c r="A56" s="43">
        <f t="shared" si="1"/>
        <v>56</v>
      </c>
      <c r="B56" s="45" t="s">
        <v>200</v>
      </c>
      <c r="C56" s="64" t="s">
        <v>249</v>
      </c>
      <c r="D56" s="81">
        <v>-4261000</v>
      </c>
      <c r="E56" s="79">
        <f>+D55+D56</f>
        <v>60979979.86333334</v>
      </c>
      <c r="F56" s="51"/>
      <c r="G56" s="51"/>
      <c r="H56" s="51"/>
      <c r="I56" s="51"/>
    </row>
    <row r="57" spans="1:9" ht="15" customHeight="1">
      <c r="A57" s="43">
        <f t="shared" si="1"/>
        <v>57</v>
      </c>
      <c r="B57" s="45"/>
      <c r="C57" s="51"/>
      <c r="D57" s="79"/>
      <c r="E57" s="79"/>
      <c r="F57" s="51"/>
      <c r="G57" s="51"/>
      <c r="H57" s="51"/>
      <c r="I57" s="51"/>
    </row>
    <row r="58" spans="1:9" ht="15" customHeight="1">
      <c r="A58" s="43">
        <f t="shared" si="1"/>
        <v>58</v>
      </c>
      <c r="B58" s="45"/>
      <c r="C58" s="51"/>
      <c r="D58" s="79"/>
      <c r="E58" s="79"/>
      <c r="F58" s="51"/>
      <c r="G58" s="51"/>
      <c r="H58" s="51"/>
      <c r="I58" s="51"/>
    </row>
    <row r="59" spans="1:9" ht="15" customHeight="1">
      <c r="A59" s="43">
        <f t="shared" si="1"/>
        <v>59</v>
      </c>
      <c r="B59" s="45">
        <v>253</v>
      </c>
      <c r="C59" s="51" t="s">
        <v>167</v>
      </c>
      <c r="D59" s="84">
        <f>-'Balance Sheet'!P129</f>
        <v>-55979914.26916676</v>
      </c>
      <c r="E59" s="79"/>
      <c r="F59" s="51"/>
      <c r="G59" s="51"/>
      <c r="H59" s="51"/>
      <c r="I59" s="51"/>
    </row>
    <row r="60" spans="1:9" ht="15" customHeight="1">
      <c r="A60" s="43">
        <f t="shared" si="1"/>
        <v>60</v>
      </c>
      <c r="B60" s="45" t="s">
        <v>201</v>
      </c>
      <c r="C60" s="64" t="s">
        <v>250</v>
      </c>
      <c r="D60" s="81">
        <v>2105000</v>
      </c>
      <c r="E60" s="79">
        <f>+D59+D60+D58</f>
        <v>-53874914.26916676</v>
      </c>
      <c r="F60" s="51"/>
      <c r="G60" s="51"/>
      <c r="H60" s="51"/>
      <c r="I60" s="51"/>
    </row>
    <row r="61" spans="1:9" ht="15" customHeight="1">
      <c r="A61" s="43">
        <f t="shared" si="1"/>
        <v>61</v>
      </c>
      <c r="B61" s="45"/>
      <c r="C61" s="61"/>
      <c r="D61" s="84"/>
      <c r="E61" s="79"/>
      <c r="F61" s="51"/>
      <c r="G61" s="51"/>
      <c r="H61" s="51"/>
      <c r="I61" s="51"/>
    </row>
    <row r="62" spans="1:9" ht="15" customHeight="1">
      <c r="A62" s="43">
        <f t="shared" si="1"/>
        <v>62</v>
      </c>
      <c r="B62" s="45">
        <v>254</v>
      </c>
      <c r="C62" s="51" t="s">
        <v>168</v>
      </c>
      <c r="D62" s="84">
        <f>-'Balance Sheet'!P130</f>
        <v>-142907407.15583327</v>
      </c>
      <c r="E62" s="79"/>
      <c r="F62" s="52"/>
      <c r="G62" s="51"/>
      <c r="H62" s="51"/>
      <c r="I62" s="51"/>
    </row>
    <row r="63" spans="1:9" ht="15" customHeight="1">
      <c r="A63" s="43">
        <f t="shared" si="1"/>
        <v>63</v>
      </c>
      <c r="B63" s="45" t="s">
        <v>201</v>
      </c>
      <c r="C63" s="64" t="s">
        <v>251</v>
      </c>
      <c r="D63" s="81">
        <v>3424000</v>
      </c>
      <c r="E63" s="79">
        <f>+D62+D63</f>
        <v>-139483407.15583327</v>
      </c>
      <c r="F63" s="51"/>
      <c r="G63" s="51"/>
      <c r="H63" s="51"/>
      <c r="I63" s="51"/>
    </row>
    <row r="64" spans="1:9" ht="15" customHeight="1">
      <c r="A64" s="43">
        <f t="shared" si="1"/>
        <v>64</v>
      </c>
      <c r="B64" s="45"/>
      <c r="C64" s="61"/>
      <c r="D64" s="84"/>
      <c r="E64" s="79"/>
      <c r="F64" s="51"/>
      <c r="G64" s="51"/>
      <c r="H64" s="51"/>
      <c r="I64" s="51"/>
    </row>
    <row r="65" spans="1:9" ht="15" customHeight="1">
      <c r="A65" s="43">
        <f t="shared" si="1"/>
        <v>65</v>
      </c>
      <c r="B65" s="45">
        <v>252</v>
      </c>
      <c r="C65" s="51" t="s">
        <v>169</v>
      </c>
      <c r="D65" s="83"/>
      <c r="E65" s="79">
        <f>-'Balance Sheet'!P128</f>
        <v>-5412974.889166667</v>
      </c>
      <c r="F65" s="51"/>
      <c r="G65" s="51"/>
      <c r="H65" s="51"/>
      <c r="I65" s="51"/>
    </row>
    <row r="66" spans="1:9" ht="15" customHeight="1">
      <c r="A66" s="43">
        <f t="shared" si="1"/>
        <v>66</v>
      </c>
      <c r="B66" s="45"/>
      <c r="C66" s="66"/>
      <c r="D66" s="84"/>
      <c r="E66" s="79"/>
      <c r="F66" s="51"/>
      <c r="G66" s="51"/>
      <c r="H66" s="51"/>
      <c r="I66" s="51"/>
    </row>
    <row r="67" spans="1:9" ht="15" customHeight="1">
      <c r="A67" s="43">
        <f t="shared" si="1"/>
        <v>67</v>
      </c>
      <c r="B67" s="45"/>
      <c r="C67" s="61"/>
      <c r="D67" s="84"/>
      <c r="E67" s="79"/>
      <c r="F67" s="51"/>
      <c r="G67" s="51"/>
      <c r="H67" s="51"/>
      <c r="I67" s="51"/>
    </row>
    <row r="68" spans="1:9" ht="15" customHeight="1">
      <c r="A68" s="43">
        <f t="shared" si="1"/>
        <v>68</v>
      </c>
      <c r="B68" s="45">
        <v>235</v>
      </c>
      <c r="C68" s="51" t="s">
        <v>170</v>
      </c>
      <c r="D68" s="79"/>
      <c r="E68" s="79">
        <f>-'Balance Sheet'!P113</f>
        <v>-43146174.505833335</v>
      </c>
      <c r="F68" s="51"/>
      <c r="G68" s="51"/>
      <c r="H68" s="51"/>
      <c r="I68" s="51"/>
    </row>
    <row r="69" spans="1:9" ht="15" customHeight="1">
      <c r="A69" s="43">
        <f t="shared" si="1"/>
        <v>69</v>
      </c>
      <c r="B69" s="45"/>
      <c r="C69" s="54"/>
      <c r="D69" s="81"/>
      <c r="E69" s="81"/>
      <c r="F69" s="51"/>
      <c r="G69" s="51"/>
      <c r="H69" s="51"/>
      <c r="I69" s="51"/>
    </row>
    <row r="70" spans="1:9" ht="15" customHeight="1">
      <c r="A70" s="43">
        <f t="shared" si="1"/>
        <v>70</v>
      </c>
      <c r="B70" s="45"/>
      <c r="C70" s="52" t="s">
        <v>171</v>
      </c>
      <c r="D70" s="79"/>
      <c r="E70" s="85">
        <f>SUM(E19:E69)</f>
        <v>6748341223.999998</v>
      </c>
      <c r="F70" s="51"/>
      <c r="G70" s="51"/>
      <c r="H70" s="51"/>
      <c r="I70" s="51"/>
    </row>
    <row r="71" spans="1:9" ht="15" customHeight="1">
      <c r="A71" s="43">
        <f t="shared" si="1"/>
        <v>71</v>
      </c>
      <c r="B71" s="45"/>
      <c r="C71" s="51"/>
      <c r="D71" s="79"/>
      <c r="E71" s="79"/>
      <c r="F71" s="51"/>
      <c r="G71" s="51"/>
      <c r="H71" s="51"/>
      <c r="I71" s="51"/>
    </row>
    <row r="72" spans="1:9" ht="15" customHeight="1">
      <c r="A72" s="43">
        <f t="shared" si="1"/>
        <v>72</v>
      </c>
      <c r="B72" s="45"/>
      <c r="C72" s="67" t="s">
        <v>172</v>
      </c>
      <c r="D72" s="79"/>
      <c r="E72" s="79"/>
      <c r="F72" s="51"/>
      <c r="G72" s="51"/>
      <c r="H72" s="51"/>
      <c r="I72" s="51"/>
    </row>
    <row r="73" spans="1:9" ht="15" customHeight="1">
      <c r="A73" s="43">
        <f aca="true" t="shared" si="2" ref="A73:A136">ROW($A73:$IV73)</f>
        <v>73</v>
      </c>
      <c r="B73" s="45"/>
      <c r="C73" s="51" t="s">
        <v>173</v>
      </c>
      <c r="D73" s="79">
        <f>-D21</f>
        <v>0</v>
      </c>
      <c r="E73" s="79"/>
      <c r="F73" s="51"/>
      <c r="G73" s="51"/>
      <c r="H73" s="51"/>
      <c r="I73" s="51"/>
    </row>
    <row r="74" spans="1:9" ht="15" customHeight="1">
      <c r="A74" s="43">
        <f t="shared" si="2"/>
        <v>74</v>
      </c>
      <c r="B74" s="45"/>
      <c r="C74" s="54" t="s">
        <v>174</v>
      </c>
      <c r="D74" s="81">
        <f>-D30</f>
        <v>0</v>
      </c>
      <c r="E74" s="79">
        <f>+D73+D74</f>
        <v>0</v>
      </c>
      <c r="F74" s="51"/>
      <c r="G74" s="51"/>
      <c r="H74" s="51"/>
      <c r="I74" s="51"/>
    </row>
    <row r="75" spans="1:9" ht="15" customHeight="1">
      <c r="A75" s="43">
        <f t="shared" si="2"/>
        <v>75</v>
      </c>
      <c r="B75" s="45"/>
      <c r="C75" s="61"/>
      <c r="D75" s="84"/>
      <c r="E75" s="79"/>
      <c r="F75" s="51"/>
      <c r="G75" s="51"/>
      <c r="H75" s="51"/>
      <c r="I75" s="51"/>
    </row>
    <row r="76" spans="1:9" ht="15" customHeight="1">
      <c r="A76" s="43">
        <f t="shared" si="2"/>
        <v>76</v>
      </c>
      <c r="B76" s="45">
        <v>107</v>
      </c>
      <c r="C76" s="51" t="s">
        <v>175</v>
      </c>
      <c r="D76" s="79"/>
      <c r="E76" s="79">
        <f>+'Balance Sheet'!P15</f>
        <v>554014341.0116667</v>
      </c>
      <c r="F76" s="51"/>
      <c r="G76" s="51"/>
      <c r="H76" s="51"/>
      <c r="I76" s="51"/>
    </row>
    <row r="77" spans="1:9" ht="15" customHeight="1">
      <c r="A77" s="43">
        <f t="shared" si="2"/>
        <v>77</v>
      </c>
      <c r="B77" s="45"/>
      <c r="C77" s="51"/>
      <c r="D77" s="79"/>
      <c r="E77" s="79"/>
      <c r="F77" s="51"/>
      <c r="G77" s="51"/>
      <c r="H77" s="51"/>
      <c r="I77" s="51"/>
    </row>
    <row r="78" spans="1:9" ht="15" customHeight="1">
      <c r="A78" s="43">
        <f t="shared" si="2"/>
        <v>78</v>
      </c>
      <c r="B78" s="45"/>
      <c r="C78" s="45" t="s">
        <v>176</v>
      </c>
      <c r="D78" s="79"/>
      <c r="E78" s="79"/>
      <c r="F78" s="51"/>
      <c r="G78" s="51"/>
      <c r="H78" s="51"/>
      <c r="I78" s="51"/>
    </row>
    <row r="79" spans="1:9" ht="15" customHeight="1">
      <c r="A79" s="43">
        <f t="shared" si="2"/>
        <v>79</v>
      </c>
      <c r="B79" s="45" t="s">
        <v>177</v>
      </c>
      <c r="C79" s="51" t="s">
        <v>178</v>
      </c>
      <c r="D79" s="79">
        <f>+'Balance Sheet'!P27+'Balance Sheet'!P29+'Balance Sheet'!P30+'Balance Sheet'!P31</f>
        <v>194854661.94166693</v>
      </c>
      <c r="E79" s="79"/>
      <c r="F79" s="51"/>
      <c r="G79" s="51"/>
      <c r="H79" s="51"/>
      <c r="I79" s="51"/>
    </row>
    <row r="80" spans="1:9" ht="15" customHeight="1">
      <c r="A80" s="43">
        <f t="shared" si="2"/>
        <v>80</v>
      </c>
      <c r="B80" s="45">
        <v>122</v>
      </c>
      <c r="C80" s="61" t="s">
        <v>156</v>
      </c>
      <c r="D80" s="84">
        <f>+'Balance Sheet'!P28</f>
        <v>-1148885.7766666666</v>
      </c>
      <c r="E80" s="79"/>
      <c r="F80" s="51"/>
      <c r="G80" s="51"/>
      <c r="H80" s="51"/>
      <c r="I80" s="51"/>
    </row>
    <row r="81" spans="1:9" ht="15" customHeight="1">
      <c r="A81" s="43">
        <f t="shared" si="2"/>
        <v>81</v>
      </c>
      <c r="B81" s="45"/>
      <c r="C81" s="59" t="s">
        <v>232</v>
      </c>
      <c r="D81" s="81">
        <v>-59137941</v>
      </c>
      <c r="E81" s="79">
        <f>SUM(D79:D81)</f>
        <v>134567835.16500026</v>
      </c>
      <c r="F81" s="51" t="s">
        <v>164</v>
      </c>
      <c r="G81" s="51"/>
      <c r="H81" s="51"/>
      <c r="I81" s="51"/>
    </row>
    <row r="82" spans="1:9" ht="15" customHeight="1">
      <c r="A82" s="43">
        <f t="shared" si="2"/>
        <v>82</v>
      </c>
      <c r="B82" s="45"/>
      <c r="C82" s="61"/>
      <c r="D82" s="84"/>
      <c r="E82" s="79"/>
      <c r="F82" s="51"/>
      <c r="G82" s="51"/>
      <c r="H82" s="51"/>
      <c r="I82" s="51"/>
    </row>
    <row r="83" spans="1:9" ht="15" customHeight="1">
      <c r="A83" s="43">
        <f t="shared" si="2"/>
        <v>83</v>
      </c>
      <c r="B83" s="45">
        <v>182.2</v>
      </c>
      <c r="C83" s="60" t="s">
        <v>179</v>
      </c>
      <c r="D83" s="79"/>
      <c r="E83" s="79">
        <f>+'Balance Sheet'!P62</f>
        <v>11584653.518333338</v>
      </c>
      <c r="F83" s="51"/>
      <c r="G83" s="51"/>
      <c r="H83" s="51"/>
      <c r="I83" s="51"/>
    </row>
    <row r="84" spans="1:9" ht="15" customHeight="1">
      <c r="A84" s="43">
        <f t="shared" si="2"/>
        <v>84</v>
      </c>
      <c r="B84" s="45"/>
      <c r="C84" s="60"/>
      <c r="D84" s="79"/>
      <c r="E84" s="79"/>
      <c r="F84" s="51"/>
      <c r="G84" s="51"/>
      <c r="H84" s="51"/>
      <c r="I84" s="51"/>
    </row>
    <row r="85" spans="1:9" ht="15" customHeight="1">
      <c r="A85" s="43">
        <f t="shared" si="2"/>
        <v>85</v>
      </c>
      <c r="B85" s="45"/>
      <c r="C85" s="45" t="s">
        <v>180</v>
      </c>
      <c r="D85" s="79"/>
      <c r="E85" s="79"/>
      <c r="F85" s="51"/>
      <c r="G85" s="51"/>
      <c r="H85" s="51"/>
      <c r="I85" s="51"/>
    </row>
    <row r="86" spans="1:9" ht="15" customHeight="1">
      <c r="A86" s="43">
        <f t="shared" si="2"/>
        <v>86</v>
      </c>
      <c r="B86" s="45" t="s">
        <v>202</v>
      </c>
      <c r="C86" s="51" t="s">
        <v>252</v>
      </c>
      <c r="D86" s="79">
        <f>-D50</f>
        <v>21755000</v>
      </c>
      <c r="E86" s="79"/>
      <c r="F86" s="51"/>
      <c r="G86" s="51"/>
      <c r="H86" s="51"/>
      <c r="I86" s="51"/>
    </row>
    <row r="87" spans="1:9" ht="15" customHeight="1">
      <c r="A87" s="43">
        <f t="shared" si="2"/>
        <v>87</v>
      </c>
      <c r="B87" s="45" t="s">
        <v>206</v>
      </c>
      <c r="C87" s="51" t="s">
        <v>221</v>
      </c>
      <c r="D87" s="79">
        <f>-D51</f>
        <v>498929582</v>
      </c>
      <c r="E87" s="79"/>
      <c r="F87" s="51"/>
      <c r="G87" s="51"/>
      <c r="H87" s="51"/>
      <c r="I87" s="51"/>
    </row>
    <row r="88" spans="1:9" ht="15" customHeight="1">
      <c r="A88" s="43">
        <f t="shared" si="2"/>
        <v>88</v>
      </c>
      <c r="B88" s="45" t="s">
        <v>222</v>
      </c>
      <c r="C88" s="51" t="s">
        <v>47</v>
      </c>
      <c r="D88" s="79">
        <f>-D52</f>
        <v>75877508</v>
      </c>
      <c r="E88" s="79"/>
      <c r="F88" s="51"/>
      <c r="G88" s="51"/>
      <c r="H88" s="51"/>
      <c r="I88" s="51"/>
    </row>
    <row r="89" spans="1:9" ht="15" customHeight="1">
      <c r="A89" s="43">
        <f t="shared" si="2"/>
        <v>89</v>
      </c>
      <c r="B89" s="68" t="s">
        <v>223</v>
      </c>
      <c r="C89" s="54" t="s">
        <v>228</v>
      </c>
      <c r="D89" s="81">
        <f>+'Balance Sheet'!P33+'Balance Sheet'!P54+'Balance Sheet'!P55-'Balance Sheet'!P104-'Balance Sheet'!P122-'Balance Sheet'!P123</f>
        <v>-4001769.802499935</v>
      </c>
      <c r="E89" s="79">
        <f>SUM(D86:D89)</f>
        <v>592560320.1975001</v>
      </c>
      <c r="F89" s="51"/>
      <c r="G89" s="51"/>
      <c r="H89" s="51"/>
      <c r="I89" s="51"/>
    </row>
    <row r="90" spans="1:9" ht="15" customHeight="1">
      <c r="A90" s="43">
        <f t="shared" si="2"/>
        <v>90</v>
      </c>
      <c r="B90" s="45"/>
      <c r="C90" s="51"/>
      <c r="D90" s="79"/>
      <c r="E90" s="79"/>
      <c r="F90" s="51"/>
      <c r="G90" s="51"/>
      <c r="H90" s="51"/>
      <c r="I90" s="51"/>
    </row>
    <row r="91" spans="1:9" ht="15" customHeight="1">
      <c r="A91" s="43">
        <f t="shared" si="2"/>
        <v>91</v>
      </c>
      <c r="B91" s="45">
        <v>101.1</v>
      </c>
      <c r="C91" s="51" t="s">
        <v>181</v>
      </c>
      <c r="D91" s="79"/>
      <c r="E91" s="79">
        <f>+'Balance Sheet'!P10</f>
        <v>35828777.10583334</v>
      </c>
      <c r="F91" s="51"/>
      <c r="G91" s="51"/>
      <c r="H91" s="51"/>
      <c r="I91" s="51"/>
    </row>
    <row r="92" spans="1:9" ht="15" customHeight="1">
      <c r="A92" s="43">
        <f t="shared" si="2"/>
        <v>92</v>
      </c>
      <c r="B92" s="45">
        <v>183</v>
      </c>
      <c r="C92" s="60" t="s">
        <v>182</v>
      </c>
      <c r="D92" s="79"/>
      <c r="E92" s="79">
        <f>+'Balance Sheet'!P64</f>
        <v>3147712.473333333</v>
      </c>
      <c r="F92" s="51"/>
      <c r="G92" s="51"/>
      <c r="H92" s="51"/>
      <c r="I92" s="51"/>
    </row>
    <row r="93" spans="1:9" ht="15" customHeight="1">
      <c r="A93" s="43">
        <f t="shared" si="2"/>
        <v>93</v>
      </c>
      <c r="B93" s="45">
        <v>186</v>
      </c>
      <c r="C93" s="51" t="s">
        <v>183</v>
      </c>
      <c r="D93" s="79"/>
      <c r="E93" s="79">
        <f>-D56</f>
        <v>4261000</v>
      </c>
      <c r="F93" s="51"/>
      <c r="G93" s="51"/>
      <c r="H93" s="51"/>
      <c r="I93" s="51"/>
    </row>
    <row r="94" spans="1:9" ht="15" customHeight="1">
      <c r="A94" s="43">
        <f t="shared" si="2"/>
        <v>94</v>
      </c>
      <c r="B94" s="45"/>
      <c r="C94" s="51"/>
      <c r="D94" s="79"/>
      <c r="E94" s="79"/>
      <c r="F94" s="51"/>
      <c r="G94" s="51"/>
      <c r="H94" s="51"/>
      <c r="I94" s="51"/>
    </row>
    <row r="95" spans="1:9" ht="15" customHeight="1">
      <c r="A95" s="43">
        <f t="shared" si="2"/>
        <v>95</v>
      </c>
      <c r="B95" s="45"/>
      <c r="C95" s="45" t="s">
        <v>184</v>
      </c>
      <c r="D95" s="79"/>
      <c r="E95" s="79"/>
      <c r="F95" s="51"/>
      <c r="G95" s="51"/>
      <c r="H95" s="51"/>
      <c r="I95" s="51"/>
    </row>
    <row r="96" spans="1:9" ht="15" customHeight="1">
      <c r="A96" s="43">
        <f t="shared" si="2"/>
        <v>96</v>
      </c>
      <c r="B96" s="45" t="s">
        <v>160</v>
      </c>
      <c r="C96" s="51" t="s">
        <v>217</v>
      </c>
      <c r="D96" s="79">
        <f>-D37</f>
        <v>24254000</v>
      </c>
      <c r="E96" s="79"/>
      <c r="F96" s="51"/>
      <c r="G96" s="51"/>
      <c r="H96" s="51"/>
      <c r="I96" s="51"/>
    </row>
    <row r="97" spans="1:9" ht="15" customHeight="1">
      <c r="A97" s="43">
        <f t="shared" si="2"/>
        <v>97</v>
      </c>
      <c r="B97" s="45">
        <v>282</v>
      </c>
      <c r="C97" s="51" t="s">
        <v>217</v>
      </c>
      <c r="D97" s="79">
        <f>-D42</f>
        <v>-481000</v>
      </c>
      <c r="E97" s="79"/>
      <c r="F97" s="51"/>
      <c r="G97" s="51"/>
      <c r="H97" s="51"/>
      <c r="I97" s="51"/>
    </row>
    <row r="98" spans="1:9" ht="15" customHeight="1">
      <c r="A98" s="43">
        <f t="shared" si="2"/>
        <v>98</v>
      </c>
      <c r="B98" s="45">
        <v>283</v>
      </c>
      <c r="C98" s="54" t="s">
        <v>218</v>
      </c>
      <c r="D98" s="81">
        <f>-D44</f>
        <v>7056000</v>
      </c>
      <c r="E98" s="79"/>
      <c r="F98" s="51"/>
      <c r="G98" s="51"/>
      <c r="H98" s="51"/>
      <c r="I98" s="51"/>
    </row>
    <row r="99" spans="1:9" ht="15" customHeight="1">
      <c r="A99" s="43">
        <f t="shared" si="2"/>
        <v>99</v>
      </c>
      <c r="B99" s="45"/>
      <c r="C99" s="51" t="s">
        <v>185</v>
      </c>
      <c r="D99" s="84">
        <f>SUM(D96:D98)</f>
        <v>30829000</v>
      </c>
      <c r="E99" s="79">
        <f>+D99</f>
        <v>30829000</v>
      </c>
      <c r="F99" s="51"/>
      <c r="G99" s="51"/>
      <c r="H99" s="51"/>
      <c r="I99" s="51"/>
    </row>
    <row r="100" spans="1:9" ht="15" customHeight="1">
      <c r="A100" s="43">
        <f t="shared" si="2"/>
        <v>100</v>
      </c>
      <c r="B100" s="45"/>
      <c r="C100" s="51"/>
      <c r="D100" s="79"/>
      <c r="E100" s="79"/>
      <c r="F100" s="51"/>
      <c r="G100" s="51"/>
      <c r="H100" s="51"/>
      <c r="I100" s="51"/>
    </row>
    <row r="101" spans="1:9" ht="15" customHeight="1">
      <c r="A101" s="43">
        <f t="shared" si="2"/>
        <v>101</v>
      </c>
      <c r="B101" s="45">
        <v>136</v>
      </c>
      <c r="C101" s="51" t="s">
        <v>186</v>
      </c>
      <c r="D101" s="79"/>
      <c r="E101" s="79">
        <f>+'Balance Sheet'!P40</f>
        <v>68954520.085</v>
      </c>
      <c r="F101" s="51"/>
      <c r="G101" s="51"/>
      <c r="H101" s="51"/>
      <c r="I101" s="51"/>
    </row>
    <row r="102" spans="1:9" ht="15" customHeight="1">
      <c r="A102" s="43">
        <f t="shared" si="2"/>
        <v>102</v>
      </c>
      <c r="B102" s="45" t="s">
        <v>205</v>
      </c>
      <c r="C102" s="51" t="s">
        <v>187</v>
      </c>
      <c r="D102" s="79"/>
      <c r="E102" s="79">
        <f>+'Balance Sheet'!P45+'Balance Sheet'!P46-'Balance Sheet'!P111-'Balance Sheet'!P112</f>
        <v>-14213692.908333361</v>
      </c>
      <c r="F102" s="51"/>
      <c r="G102" s="51"/>
      <c r="H102" s="51"/>
      <c r="I102" s="51"/>
    </row>
    <row r="103" spans="1:9" ht="15" customHeight="1">
      <c r="A103" s="43">
        <f t="shared" si="2"/>
        <v>103</v>
      </c>
      <c r="B103" s="45" t="s">
        <v>188</v>
      </c>
      <c r="C103" s="51" t="s">
        <v>189</v>
      </c>
      <c r="D103" s="79"/>
      <c r="E103" s="79">
        <f>+'Balance Sheet'!P38</f>
        <v>42822138.91166667</v>
      </c>
      <c r="F103" s="51"/>
      <c r="G103" s="51"/>
      <c r="H103" s="51"/>
      <c r="I103" s="51"/>
    </row>
    <row r="104" spans="1:9" ht="15" customHeight="1">
      <c r="A104" s="43">
        <f t="shared" si="2"/>
        <v>104</v>
      </c>
      <c r="B104" s="45"/>
      <c r="C104" s="51"/>
      <c r="D104" s="79"/>
      <c r="E104" s="79"/>
      <c r="F104" s="51"/>
      <c r="G104" s="51"/>
      <c r="H104" s="51"/>
      <c r="I104" s="51"/>
    </row>
    <row r="105" spans="1:9" ht="15" customHeight="1">
      <c r="A105" s="43">
        <f t="shared" si="2"/>
        <v>105</v>
      </c>
      <c r="B105" s="68">
        <v>252</v>
      </c>
      <c r="C105" s="51" t="s">
        <v>190</v>
      </c>
      <c r="D105" s="79"/>
      <c r="E105" s="79">
        <f>+D66</f>
        <v>0</v>
      </c>
      <c r="F105" s="51"/>
      <c r="G105" s="51"/>
      <c r="H105" s="51"/>
      <c r="I105" s="51"/>
    </row>
    <row r="106" spans="1:9" ht="15" customHeight="1">
      <c r="A106" s="43">
        <f t="shared" si="2"/>
        <v>106</v>
      </c>
      <c r="B106" s="68" t="s">
        <v>226</v>
      </c>
      <c r="C106" s="51" t="s">
        <v>227</v>
      </c>
      <c r="D106" s="79"/>
      <c r="E106" s="79">
        <f>-'Balance Sheet'!P101-'Balance Sheet'!P102</f>
        <v>-452813470.50000006</v>
      </c>
      <c r="F106" s="51"/>
      <c r="G106" s="51"/>
      <c r="H106" s="51"/>
      <c r="I106" s="51"/>
    </row>
    <row r="107" spans="1:9" ht="15" customHeight="1">
      <c r="A107" s="43">
        <f t="shared" si="2"/>
        <v>107</v>
      </c>
      <c r="B107" s="45">
        <v>253.99</v>
      </c>
      <c r="C107" s="51" t="s">
        <v>225</v>
      </c>
      <c r="D107" s="79"/>
      <c r="E107" s="79">
        <f>-D60</f>
        <v>-2105000</v>
      </c>
      <c r="F107" s="51"/>
      <c r="G107" s="51"/>
      <c r="H107" s="51"/>
      <c r="I107" s="51"/>
    </row>
    <row r="108" spans="1:9" ht="15" customHeight="1">
      <c r="A108" s="43">
        <f t="shared" si="2"/>
        <v>108</v>
      </c>
      <c r="B108" s="45">
        <v>254</v>
      </c>
      <c r="C108" s="51" t="s">
        <v>191</v>
      </c>
      <c r="D108" s="79"/>
      <c r="E108" s="79">
        <f>-D63</f>
        <v>-3424000</v>
      </c>
      <c r="F108" s="51"/>
      <c r="G108" s="51"/>
      <c r="H108" s="51"/>
      <c r="I108" s="51"/>
    </row>
    <row r="109" spans="1:9" ht="15" customHeight="1">
      <c r="A109" s="43">
        <f t="shared" si="2"/>
        <v>109</v>
      </c>
      <c r="B109" s="45" t="s">
        <v>209</v>
      </c>
      <c r="C109" s="51" t="s">
        <v>210</v>
      </c>
      <c r="D109" s="79"/>
      <c r="E109" s="79">
        <f>-D39</f>
        <v>-223000</v>
      </c>
      <c r="F109" s="52"/>
      <c r="G109" s="51"/>
      <c r="H109" s="51"/>
      <c r="I109" s="51"/>
    </row>
    <row r="110" spans="1:9" ht="15" customHeight="1">
      <c r="A110" s="43">
        <f t="shared" si="2"/>
        <v>110</v>
      </c>
      <c r="B110" s="45" t="s">
        <v>192</v>
      </c>
      <c r="C110" s="51" t="s">
        <v>193</v>
      </c>
      <c r="D110" s="79"/>
      <c r="E110" s="79">
        <f>-'Balance Sheet'!P98-'Balance Sheet'!P121</f>
        <v>-37949027.308333345</v>
      </c>
      <c r="F110" s="52"/>
      <c r="G110" s="51"/>
      <c r="H110" s="51"/>
      <c r="I110" s="51"/>
    </row>
    <row r="111" spans="1:9" ht="15" customHeight="1">
      <c r="A111" s="43">
        <f t="shared" si="2"/>
        <v>111</v>
      </c>
      <c r="B111" s="51"/>
      <c r="C111" s="51"/>
      <c r="D111" s="79"/>
      <c r="E111" s="79"/>
      <c r="F111" s="52"/>
      <c r="G111" s="51"/>
      <c r="H111" s="51"/>
      <c r="I111" s="51"/>
    </row>
    <row r="112" spans="1:9" ht="15" customHeight="1">
      <c r="A112" s="43">
        <f t="shared" si="2"/>
        <v>112</v>
      </c>
      <c r="B112" s="51"/>
      <c r="C112" s="52" t="s">
        <v>194</v>
      </c>
      <c r="D112" s="79"/>
      <c r="E112" s="85">
        <f>SUM(E73:E110)</f>
        <v>967842107.751667</v>
      </c>
      <c r="F112" s="51"/>
      <c r="G112" s="51"/>
      <c r="H112" s="51"/>
      <c r="I112" s="51"/>
    </row>
    <row r="113" spans="1:9" ht="15" customHeight="1">
      <c r="A113" s="43">
        <f t="shared" si="2"/>
        <v>113</v>
      </c>
      <c r="B113" s="51"/>
      <c r="C113" s="51"/>
      <c r="D113" s="53"/>
      <c r="E113" s="79"/>
      <c r="F113" s="51"/>
      <c r="G113" s="51"/>
      <c r="H113" s="51"/>
      <c r="I113" s="51"/>
    </row>
    <row r="114" spans="1:9" ht="15" customHeight="1" thickBot="1">
      <c r="A114" s="43">
        <f t="shared" si="2"/>
        <v>114</v>
      </c>
      <c r="B114" s="51"/>
      <c r="C114" s="69" t="s">
        <v>253</v>
      </c>
      <c r="D114" s="70"/>
      <c r="E114" s="86">
        <f>+E70+E112</f>
        <v>7716183331.751665</v>
      </c>
      <c r="F114" s="51"/>
      <c r="G114" s="51"/>
      <c r="H114" s="51"/>
      <c r="I114" s="51"/>
    </row>
    <row r="115" spans="1:9" ht="15" customHeight="1" thickTop="1">
      <c r="A115" s="43">
        <f t="shared" si="2"/>
        <v>115</v>
      </c>
      <c r="B115" s="51"/>
      <c r="C115" s="51"/>
      <c r="D115" s="53"/>
      <c r="E115" s="79"/>
      <c r="F115" s="51"/>
      <c r="G115" s="51"/>
      <c r="H115" s="51"/>
      <c r="I115" s="51"/>
    </row>
    <row r="116" spans="1:9" ht="15" customHeight="1" thickBot="1">
      <c r="A116" s="43">
        <f t="shared" si="2"/>
        <v>116</v>
      </c>
      <c r="B116" s="51"/>
      <c r="C116" s="71" t="s">
        <v>254</v>
      </c>
      <c r="D116" s="72"/>
      <c r="E116" s="87">
        <f>+E15-E114</f>
        <v>128908638.39166641</v>
      </c>
      <c r="F116" s="51"/>
      <c r="G116" s="51"/>
      <c r="H116" s="51"/>
      <c r="I116" s="51"/>
    </row>
    <row r="117" spans="1:9" ht="15" customHeight="1">
      <c r="A117" s="43">
        <f t="shared" si="2"/>
        <v>117</v>
      </c>
      <c r="B117" s="51"/>
      <c r="C117" s="73"/>
      <c r="D117" s="74"/>
      <c r="E117" s="88"/>
      <c r="F117" s="51"/>
      <c r="G117" s="51"/>
      <c r="H117" s="51"/>
      <c r="I117" s="51"/>
    </row>
    <row r="118" spans="1:9" ht="15" customHeight="1">
      <c r="A118" s="43">
        <f t="shared" si="2"/>
        <v>118</v>
      </c>
      <c r="B118" s="51"/>
      <c r="C118" s="51" t="s">
        <v>195</v>
      </c>
      <c r="D118" s="53"/>
      <c r="E118" s="76">
        <f>+E112/E114</f>
        <v>0.12543015972275445</v>
      </c>
      <c r="F118" s="51"/>
      <c r="G118" s="51"/>
      <c r="H118" s="51"/>
      <c r="I118" s="51"/>
    </row>
    <row r="119" spans="1:9" ht="15" customHeight="1">
      <c r="A119" s="43">
        <f t="shared" si="2"/>
        <v>119</v>
      </c>
      <c r="B119" s="51"/>
      <c r="C119" s="51" t="s">
        <v>239</v>
      </c>
      <c r="D119" s="53"/>
      <c r="E119" s="79">
        <f>+E116*(1-E118)</f>
        <v>112739607.28855689</v>
      </c>
      <c r="F119" s="51"/>
      <c r="G119" s="51"/>
      <c r="H119" s="51"/>
      <c r="I119" s="51"/>
    </row>
    <row r="120" spans="1:9" ht="15" customHeight="1">
      <c r="A120" s="43">
        <f t="shared" si="2"/>
        <v>120</v>
      </c>
      <c r="B120" s="51"/>
      <c r="C120" s="51" t="s">
        <v>204</v>
      </c>
      <c r="D120" s="77">
        <v>0.073809</v>
      </c>
      <c r="E120" s="79">
        <f>+E119*D120</f>
        <v>8321197.674361096</v>
      </c>
      <c r="F120" s="51"/>
      <c r="G120" s="51"/>
      <c r="H120" s="51"/>
      <c r="I120" s="51"/>
    </row>
    <row r="121" spans="1:9" ht="15" customHeight="1">
      <c r="A121" s="43">
        <f t="shared" si="2"/>
        <v>121</v>
      </c>
      <c r="B121" s="63" t="s">
        <v>196</v>
      </c>
      <c r="C121" s="51"/>
      <c r="D121" s="53"/>
      <c r="E121" s="57"/>
      <c r="F121" s="51"/>
      <c r="G121" s="51"/>
      <c r="H121" s="51"/>
      <c r="I121" s="51"/>
    </row>
    <row r="122" spans="1:9" ht="15" customHeight="1">
      <c r="A122" s="43">
        <f t="shared" si="2"/>
        <v>122</v>
      </c>
      <c r="B122" s="63" t="s">
        <v>152</v>
      </c>
      <c r="C122" s="51" t="s">
        <v>213</v>
      </c>
      <c r="D122" s="53"/>
      <c r="E122" s="53"/>
      <c r="F122" s="51"/>
      <c r="G122" s="51"/>
      <c r="H122" s="51"/>
      <c r="I122" s="51"/>
    </row>
    <row r="123" spans="1:9" ht="28.5" customHeight="1">
      <c r="A123" s="43">
        <f t="shared" si="2"/>
        <v>123</v>
      </c>
      <c r="B123" s="80" t="s">
        <v>164</v>
      </c>
      <c r="C123" s="90" t="s">
        <v>236</v>
      </c>
      <c r="D123" s="90"/>
      <c r="E123" s="53"/>
      <c r="F123" s="51"/>
      <c r="G123" s="51"/>
      <c r="H123" s="51"/>
      <c r="I123" s="51"/>
    </row>
    <row r="124" spans="1:9" ht="15" customHeight="1">
      <c r="A124" s="43">
        <f t="shared" si="2"/>
        <v>124</v>
      </c>
      <c r="B124" s="63" t="s">
        <v>235</v>
      </c>
      <c r="C124" s="51" t="s">
        <v>197</v>
      </c>
      <c r="D124" s="53"/>
      <c r="E124" s="57"/>
      <c r="F124" s="51"/>
      <c r="G124" s="51"/>
      <c r="H124" s="51"/>
      <c r="I124" s="51"/>
    </row>
    <row r="125" spans="1:9" ht="15" customHeight="1">
      <c r="A125" s="43">
        <f t="shared" si="2"/>
        <v>125</v>
      </c>
      <c r="B125" s="78"/>
      <c r="C125" s="51"/>
      <c r="D125" s="53"/>
      <c r="E125" s="57"/>
      <c r="F125" s="51"/>
      <c r="G125" s="51"/>
      <c r="H125" s="51"/>
      <c r="I125" s="51"/>
    </row>
    <row r="126" spans="1:9" ht="15" customHeight="1">
      <c r="A126" s="43">
        <f t="shared" si="2"/>
        <v>126</v>
      </c>
      <c r="B126" s="51"/>
      <c r="C126" s="51"/>
      <c r="D126" s="53"/>
      <c r="E126" s="57"/>
      <c r="F126" s="51"/>
      <c r="G126" s="51"/>
      <c r="H126" s="51"/>
      <c r="I126" s="51"/>
    </row>
    <row r="127" spans="1:9" ht="15" customHeight="1">
      <c r="A127" s="43">
        <f t="shared" si="2"/>
        <v>127</v>
      </c>
      <c r="B127" s="51"/>
      <c r="C127" s="51"/>
      <c r="D127" s="74"/>
      <c r="E127" s="75"/>
      <c r="F127" s="51"/>
      <c r="G127" s="51"/>
      <c r="H127" s="51"/>
      <c r="I127" s="51"/>
    </row>
    <row r="128" spans="1:9" ht="15" customHeight="1">
      <c r="A128" s="43">
        <f t="shared" si="2"/>
        <v>128</v>
      </c>
      <c r="B128" s="51"/>
      <c r="C128" s="73"/>
      <c r="D128" s="74"/>
      <c r="E128" s="75"/>
      <c r="F128" s="51"/>
      <c r="G128" s="51"/>
      <c r="H128" s="51"/>
      <c r="I128" s="51"/>
    </row>
    <row r="129" spans="1:9" ht="15" customHeight="1">
      <c r="A129" s="43">
        <f t="shared" si="2"/>
        <v>129</v>
      </c>
      <c r="B129" s="51"/>
      <c r="C129" s="73"/>
      <c r="D129" s="74"/>
      <c r="E129" s="75"/>
      <c r="F129" s="51"/>
      <c r="G129" s="51"/>
      <c r="H129" s="51"/>
      <c r="I129" s="51"/>
    </row>
    <row r="130" spans="1:9" ht="15" customHeight="1">
      <c r="A130" s="43">
        <f t="shared" si="2"/>
        <v>130</v>
      </c>
      <c r="B130" s="51"/>
      <c r="C130" s="51"/>
      <c r="D130" s="60"/>
      <c r="E130" s="79"/>
      <c r="F130" s="51"/>
      <c r="G130" s="51"/>
      <c r="H130" s="51"/>
      <c r="I130" s="51"/>
    </row>
    <row r="131" spans="1:9" ht="15" customHeight="1">
      <c r="A131" s="43">
        <f t="shared" si="2"/>
        <v>131</v>
      </c>
      <c r="B131" s="51"/>
      <c r="C131" s="51"/>
      <c r="D131" s="60"/>
      <c r="E131" s="60"/>
      <c r="F131" s="51"/>
      <c r="G131" s="51"/>
      <c r="H131" s="51"/>
      <c r="I131" s="51"/>
    </row>
    <row r="132" spans="1:9" ht="15" customHeight="1">
      <c r="A132" s="43">
        <f t="shared" si="2"/>
        <v>132</v>
      </c>
      <c r="B132" s="51"/>
      <c r="C132" s="51"/>
      <c r="D132" s="60"/>
      <c r="E132" s="60"/>
      <c r="F132" s="51"/>
      <c r="G132" s="43"/>
      <c r="H132" s="43"/>
      <c r="I132" s="43"/>
    </row>
    <row r="133" spans="1:9" ht="15" customHeight="1">
      <c r="A133" s="43">
        <f t="shared" si="2"/>
        <v>133</v>
      </c>
      <c r="B133" s="51"/>
      <c r="C133" s="51"/>
      <c r="D133" s="51"/>
      <c r="E133" s="51"/>
      <c r="F133" s="51"/>
      <c r="G133" s="43"/>
      <c r="H133" s="43"/>
      <c r="I133" s="43"/>
    </row>
    <row r="134" spans="1:9" ht="15" customHeight="1">
      <c r="A134" s="43">
        <f t="shared" si="2"/>
        <v>134</v>
      </c>
      <c r="B134" s="51"/>
      <c r="C134" s="51"/>
      <c r="D134" s="51"/>
      <c r="E134" s="51"/>
      <c r="F134" s="51"/>
      <c r="G134" s="43"/>
      <c r="H134" s="43"/>
      <c r="I134" s="43"/>
    </row>
    <row r="135" spans="1:9" ht="15" customHeight="1">
      <c r="A135" s="43">
        <f t="shared" si="2"/>
        <v>135</v>
      </c>
      <c r="B135" s="51"/>
      <c r="C135" s="51"/>
      <c r="D135" s="51"/>
      <c r="E135" s="51"/>
      <c r="F135" s="51"/>
      <c r="G135" s="43"/>
      <c r="H135" s="43"/>
      <c r="I135" s="43"/>
    </row>
    <row r="136" spans="1:9" ht="15" customHeight="1">
      <c r="A136" s="43">
        <f t="shared" si="2"/>
        <v>136</v>
      </c>
      <c r="B136" s="51"/>
      <c r="C136" s="51"/>
      <c r="D136" s="51"/>
      <c r="E136" s="51"/>
      <c r="F136" s="51"/>
      <c r="G136" s="43"/>
      <c r="H136" s="43"/>
      <c r="I136" s="43"/>
    </row>
    <row r="137" spans="1:9" ht="15" customHeight="1">
      <c r="A137" s="43">
        <f>ROW(137:137)</f>
        <v>137</v>
      </c>
      <c r="B137" s="51"/>
      <c r="C137" s="51"/>
      <c r="D137" s="51"/>
      <c r="E137" s="51"/>
      <c r="F137" s="51"/>
      <c r="G137" s="43"/>
      <c r="H137" s="43"/>
      <c r="I137" s="43"/>
    </row>
    <row r="138" spans="1:9" ht="15" customHeight="1">
      <c r="A138" s="43">
        <f>ROW(138:138)</f>
        <v>138</v>
      </c>
      <c r="B138" s="51"/>
      <c r="C138" s="51"/>
      <c r="D138" s="51"/>
      <c r="E138" s="51"/>
      <c r="F138" s="51"/>
      <c r="G138" s="43"/>
      <c r="H138" s="43"/>
      <c r="I138" s="43"/>
    </row>
    <row r="139" spans="1:9" ht="15" customHeight="1">
      <c r="A139" s="43">
        <f>ROW(139:139)</f>
        <v>139</v>
      </c>
      <c r="B139" s="51"/>
      <c r="C139" s="51"/>
      <c r="D139" s="51"/>
      <c r="E139" s="51"/>
      <c r="F139" s="51"/>
      <c r="G139" s="43"/>
      <c r="H139" s="43"/>
      <c r="I139" s="43"/>
    </row>
    <row r="140" spans="1:9" ht="15" customHeight="1">
      <c r="A140" s="51"/>
      <c r="B140" s="51"/>
      <c r="C140" s="51"/>
      <c r="D140" s="51"/>
      <c r="E140" s="51"/>
      <c r="F140" s="51"/>
      <c r="G140" s="43"/>
      <c r="H140" s="43"/>
      <c r="I140" s="43"/>
    </row>
    <row r="141" spans="1:9" ht="15" customHeight="1">
      <c r="A141" s="51"/>
      <c r="B141" s="51"/>
      <c r="C141" s="51"/>
      <c r="D141" s="51"/>
      <c r="E141" s="51"/>
      <c r="F141" s="51"/>
      <c r="G141" s="43"/>
      <c r="H141" s="43"/>
      <c r="I141" s="43"/>
    </row>
    <row r="142" spans="1:9" ht="15" customHeight="1">
      <c r="A142" s="51"/>
      <c r="B142" s="51"/>
      <c r="C142" s="51"/>
      <c r="D142" s="51"/>
      <c r="E142" s="51"/>
      <c r="F142" s="51"/>
      <c r="G142" s="43"/>
      <c r="H142" s="43"/>
      <c r="I142" s="43"/>
    </row>
    <row r="143" spans="1:9" ht="15" customHeight="1">
      <c r="A143" s="51"/>
      <c r="B143" s="51"/>
      <c r="C143" s="51"/>
      <c r="D143" s="51"/>
      <c r="E143" s="51"/>
      <c r="F143" s="51"/>
      <c r="G143" s="43"/>
      <c r="H143" s="43"/>
      <c r="I143" s="43"/>
    </row>
    <row r="144" spans="1:9" ht="15" customHeight="1">
      <c r="A144" s="51"/>
      <c r="B144" s="51"/>
      <c r="C144" s="51"/>
      <c r="D144" s="51"/>
      <c r="E144" s="51"/>
      <c r="F144" s="51"/>
      <c r="G144" s="43"/>
      <c r="H144" s="43"/>
      <c r="I144" s="43"/>
    </row>
    <row r="145" spans="1:9" ht="15" customHeight="1">
      <c r="A145" s="51"/>
      <c r="B145" s="51"/>
      <c r="C145" s="51"/>
      <c r="D145" s="51"/>
      <c r="E145" s="51"/>
      <c r="F145" s="51"/>
      <c r="G145" s="43"/>
      <c r="H145" s="43"/>
      <c r="I145" s="43"/>
    </row>
    <row r="146" spans="1:9" ht="15" customHeight="1">
      <c r="A146" s="51"/>
      <c r="B146" s="51"/>
      <c r="C146" s="51"/>
      <c r="D146" s="51"/>
      <c r="E146" s="51"/>
      <c r="F146" s="51"/>
      <c r="G146" s="43"/>
      <c r="H146" s="43"/>
      <c r="I146" s="43"/>
    </row>
    <row r="147" spans="1:9" ht="15" customHeight="1">
      <c r="A147" s="51"/>
      <c r="B147" s="51"/>
      <c r="C147" s="51"/>
      <c r="D147" s="51"/>
      <c r="E147" s="51"/>
      <c r="F147" s="51"/>
      <c r="G147" s="43"/>
      <c r="H147" s="43"/>
      <c r="I147" s="43"/>
    </row>
    <row r="148" spans="1:9" ht="15" customHeight="1">
      <c r="A148" s="51"/>
      <c r="B148" s="51"/>
      <c r="C148" s="51"/>
      <c r="D148" s="51"/>
      <c r="E148" s="51"/>
      <c r="F148" s="51"/>
      <c r="G148" s="43"/>
      <c r="H148" s="43"/>
      <c r="I148" s="43"/>
    </row>
    <row r="149" spans="1:9" ht="15" customHeight="1">
      <c r="A149" s="51"/>
      <c r="B149" s="51"/>
      <c r="C149" s="51"/>
      <c r="D149" s="51"/>
      <c r="E149" s="51"/>
      <c r="F149" s="51"/>
      <c r="G149" s="43"/>
      <c r="H149" s="43"/>
      <c r="I149" s="43"/>
    </row>
    <row r="150" spans="1:9" ht="15" customHeight="1">
      <c r="A150" s="51"/>
      <c r="B150" s="51"/>
      <c r="C150" s="51"/>
      <c r="D150" s="51"/>
      <c r="E150" s="51"/>
      <c r="F150" s="51"/>
      <c r="G150" s="43"/>
      <c r="H150" s="43"/>
      <c r="I150" s="43"/>
    </row>
    <row r="151" spans="1:9" ht="15" customHeight="1">
      <c r="A151" s="51"/>
      <c r="B151" s="51"/>
      <c r="C151" s="51"/>
      <c r="D151" s="51"/>
      <c r="E151" s="51"/>
      <c r="F151" s="51"/>
      <c r="G151" s="43"/>
      <c r="H151" s="43"/>
      <c r="I151" s="43"/>
    </row>
    <row r="152" spans="1:9" ht="15" customHeight="1">
      <c r="A152" s="51"/>
      <c r="B152" s="51"/>
      <c r="C152" s="51"/>
      <c r="D152" s="51"/>
      <c r="E152" s="51"/>
      <c r="F152" s="51"/>
      <c r="G152" s="43"/>
      <c r="H152" s="43"/>
      <c r="I152" s="43"/>
    </row>
    <row r="153" spans="1:9" ht="15" customHeight="1">
      <c r="A153" s="51"/>
      <c r="B153" s="51"/>
      <c r="C153" s="51"/>
      <c r="D153" s="51"/>
      <c r="E153" s="51"/>
      <c r="F153" s="51"/>
      <c r="G153" s="43"/>
      <c r="H153" s="43"/>
      <c r="I153" s="43"/>
    </row>
    <row r="154" spans="1:9" ht="15" customHeight="1">
      <c r="A154" s="43"/>
      <c r="B154" s="43"/>
      <c r="C154" s="43"/>
      <c r="D154" s="43"/>
      <c r="E154" s="43"/>
      <c r="F154" s="43"/>
      <c r="G154" s="43"/>
      <c r="H154" s="43"/>
      <c r="I154" s="43"/>
    </row>
    <row r="155" spans="1:9" ht="15" customHeight="1">
      <c r="A155" s="43"/>
      <c r="B155" s="43"/>
      <c r="C155" s="43"/>
      <c r="D155" s="43"/>
      <c r="E155" s="43"/>
      <c r="F155" s="43"/>
      <c r="G155" s="43"/>
      <c r="H155" s="43"/>
      <c r="I155" s="43"/>
    </row>
    <row r="156" spans="1:9" ht="15" customHeight="1">
      <c r="A156" s="43"/>
      <c r="B156" s="43"/>
      <c r="C156" s="43"/>
      <c r="D156" s="43"/>
      <c r="E156" s="43"/>
      <c r="F156" s="43"/>
      <c r="G156" s="43"/>
      <c r="H156" s="43"/>
      <c r="I156" s="43"/>
    </row>
    <row r="157" spans="1:9" ht="15" customHeight="1">
      <c r="A157" s="43"/>
      <c r="B157" s="43"/>
      <c r="C157" s="43"/>
      <c r="D157" s="43"/>
      <c r="E157" s="43"/>
      <c r="F157" s="43"/>
      <c r="G157" s="43"/>
      <c r="H157" s="43"/>
      <c r="I157" s="43"/>
    </row>
  </sheetData>
  <mergeCells count="5">
    <mergeCell ref="C123:D123"/>
    <mergeCell ref="C1:E1"/>
    <mergeCell ref="C2:E2"/>
    <mergeCell ref="C3:E3"/>
    <mergeCell ref="C4:E4"/>
  </mergeCells>
  <printOptions/>
  <pageMargins left="1.25" right="0.5" top="1" bottom="1" header="0.5" footer="0.5"/>
  <pageSetup fitToHeight="0" fitToWidth="1" horizontalDpi="600" verticalDpi="600" orientation="portrait" scale="66" r:id="rId1"/>
  <headerFooter alignWithMargins="0">
    <oddHeader>&amp;R&amp;"Times New Roman,Regular"PacifiCorp Docket UE-061546
Exhibit ___ (TES-3)
REVISED 3/22/2007</oddHeader>
    <oddFooter>&amp;R&amp;"Times New Roman,Regular"Page &amp;P of &amp;N</oddFooter>
  </headerFooter>
  <rowBreaks count="2" manualBreakCount="2">
    <brk id="46" min="2" max="5" man="1"/>
    <brk id="99" min="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9"/>
  <sheetViews>
    <sheetView workbookViewId="0" topLeftCell="A4">
      <pane xSplit="2" ySplit="5" topLeftCell="O21" activePane="bottomRight" state="frozen"/>
      <selection pane="topLeft" activeCell="A4" sqref="A4"/>
      <selection pane="topRight" activeCell="C4" sqref="C4"/>
      <selection pane="bottomLeft" activeCell="A9" sqref="A9"/>
      <selection pane="bottomRight" activeCell="C127" sqref="C127"/>
    </sheetView>
  </sheetViews>
  <sheetFormatPr defaultColWidth="9.140625" defaultRowHeight="12.75"/>
  <cols>
    <col min="1" max="1" width="4.00390625" style="0" customWidth="1"/>
    <col min="2" max="2" width="48.57421875" style="0" customWidth="1"/>
    <col min="3" max="8" width="15.57421875" style="0" bestFit="1" customWidth="1"/>
    <col min="9" max="9" width="18.00390625" style="0" bestFit="1" customWidth="1"/>
    <col min="10" max="10" width="15.57421875" style="0" bestFit="1" customWidth="1"/>
    <col min="11" max="11" width="17.00390625" style="0" bestFit="1" customWidth="1"/>
    <col min="12" max="12" width="17.421875" style="0" bestFit="1" customWidth="1"/>
    <col min="13" max="15" width="18.140625" style="0" bestFit="1" customWidth="1"/>
    <col min="16" max="16" width="18.57421875" style="1" customWidth="1"/>
    <col min="17" max="18" width="18.140625" style="0" customWidth="1"/>
    <col min="19" max="19" width="18.140625" style="0" bestFit="1" customWidth="1"/>
  </cols>
  <sheetData>
    <row r="1" spans="2:17" s="3" customFormat="1" ht="12.75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="5" customFormat="1" ht="12.75">
      <c r="C2" s="5" t="s">
        <v>132</v>
      </c>
    </row>
    <row r="3" spans="3:19" s="6" customFormat="1" ht="12.75">
      <c r="C3" s="7" t="s">
        <v>115</v>
      </c>
      <c r="D3" s="7" t="s">
        <v>115</v>
      </c>
      <c r="E3" s="7" t="s">
        <v>115</v>
      </c>
      <c r="F3" s="7" t="s">
        <v>115</v>
      </c>
      <c r="G3" s="7" t="s">
        <v>115</v>
      </c>
      <c r="H3" s="7" t="s">
        <v>115</v>
      </c>
      <c r="I3" s="7" t="s">
        <v>115</v>
      </c>
      <c r="J3" s="7" t="s">
        <v>115</v>
      </c>
      <c r="K3" s="7" t="s">
        <v>115</v>
      </c>
      <c r="L3" s="7" t="s">
        <v>115</v>
      </c>
      <c r="M3" s="7" t="s">
        <v>115</v>
      </c>
      <c r="N3" s="7" t="s">
        <v>115</v>
      </c>
      <c r="O3" s="7" t="s">
        <v>115</v>
      </c>
      <c r="Q3" s="8" t="s">
        <v>130</v>
      </c>
      <c r="R3" s="7"/>
      <c r="S3" s="7" t="s">
        <v>115</v>
      </c>
    </row>
    <row r="4" spans="2:19" s="6" customFormat="1" ht="12.75" customHeight="1">
      <c r="B4" s="38" t="s">
        <v>231</v>
      </c>
      <c r="C4" s="9">
        <v>38442</v>
      </c>
      <c r="D4" s="9">
        <v>38472</v>
      </c>
      <c r="E4" s="9">
        <v>38503</v>
      </c>
      <c r="F4" s="9">
        <v>38533</v>
      </c>
      <c r="G4" s="9">
        <v>38564</v>
      </c>
      <c r="H4" s="9">
        <v>38595</v>
      </c>
      <c r="I4" s="9">
        <v>38625</v>
      </c>
      <c r="J4" s="9">
        <v>38656</v>
      </c>
      <c r="K4" s="10">
        <v>38686</v>
      </c>
      <c r="L4" s="10">
        <v>38717</v>
      </c>
      <c r="M4" s="10">
        <v>38748</v>
      </c>
      <c r="N4" s="10">
        <v>38776</v>
      </c>
      <c r="O4" s="10">
        <v>38807</v>
      </c>
      <c r="P4" s="7" t="s">
        <v>229</v>
      </c>
      <c r="Q4" s="10">
        <v>38807</v>
      </c>
      <c r="R4" s="10"/>
      <c r="S4" s="10">
        <v>38837</v>
      </c>
    </row>
    <row r="5" spans="2:19" s="6" customFormat="1" ht="12.75">
      <c r="B5" s="7" t="s">
        <v>230</v>
      </c>
      <c r="C5" s="9"/>
      <c r="D5" s="9"/>
      <c r="E5" s="9"/>
      <c r="F5" s="9"/>
      <c r="G5" s="9"/>
      <c r="H5" s="9"/>
      <c r="I5" s="9"/>
      <c r="J5" s="9"/>
      <c r="K5" s="10"/>
      <c r="L5" s="10"/>
      <c r="M5" s="10"/>
      <c r="N5" s="10"/>
      <c r="O5" s="10"/>
      <c r="P5" s="10">
        <v>38807</v>
      </c>
      <c r="Q5" s="10"/>
      <c r="R5" s="10"/>
      <c r="S5" s="10"/>
    </row>
    <row r="6" spans="2:19" s="6" customFormat="1" ht="12.75">
      <c r="B6" s="38"/>
      <c r="C6" s="9"/>
      <c r="D6" s="9"/>
      <c r="E6" s="9"/>
      <c r="F6" s="9"/>
      <c r="G6" s="9"/>
      <c r="H6" s="9"/>
      <c r="I6" s="9"/>
      <c r="J6" s="9"/>
      <c r="K6" s="10"/>
      <c r="L6" s="10"/>
      <c r="M6" s="10"/>
      <c r="N6" s="10"/>
      <c r="O6" s="10"/>
      <c r="P6" s="10"/>
      <c r="Q6" s="10"/>
      <c r="R6" s="10"/>
      <c r="S6" s="10"/>
    </row>
    <row r="7" spans="2:19" s="6" customFormat="1" ht="12.75">
      <c r="B7" s="11" t="s">
        <v>4</v>
      </c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Q7" s="13"/>
      <c r="R7" s="13"/>
      <c r="S7" s="13"/>
    </row>
    <row r="8" spans="1:19" s="6" customFormat="1" ht="12.75">
      <c r="A8" s="3"/>
      <c r="B8" s="41" t="s">
        <v>5</v>
      </c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19" s="3" customFormat="1" ht="12.75">
      <c r="A9" s="6">
        <v>1</v>
      </c>
      <c r="B9" s="14" t="s">
        <v>6</v>
      </c>
      <c r="C9" s="15">
        <v>13784681011</v>
      </c>
      <c r="D9" s="15">
        <v>13838155139.939999</v>
      </c>
      <c r="E9" s="15">
        <v>14016692808.02</v>
      </c>
      <c r="F9" s="15">
        <v>14102814276.6</v>
      </c>
      <c r="G9" s="15">
        <v>14128610338.07</v>
      </c>
      <c r="H9" s="15">
        <v>14158790022.82</v>
      </c>
      <c r="I9" s="15">
        <v>14184978769.63</v>
      </c>
      <c r="J9" s="15">
        <v>14208346722.72</v>
      </c>
      <c r="K9" s="15">
        <v>14261466974.199999</v>
      </c>
      <c r="L9" s="15">
        <v>14308107866.31</v>
      </c>
      <c r="M9" s="15">
        <v>14329327428.99</v>
      </c>
      <c r="N9" s="15">
        <v>14350112249.8</v>
      </c>
      <c r="O9" s="15">
        <v>14568847962</v>
      </c>
      <c r="P9" s="20">
        <f aca="true" t="shared" si="0" ref="P9:P18">(C9+SUM(D9:N9)*2+O9)/24</f>
        <v>14172013923.633331</v>
      </c>
      <c r="Q9" s="15">
        <f>AVERAGE(C9:O9)</f>
        <v>14172379351.546154</v>
      </c>
      <c r="R9" s="15">
        <f>+Q9-P9</f>
        <v>365427.9128227234</v>
      </c>
      <c r="S9" s="15">
        <v>14613442917.769999</v>
      </c>
    </row>
    <row r="10" spans="1:19" s="3" customFormat="1" ht="12.75">
      <c r="A10" s="3">
        <v>2</v>
      </c>
      <c r="B10" s="14" t="s">
        <v>7</v>
      </c>
      <c r="C10" s="16">
        <v>24296281</v>
      </c>
      <c r="D10" s="17">
        <v>36708025.61000001</v>
      </c>
      <c r="E10" s="17">
        <v>36702511.330000006</v>
      </c>
      <c r="F10" s="17">
        <v>36702511.330000006</v>
      </c>
      <c r="G10" s="18">
        <v>36702511.330000006</v>
      </c>
      <c r="H10" s="17">
        <v>36702511.330000006</v>
      </c>
      <c r="I10" s="17">
        <v>36702511.330000006</v>
      </c>
      <c r="J10" s="17">
        <v>36702511.330000006</v>
      </c>
      <c r="K10" s="17">
        <v>36702511.330000006</v>
      </c>
      <c r="L10" s="17">
        <v>36702511.330000006</v>
      </c>
      <c r="M10" s="19">
        <v>36702511.330000006</v>
      </c>
      <c r="N10" s="19">
        <v>33844338.190000005</v>
      </c>
      <c r="O10" s="19">
        <v>33844438</v>
      </c>
      <c r="P10" s="20">
        <f t="shared" si="0"/>
        <v>35828777.10583334</v>
      </c>
      <c r="Q10" s="20">
        <f aca="true" t="shared" si="1" ref="Q10:Q24">AVERAGE(C10:O10)</f>
        <v>35308898.828461535</v>
      </c>
      <c r="R10" s="20">
        <f aca="true" t="shared" si="2" ref="R10:R73">+Q10-P10</f>
        <v>-519878.27737180144</v>
      </c>
      <c r="S10" s="19">
        <v>33844438.2</v>
      </c>
    </row>
    <row r="11" spans="1:19" s="3" customFormat="1" ht="12.75">
      <c r="A11" s="3">
        <v>3</v>
      </c>
      <c r="B11" s="14" t="s">
        <v>8</v>
      </c>
      <c r="C11" s="16">
        <v>192231</v>
      </c>
      <c r="D11" s="17">
        <v>192231.11000000103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20">
        <f t="shared" si="0"/>
        <v>24028.884166666754</v>
      </c>
      <c r="Q11" s="20">
        <f t="shared" si="1"/>
        <v>29574.008461538542</v>
      </c>
      <c r="R11" s="20">
        <f t="shared" si="2"/>
        <v>5545.124294871788</v>
      </c>
      <c r="S11" s="17">
        <v>0</v>
      </c>
    </row>
    <row r="12" spans="1:19" s="3" customFormat="1" ht="12.75">
      <c r="A12" s="3">
        <v>4</v>
      </c>
      <c r="B12" s="14" t="s">
        <v>9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20">
        <f t="shared" si="0"/>
        <v>0</v>
      </c>
      <c r="Q12" s="20">
        <f t="shared" si="1"/>
        <v>0</v>
      </c>
      <c r="R12" s="20">
        <f t="shared" si="2"/>
        <v>0</v>
      </c>
      <c r="S12" s="19">
        <v>0</v>
      </c>
    </row>
    <row r="13" spans="1:19" s="3" customFormat="1" ht="12.75">
      <c r="A13" s="3">
        <v>5</v>
      </c>
      <c r="B13" s="14" t="s">
        <v>10</v>
      </c>
      <c r="C13" s="16">
        <v>1346101</v>
      </c>
      <c r="D13" s="17">
        <v>1072489.24</v>
      </c>
      <c r="E13" s="17">
        <v>1072489.24</v>
      </c>
      <c r="F13" s="17">
        <v>1072489.24</v>
      </c>
      <c r="G13" s="18">
        <v>1072489.24</v>
      </c>
      <c r="H13" s="17">
        <v>1072489.24</v>
      </c>
      <c r="I13" s="17">
        <v>3299218.48</v>
      </c>
      <c r="J13" s="17">
        <v>3208018.85</v>
      </c>
      <c r="K13" s="17">
        <v>3016893.94</v>
      </c>
      <c r="L13" s="17">
        <v>3205805.36</v>
      </c>
      <c r="M13" s="19">
        <v>3205805.36</v>
      </c>
      <c r="N13" s="19">
        <v>3205805.36</v>
      </c>
      <c r="O13" s="19">
        <v>3205805</v>
      </c>
      <c r="P13" s="20">
        <f t="shared" si="0"/>
        <v>2231662.2125</v>
      </c>
      <c r="Q13" s="20">
        <f t="shared" si="1"/>
        <v>2235069.196153846</v>
      </c>
      <c r="R13" s="20">
        <f t="shared" si="2"/>
        <v>3406.983653846197</v>
      </c>
      <c r="S13" s="19">
        <v>3205805.36</v>
      </c>
    </row>
    <row r="14" spans="1:19" s="3" customFormat="1" ht="12.75">
      <c r="A14" s="3">
        <v>6</v>
      </c>
      <c r="B14" s="14" t="s">
        <v>11</v>
      </c>
      <c r="C14" s="16">
        <v>30981899</v>
      </c>
      <c r="D14" s="17">
        <v>32314499.33</v>
      </c>
      <c r="E14" s="17">
        <v>27901543.83</v>
      </c>
      <c r="F14" s="17">
        <v>34470856.41</v>
      </c>
      <c r="G14" s="18">
        <v>29919981.759999998</v>
      </c>
      <c r="H14" s="17">
        <v>28920447.33</v>
      </c>
      <c r="I14" s="17">
        <v>39028388.01</v>
      </c>
      <c r="J14" s="17">
        <v>35888970.95999999</v>
      </c>
      <c r="K14" s="17">
        <v>41754059.03</v>
      </c>
      <c r="L14" s="17">
        <v>27688861.869999997</v>
      </c>
      <c r="M14" s="19">
        <v>22023281.049999997</v>
      </c>
      <c r="N14" s="19">
        <v>30154067.509999998</v>
      </c>
      <c r="O14" s="19">
        <v>38983872</v>
      </c>
      <c r="P14" s="20">
        <f t="shared" si="0"/>
        <v>32087320.215833332</v>
      </c>
      <c r="Q14" s="20">
        <f t="shared" si="1"/>
        <v>32310056.006923076</v>
      </c>
      <c r="R14" s="20">
        <f t="shared" si="2"/>
        <v>222735.79108974338</v>
      </c>
      <c r="S14" s="19">
        <v>28072096.11</v>
      </c>
    </row>
    <row r="15" spans="1:19" s="3" customFormat="1" ht="12.75">
      <c r="A15" s="3">
        <v>7</v>
      </c>
      <c r="B15" s="14" t="s">
        <v>12</v>
      </c>
      <c r="C15" s="16">
        <v>570805316</v>
      </c>
      <c r="D15" s="17">
        <v>582492811.31</v>
      </c>
      <c r="E15" s="17">
        <v>484323951.75999993</v>
      </c>
      <c r="F15" s="17">
        <v>446681130.79999995</v>
      </c>
      <c r="G15" s="18">
        <v>485233880.15</v>
      </c>
      <c r="H15" s="17">
        <v>504877975.40999997</v>
      </c>
      <c r="I15" s="17">
        <v>536949670.9599999</v>
      </c>
      <c r="J15" s="17">
        <v>561610899.9799999</v>
      </c>
      <c r="K15" s="17">
        <v>562135148.92</v>
      </c>
      <c r="L15" s="17">
        <v>594604038.17</v>
      </c>
      <c r="M15" s="19">
        <v>640675657.1999999</v>
      </c>
      <c r="N15" s="19">
        <v>678304823.98</v>
      </c>
      <c r="O15" s="19">
        <v>569758891</v>
      </c>
      <c r="P15" s="20">
        <f t="shared" si="0"/>
        <v>554014341.0116667</v>
      </c>
      <c r="Q15" s="20">
        <f t="shared" si="1"/>
        <v>555265707.356923</v>
      </c>
      <c r="R15" s="20">
        <f t="shared" si="2"/>
        <v>1251366.3452563286</v>
      </c>
      <c r="S15" s="19">
        <v>615551119.8</v>
      </c>
    </row>
    <row r="16" spans="1:19" s="3" customFormat="1" ht="12.75">
      <c r="A16" s="3">
        <v>8</v>
      </c>
      <c r="B16" s="14" t="s">
        <v>13</v>
      </c>
      <c r="C16" s="16">
        <v>157193780</v>
      </c>
      <c r="D16" s="17">
        <v>157193779.75</v>
      </c>
      <c r="E16" s="17">
        <v>157193779.75</v>
      </c>
      <c r="F16" s="17">
        <v>157193779.75</v>
      </c>
      <c r="G16" s="18">
        <v>157193779.75</v>
      </c>
      <c r="H16" s="17">
        <v>157193779.75</v>
      </c>
      <c r="I16" s="17">
        <v>157193779.75</v>
      </c>
      <c r="J16" s="17">
        <v>157193779.75</v>
      </c>
      <c r="K16" s="17">
        <v>157193779.75</v>
      </c>
      <c r="L16" s="17">
        <v>157193779.75</v>
      </c>
      <c r="M16" s="19">
        <v>157193779.75</v>
      </c>
      <c r="N16" s="19">
        <v>157193779.75</v>
      </c>
      <c r="O16" s="19">
        <v>157193780</v>
      </c>
      <c r="P16" s="20">
        <f t="shared" si="0"/>
        <v>157193779.77083334</v>
      </c>
      <c r="Q16" s="20">
        <f t="shared" si="1"/>
        <v>157193779.78846154</v>
      </c>
      <c r="R16" s="20">
        <f t="shared" si="2"/>
        <v>0.017628192901611328</v>
      </c>
      <c r="S16" s="19">
        <v>157193779.75</v>
      </c>
    </row>
    <row r="17" spans="1:19" s="3" customFormat="1" ht="12.75">
      <c r="A17" s="3">
        <v>9</v>
      </c>
      <c r="B17" s="14" t="s">
        <v>14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20">
        <f t="shared" si="0"/>
        <v>0</v>
      </c>
      <c r="Q17" s="20">
        <f t="shared" si="1"/>
        <v>0</v>
      </c>
      <c r="R17" s="20">
        <f t="shared" si="2"/>
        <v>0</v>
      </c>
      <c r="S17" s="19">
        <v>0</v>
      </c>
    </row>
    <row r="18" spans="1:19" s="3" customFormat="1" ht="12.75">
      <c r="A18" s="3">
        <v>10</v>
      </c>
      <c r="B18" s="14" t="s">
        <v>15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20">
        <f t="shared" si="0"/>
        <v>0</v>
      </c>
      <c r="Q18" s="20">
        <f t="shared" si="1"/>
        <v>0</v>
      </c>
      <c r="R18" s="20">
        <f t="shared" si="2"/>
        <v>0</v>
      </c>
      <c r="S18" s="19">
        <v>0</v>
      </c>
    </row>
    <row r="19" spans="1:19" s="3" customFormat="1" ht="12.75">
      <c r="A19" s="3">
        <v>11</v>
      </c>
      <c r="B19" s="21" t="s">
        <v>16</v>
      </c>
      <c r="C19" s="19">
        <f>SUM(C9:C18)</f>
        <v>14569496619</v>
      </c>
      <c r="D19" s="19">
        <f aca="true" t="shared" si="3" ref="D19:S19">SUM(D9:D18)</f>
        <v>14648128976.289999</v>
      </c>
      <c r="E19" s="19">
        <f t="shared" si="3"/>
        <v>14723887083.93</v>
      </c>
      <c r="F19" s="19">
        <f t="shared" si="3"/>
        <v>14778935044.13</v>
      </c>
      <c r="G19" s="19">
        <f t="shared" si="3"/>
        <v>14838732980.3</v>
      </c>
      <c r="H19" s="19">
        <f t="shared" si="3"/>
        <v>14887557225.88</v>
      </c>
      <c r="I19" s="19">
        <f t="shared" si="3"/>
        <v>14958152338.159998</v>
      </c>
      <c r="J19" s="19">
        <f t="shared" si="3"/>
        <v>15002950903.589998</v>
      </c>
      <c r="K19" s="19">
        <f t="shared" si="3"/>
        <v>15062269367.17</v>
      </c>
      <c r="L19" s="19">
        <f t="shared" si="3"/>
        <v>15127502862.79</v>
      </c>
      <c r="M19" s="19">
        <f t="shared" si="3"/>
        <v>15189128463.68</v>
      </c>
      <c r="N19" s="19">
        <f t="shared" si="3"/>
        <v>15252815064.59</v>
      </c>
      <c r="O19" s="19">
        <f t="shared" si="3"/>
        <v>15371834748</v>
      </c>
      <c r="P19" s="19">
        <f t="shared" si="3"/>
        <v>14953393832.834166</v>
      </c>
      <c r="Q19" s="20">
        <f t="shared" si="1"/>
        <v>14954722436.731537</v>
      </c>
      <c r="R19" s="20">
        <f t="shared" si="2"/>
        <v>1328603.897371292</v>
      </c>
      <c r="S19" s="19">
        <f t="shared" si="3"/>
        <v>15451310156.99</v>
      </c>
    </row>
    <row r="20" spans="1:19" s="3" customFormat="1" ht="12.75">
      <c r="A20" s="3">
        <v>12</v>
      </c>
      <c r="B20" s="14" t="s">
        <v>17</v>
      </c>
      <c r="C20" s="16">
        <v>-5528290204</v>
      </c>
      <c r="D20" s="17">
        <v>-5555635679.87</v>
      </c>
      <c r="E20" s="17">
        <v>-5579275535.6</v>
      </c>
      <c r="F20" s="17">
        <v>-5600776280.16</v>
      </c>
      <c r="G20" s="18">
        <v>-5622077017.42</v>
      </c>
      <c r="H20" s="17">
        <v>-5638271650.35</v>
      </c>
      <c r="I20" s="17">
        <v>-5657158549.46</v>
      </c>
      <c r="J20" s="17">
        <v>-5649688629.78</v>
      </c>
      <c r="K20" s="17">
        <v>-5678549495.9</v>
      </c>
      <c r="L20" s="17">
        <v>-5690545717.9</v>
      </c>
      <c r="M20" s="19">
        <v>-5706682428.23</v>
      </c>
      <c r="N20" s="19">
        <v>-5734604035.95</v>
      </c>
      <c r="O20" s="19">
        <v>-5761682135</v>
      </c>
      <c r="P20" s="20">
        <f>(C20+SUM(D20:N20)*2+O20)/24</f>
        <v>-5646520932.509999</v>
      </c>
      <c r="Q20" s="20">
        <f t="shared" si="1"/>
        <v>-5646402873.816923</v>
      </c>
      <c r="R20" s="20">
        <f t="shared" si="2"/>
        <v>118058.69307613373</v>
      </c>
      <c r="S20" s="19">
        <v>-5788709025.16</v>
      </c>
    </row>
    <row r="21" spans="1:19" s="3" customFormat="1" ht="12.75">
      <c r="A21" s="3">
        <v>13</v>
      </c>
      <c r="B21" s="14" t="s">
        <v>18</v>
      </c>
      <c r="C21" s="16">
        <v>-329523774</v>
      </c>
      <c r="D21" s="17">
        <v>-333738244.53</v>
      </c>
      <c r="E21" s="17">
        <v>-337855701.39</v>
      </c>
      <c r="F21" s="17">
        <v>-342118602.36</v>
      </c>
      <c r="G21" s="18">
        <v>-345530337.48</v>
      </c>
      <c r="H21" s="17">
        <v>-349407579.83</v>
      </c>
      <c r="I21" s="17">
        <v>-353235905.08</v>
      </c>
      <c r="J21" s="17">
        <v>-356579391.69</v>
      </c>
      <c r="K21" s="17">
        <v>-360795862.07</v>
      </c>
      <c r="L21" s="17">
        <v>-365012765.87</v>
      </c>
      <c r="M21" s="19">
        <v>-369092064.59</v>
      </c>
      <c r="N21" s="19">
        <v>-355877710.92</v>
      </c>
      <c r="O21" s="19">
        <v>-343459201</v>
      </c>
      <c r="P21" s="20">
        <f>(C21+SUM(D21:N21)*2+O21)/24</f>
        <v>-350477971.1091667</v>
      </c>
      <c r="Q21" s="20">
        <f t="shared" si="1"/>
        <v>-349402087.7546154</v>
      </c>
      <c r="R21" s="20">
        <f t="shared" si="2"/>
        <v>1075883.3545512557</v>
      </c>
      <c r="S21" s="19">
        <v>-347578680.38</v>
      </c>
    </row>
    <row r="22" spans="1:19" s="3" customFormat="1" ht="12.75">
      <c r="A22" s="3">
        <v>14</v>
      </c>
      <c r="B22" s="14" t="s">
        <v>118</v>
      </c>
      <c r="C22" s="16">
        <v>-70299947</v>
      </c>
      <c r="D22" s="17">
        <v>-70756559.27</v>
      </c>
      <c r="E22" s="17">
        <v>-71213172.01</v>
      </c>
      <c r="F22" s="17">
        <v>-71669784.75</v>
      </c>
      <c r="G22" s="18">
        <v>-72126397.5</v>
      </c>
      <c r="H22" s="17">
        <v>-72583010.24</v>
      </c>
      <c r="I22" s="17">
        <v>-73039622.99</v>
      </c>
      <c r="J22" s="17">
        <v>-73496235.72</v>
      </c>
      <c r="K22" s="17">
        <v>-73952848.46</v>
      </c>
      <c r="L22" s="17">
        <v>-74409461.21</v>
      </c>
      <c r="M22" s="19">
        <v>-74866073.96</v>
      </c>
      <c r="N22" s="19">
        <v>-75322686.69</v>
      </c>
      <c r="O22" s="19">
        <v>-75779299</v>
      </c>
      <c r="P22" s="20">
        <f>(C22+SUM(D22:N22)*2+O22)/24</f>
        <v>-73039622.98333335</v>
      </c>
      <c r="Q22" s="20">
        <f t="shared" si="1"/>
        <v>-73039622.9846154</v>
      </c>
      <c r="R22" s="20">
        <f t="shared" si="2"/>
        <v>-0.0012820512056350708</v>
      </c>
      <c r="S22" s="19">
        <v>-76235912.19</v>
      </c>
    </row>
    <row r="23" spans="1:19" s="3" customFormat="1" ht="12.75">
      <c r="A23" s="3">
        <v>15</v>
      </c>
      <c r="B23" s="14" t="s">
        <v>19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20">
        <f>(C23+SUM(D23:N23)*2+O23)/24</f>
        <v>0</v>
      </c>
      <c r="Q23" s="20">
        <f t="shared" si="1"/>
        <v>0</v>
      </c>
      <c r="R23" s="20">
        <f t="shared" si="2"/>
        <v>0</v>
      </c>
      <c r="S23" s="19">
        <v>0</v>
      </c>
    </row>
    <row r="24" spans="1:19" s="3" customFormat="1" ht="12.75">
      <c r="A24" s="3">
        <v>16</v>
      </c>
      <c r="B24" s="14" t="s">
        <v>20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20">
        <f>(C24+SUM(D24:N24)*2+O24)/24</f>
        <v>0</v>
      </c>
      <c r="Q24" s="20">
        <f t="shared" si="1"/>
        <v>0</v>
      </c>
      <c r="R24" s="20">
        <f t="shared" si="2"/>
        <v>0</v>
      </c>
      <c r="S24" s="19">
        <v>0</v>
      </c>
    </row>
    <row r="25" spans="1:19" s="3" customFormat="1" ht="12.75">
      <c r="A25" s="3">
        <v>17</v>
      </c>
      <c r="B25" s="21" t="s">
        <v>21</v>
      </c>
      <c r="C25" s="19">
        <f>SUM(C19:C24)</f>
        <v>8641382694</v>
      </c>
      <c r="D25" s="19">
        <f aca="true" t="shared" si="4" ref="D25:S25">SUM(D19:D24)</f>
        <v>8687998492.619997</v>
      </c>
      <c r="E25" s="19">
        <f t="shared" si="4"/>
        <v>8735542674.93</v>
      </c>
      <c r="F25" s="19">
        <f t="shared" si="4"/>
        <v>8764370376.859999</v>
      </c>
      <c r="G25" s="19">
        <f t="shared" si="4"/>
        <v>8798999227.9</v>
      </c>
      <c r="H25" s="19">
        <f t="shared" si="4"/>
        <v>8827294985.46</v>
      </c>
      <c r="I25" s="19">
        <f t="shared" si="4"/>
        <v>8874718260.629997</v>
      </c>
      <c r="J25" s="19">
        <f t="shared" si="4"/>
        <v>8923186646.399998</v>
      </c>
      <c r="K25" s="19">
        <f t="shared" si="4"/>
        <v>8948971160.740002</v>
      </c>
      <c r="L25" s="19">
        <f t="shared" si="4"/>
        <v>8997534917.810001</v>
      </c>
      <c r="M25" s="19">
        <f t="shared" si="4"/>
        <v>9038487896.900002</v>
      </c>
      <c r="N25" s="19">
        <f t="shared" si="4"/>
        <v>9087010631.029999</v>
      </c>
      <c r="O25" s="19">
        <f t="shared" si="4"/>
        <v>9190914113</v>
      </c>
      <c r="P25" s="19">
        <f t="shared" si="4"/>
        <v>8883355306.231665</v>
      </c>
      <c r="Q25" s="19">
        <f t="shared" si="4"/>
        <v>8885877852.175383</v>
      </c>
      <c r="R25" s="20">
        <f t="shared" si="2"/>
        <v>2522545.9437179565</v>
      </c>
      <c r="S25" s="19">
        <f t="shared" si="4"/>
        <v>9238786539.26</v>
      </c>
    </row>
    <row r="26" spans="1:19" s="3" customFormat="1" ht="12.75">
      <c r="A26" s="3">
        <v>18</v>
      </c>
      <c r="B26" s="40" t="s">
        <v>22</v>
      </c>
      <c r="C26" s="22"/>
      <c r="D26" s="23"/>
      <c r="E26" s="23"/>
      <c r="F26" s="23"/>
      <c r="G26" s="24"/>
      <c r="H26" s="23"/>
      <c r="I26" s="23"/>
      <c r="J26" s="23"/>
      <c r="K26" s="23"/>
      <c r="L26" s="23"/>
      <c r="M26" s="25"/>
      <c r="N26" s="25"/>
      <c r="O26" s="25"/>
      <c r="P26" s="19"/>
      <c r="Q26" s="26"/>
      <c r="R26" s="20">
        <f t="shared" si="2"/>
        <v>0</v>
      </c>
      <c r="S26" s="25"/>
    </row>
    <row r="27" spans="1:19" s="3" customFormat="1" ht="12.75">
      <c r="A27" s="3">
        <v>19</v>
      </c>
      <c r="B27" s="14" t="s">
        <v>23</v>
      </c>
      <c r="C27" s="16">
        <v>8512824</v>
      </c>
      <c r="D27" s="17">
        <v>8411086.050000003</v>
      </c>
      <c r="E27" s="17">
        <v>8587169.990000002</v>
      </c>
      <c r="F27" s="17">
        <v>7547823.070000002</v>
      </c>
      <c r="G27" s="18">
        <v>7575006.060000001</v>
      </c>
      <c r="H27" s="17">
        <v>7591361.670000002</v>
      </c>
      <c r="I27" s="17">
        <v>8109428.660000002</v>
      </c>
      <c r="J27" s="17">
        <v>8219338.160000002</v>
      </c>
      <c r="K27" s="17">
        <v>7815929.260000002</v>
      </c>
      <c r="L27" s="17">
        <v>7836483.220000002</v>
      </c>
      <c r="M27" s="19">
        <v>9294771.220000003</v>
      </c>
      <c r="N27" s="19">
        <v>8889335.8</v>
      </c>
      <c r="O27" s="19">
        <v>8889336</v>
      </c>
      <c r="P27" s="20">
        <f aca="true" t="shared" si="5" ref="P27:P34">(C27+SUM(D27:N27)*2+O27)/24</f>
        <v>8214901.096666668</v>
      </c>
      <c r="Q27" s="20">
        <f aca="true" t="shared" si="6" ref="Q27:Q34">AVERAGE(C27:O27)</f>
        <v>8252299.473846154</v>
      </c>
      <c r="R27" s="20">
        <f t="shared" si="2"/>
        <v>37398.37717948668</v>
      </c>
      <c r="S27" s="19">
        <v>8890263.430000002</v>
      </c>
    </row>
    <row r="28" spans="1:19" s="3" customFormat="1" ht="12.75">
      <c r="A28" s="3">
        <v>20</v>
      </c>
      <c r="B28" s="14" t="s">
        <v>24</v>
      </c>
      <c r="C28" s="16">
        <v>-1424910</v>
      </c>
      <c r="D28" s="17">
        <v>-1317093.41</v>
      </c>
      <c r="E28" s="17">
        <v>-1327059.62</v>
      </c>
      <c r="F28" s="17">
        <v>-1036549.27</v>
      </c>
      <c r="G28" s="18">
        <v>-1031078.85</v>
      </c>
      <c r="H28" s="17">
        <v>-1038263.38</v>
      </c>
      <c r="I28" s="17">
        <v>-1102927.05</v>
      </c>
      <c r="J28" s="17">
        <v>-1113171.56</v>
      </c>
      <c r="K28" s="17">
        <v>-1120093.91</v>
      </c>
      <c r="L28" s="17">
        <v>-1128545.01</v>
      </c>
      <c r="M28" s="19">
        <v>-1136996.1</v>
      </c>
      <c r="N28" s="19">
        <v>-1145447.16</v>
      </c>
      <c r="O28" s="19">
        <v>-1153898</v>
      </c>
      <c r="P28" s="20">
        <f t="shared" si="5"/>
        <v>-1148885.7766666666</v>
      </c>
      <c r="Q28" s="20">
        <f t="shared" si="6"/>
        <v>-1159694.8707692309</v>
      </c>
      <c r="R28" s="20">
        <f t="shared" si="2"/>
        <v>-10809.094102564268</v>
      </c>
      <c r="S28" s="19">
        <v>-1162335.36</v>
      </c>
    </row>
    <row r="29" spans="1:19" s="3" customFormat="1" ht="12.75">
      <c r="A29" s="3">
        <v>21</v>
      </c>
      <c r="B29" s="14" t="s">
        <v>25</v>
      </c>
      <c r="C29" s="16">
        <v>14652238</v>
      </c>
      <c r="D29" s="17">
        <v>14988671.259999998</v>
      </c>
      <c r="E29" s="17">
        <v>15609719.169999998</v>
      </c>
      <c r="F29" s="17">
        <v>17305536.22</v>
      </c>
      <c r="G29" s="18">
        <v>17319467.549999997</v>
      </c>
      <c r="H29" s="17">
        <v>17506861.729999997</v>
      </c>
      <c r="I29" s="17">
        <v>18157277.64</v>
      </c>
      <c r="J29" s="17">
        <v>17033868.47</v>
      </c>
      <c r="K29" s="17">
        <v>16182478.459999999</v>
      </c>
      <c r="L29" s="17">
        <v>16579182.02</v>
      </c>
      <c r="M29" s="19">
        <v>16422924.95</v>
      </c>
      <c r="N29" s="19">
        <v>15706409.399999999</v>
      </c>
      <c r="O29" s="19">
        <v>7724717</v>
      </c>
      <c r="P29" s="20">
        <f t="shared" si="5"/>
        <v>16166739.530833332</v>
      </c>
      <c r="Q29" s="20">
        <f t="shared" si="6"/>
        <v>15783796.297692306</v>
      </c>
      <c r="R29" s="20">
        <f t="shared" si="2"/>
        <v>-382943.2331410255</v>
      </c>
      <c r="S29" s="19">
        <v>7774173.59</v>
      </c>
    </row>
    <row r="30" spans="1:19" s="3" customFormat="1" ht="12.75">
      <c r="A30" s="3">
        <v>22</v>
      </c>
      <c r="B30" s="14" t="s">
        <v>26</v>
      </c>
      <c r="C30" s="16">
        <v>76379405</v>
      </c>
      <c r="D30" s="17">
        <v>76134723.05000027</v>
      </c>
      <c r="E30" s="17">
        <v>77083659.32000026</v>
      </c>
      <c r="F30" s="17">
        <v>78269038.47000027</v>
      </c>
      <c r="G30" s="18">
        <v>79853122.19000027</v>
      </c>
      <c r="H30" s="17">
        <v>80612427.39000027</v>
      </c>
      <c r="I30" s="17">
        <v>81748579.71000028</v>
      </c>
      <c r="J30" s="17">
        <v>83331501.37000027</v>
      </c>
      <c r="K30" s="17">
        <v>84163321.56000027</v>
      </c>
      <c r="L30" s="17">
        <v>84853402.58000028</v>
      </c>
      <c r="M30" s="19">
        <v>87145445.08000028</v>
      </c>
      <c r="N30" s="19">
        <v>88096519.28000028</v>
      </c>
      <c r="O30" s="19">
        <v>101099013</v>
      </c>
      <c r="P30" s="20">
        <f t="shared" si="5"/>
        <v>82502579.0833336</v>
      </c>
      <c r="Q30" s="20">
        <f t="shared" si="6"/>
        <v>82982319.84615406</v>
      </c>
      <c r="R30" s="20">
        <f t="shared" si="2"/>
        <v>479740.76282046735</v>
      </c>
      <c r="S30" s="19">
        <v>101333473.31000029</v>
      </c>
    </row>
    <row r="31" spans="1:19" s="3" customFormat="1" ht="12.75">
      <c r="A31" s="3">
        <v>23</v>
      </c>
      <c r="B31" s="14" t="s">
        <v>27</v>
      </c>
      <c r="C31" s="16">
        <v>85232865</v>
      </c>
      <c r="D31" s="17">
        <v>85293343.52000001</v>
      </c>
      <c r="E31" s="17">
        <v>86283273.77000001</v>
      </c>
      <c r="F31" s="17">
        <v>87596194.45</v>
      </c>
      <c r="G31" s="18">
        <v>88018649.85000001</v>
      </c>
      <c r="H31" s="17">
        <v>87008183.87</v>
      </c>
      <c r="I31" s="17">
        <v>88700335.80000001</v>
      </c>
      <c r="J31" s="17">
        <v>89004982.17000002</v>
      </c>
      <c r="K31" s="17">
        <v>89313917.49000001</v>
      </c>
      <c r="L31" s="17">
        <v>90179747.38000001</v>
      </c>
      <c r="M31" s="19">
        <v>87950641.91000001</v>
      </c>
      <c r="N31" s="19">
        <v>88231821.06</v>
      </c>
      <c r="O31" s="19">
        <v>90895566</v>
      </c>
      <c r="P31" s="20">
        <f t="shared" si="5"/>
        <v>87970442.23083334</v>
      </c>
      <c r="Q31" s="20">
        <f t="shared" si="6"/>
        <v>87977655.55923077</v>
      </c>
      <c r="R31" s="20">
        <f t="shared" si="2"/>
        <v>7213.32839743793</v>
      </c>
      <c r="S31" s="19">
        <v>91983443.4</v>
      </c>
    </row>
    <row r="32" spans="1:19" s="3" customFormat="1" ht="12.75">
      <c r="A32" s="3">
        <v>24</v>
      </c>
      <c r="B32" s="14" t="s">
        <v>28</v>
      </c>
      <c r="C32" s="16">
        <v>22761930</v>
      </c>
      <c r="D32" s="17">
        <v>18719796.17</v>
      </c>
      <c r="E32" s="17">
        <v>18862556.23</v>
      </c>
      <c r="F32" s="17">
        <v>7696940.13</v>
      </c>
      <c r="G32" s="18">
        <v>11248995.469999999</v>
      </c>
      <c r="H32" s="17">
        <v>11513581.5</v>
      </c>
      <c r="I32" s="17">
        <v>10717951.87</v>
      </c>
      <c r="J32" s="17">
        <v>11632153.43</v>
      </c>
      <c r="K32" s="17">
        <v>8513137.25</v>
      </c>
      <c r="L32" s="17">
        <v>11053887.6</v>
      </c>
      <c r="M32" s="19">
        <v>12492152.299999999</v>
      </c>
      <c r="N32" s="19">
        <v>11671241.19</v>
      </c>
      <c r="O32" s="19">
        <v>10218910</v>
      </c>
      <c r="P32" s="20">
        <f t="shared" si="5"/>
        <v>12551067.761666665</v>
      </c>
      <c r="Q32" s="20">
        <f t="shared" si="6"/>
        <v>12854094.856923077</v>
      </c>
      <c r="R32" s="20">
        <f t="shared" si="2"/>
        <v>303027.0952564124</v>
      </c>
      <c r="S32" s="19">
        <v>9027622.2</v>
      </c>
    </row>
    <row r="33" spans="1:19" s="3" customFormat="1" ht="12.75">
      <c r="A33" s="3">
        <v>25</v>
      </c>
      <c r="B33" s="27" t="s">
        <v>109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9">
        <v>461314684.96000004</v>
      </c>
      <c r="N33" s="19">
        <v>334023101.96000004</v>
      </c>
      <c r="O33" s="19">
        <v>345318026</v>
      </c>
      <c r="P33" s="20">
        <f t="shared" si="5"/>
        <v>80666399.99333334</v>
      </c>
      <c r="Q33" s="20">
        <f t="shared" si="6"/>
        <v>87742754.84</v>
      </c>
      <c r="R33" s="20">
        <f t="shared" si="2"/>
        <v>7076354.846666664</v>
      </c>
      <c r="S33" s="19">
        <v>425327528.96000004</v>
      </c>
    </row>
    <row r="34" spans="1:19" s="3" customFormat="1" ht="12.75">
      <c r="A34" s="3">
        <v>26</v>
      </c>
      <c r="B34" s="27" t="s">
        <v>110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9">
        <v>0</v>
      </c>
      <c r="N34" s="19">
        <v>0</v>
      </c>
      <c r="O34" s="19">
        <v>0</v>
      </c>
      <c r="P34" s="20">
        <f t="shared" si="5"/>
        <v>0</v>
      </c>
      <c r="Q34" s="20">
        <f t="shared" si="6"/>
        <v>0</v>
      </c>
      <c r="R34" s="20">
        <f t="shared" si="2"/>
        <v>0</v>
      </c>
      <c r="S34" s="19">
        <v>0</v>
      </c>
    </row>
    <row r="35" spans="1:19" s="3" customFormat="1" ht="12.75">
      <c r="A35" s="3">
        <v>27</v>
      </c>
      <c r="B35" s="21" t="s">
        <v>29</v>
      </c>
      <c r="C35" s="19">
        <f>SUM(C27:C34)</f>
        <v>206114352</v>
      </c>
      <c r="D35" s="19">
        <f aca="true" t="shared" si="7" ref="D35:S35">SUM(D27:D34)</f>
        <v>202230526.64000028</v>
      </c>
      <c r="E35" s="19">
        <f t="shared" si="7"/>
        <v>205099318.86000025</v>
      </c>
      <c r="F35" s="19">
        <f t="shared" si="7"/>
        <v>197378983.0700003</v>
      </c>
      <c r="G35" s="19">
        <f t="shared" si="7"/>
        <v>202984162.27000025</v>
      </c>
      <c r="H35" s="19">
        <f t="shared" si="7"/>
        <v>203194152.78000027</v>
      </c>
      <c r="I35" s="19">
        <f t="shared" si="7"/>
        <v>206330646.6300003</v>
      </c>
      <c r="J35" s="19">
        <f t="shared" si="7"/>
        <v>208108672.0400003</v>
      </c>
      <c r="K35" s="19">
        <f t="shared" si="7"/>
        <v>204868690.11000028</v>
      </c>
      <c r="L35" s="19">
        <f t="shared" si="7"/>
        <v>209374157.7900003</v>
      </c>
      <c r="M35" s="19">
        <f t="shared" si="7"/>
        <v>673483624.3200004</v>
      </c>
      <c r="N35" s="19">
        <f t="shared" si="7"/>
        <v>545472981.5300003</v>
      </c>
      <c r="O35" s="19">
        <f t="shared" si="7"/>
        <v>562991670</v>
      </c>
      <c r="P35" s="19">
        <f t="shared" si="7"/>
        <v>286923243.92000026</v>
      </c>
      <c r="Q35" s="19">
        <f t="shared" si="7"/>
        <v>294433226.00307715</v>
      </c>
      <c r="R35" s="20">
        <f t="shared" si="2"/>
        <v>7509982.083076894</v>
      </c>
      <c r="S35" s="19">
        <f t="shared" si="7"/>
        <v>643174169.5300003</v>
      </c>
    </row>
    <row r="36" spans="1:19" s="3" customFormat="1" ht="12.75">
      <c r="A36" s="3">
        <v>28</v>
      </c>
      <c r="B36" s="40" t="s">
        <v>30</v>
      </c>
      <c r="C36" s="22"/>
      <c r="D36" s="23"/>
      <c r="E36" s="23"/>
      <c r="F36" s="23"/>
      <c r="G36" s="24"/>
      <c r="H36" s="23"/>
      <c r="I36" s="23"/>
      <c r="J36" s="23"/>
      <c r="K36" s="23"/>
      <c r="L36" s="23"/>
      <c r="M36" s="25"/>
      <c r="N36" s="25"/>
      <c r="O36" s="25"/>
      <c r="P36" s="19"/>
      <c r="Q36" s="26"/>
      <c r="R36" s="20">
        <f t="shared" si="2"/>
        <v>0</v>
      </c>
      <c r="S36" s="25"/>
    </row>
    <row r="37" spans="1:19" s="3" customFormat="1" ht="12.75">
      <c r="A37" s="3">
        <v>29</v>
      </c>
      <c r="B37" s="14" t="s">
        <v>31</v>
      </c>
      <c r="C37" s="16">
        <v>14579223</v>
      </c>
      <c r="D37" s="17">
        <v>18456250.370000064</v>
      </c>
      <c r="E37" s="17">
        <v>16404295.440000065</v>
      </c>
      <c r="F37" s="17">
        <v>17333737.790000066</v>
      </c>
      <c r="G37" s="18">
        <v>18291213.130000062</v>
      </c>
      <c r="H37" s="17">
        <v>17632714.750000063</v>
      </c>
      <c r="I37" s="17">
        <v>23508348.080000065</v>
      </c>
      <c r="J37" s="17">
        <v>16972380.60000006</v>
      </c>
      <c r="K37" s="17">
        <v>9494950.580000063</v>
      </c>
      <c r="L37" s="17">
        <v>17694773.580000065</v>
      </c>
      <c r="M37" s="19">
        <v>8657931.010000065</v>
      </c>
      <c r="N37" s="19">
        <v>6370789.860000065</v>
      </c>
      <c r="O37" s="19">
        <v>11243275</v>
      </c>
      <c r="P37" s="20">
        <f aca="true" t="shared" si="8" ref="P37:P57">(C37+SUM(D37:N37)*2+O37)/24</f>
        <v>15310719.515833393</v>
      </c>
      <c r="Q37" s="20">
        <f aca="true" t="shared" si="9" ref="Q37:Q57">AVERAGE(C37:O37)</f>
        <v>15126144.860769285</v>
      </c>
      <c r="R37" s="20">
        <f t="shared" si="2"/>
        <v>-184574.65506410785</v>
      </c>
      <c r="S37" s="19">
        <v>15978694.690000065</v>
      </c>
    </row>
    <row r="38" spans="1:19" s="3" customFormat="1" ht="12.75">
      <c r="A38" s="3">
        <v>30</v>
      </c>
      <c r="B38" s="14" t="s">
        <v>32</v>
      </c>
      <c r="C38" s="16">
        <v>53032307</v>
      </c>
      <c r="D38" s="17">
        <v>52980355.51</v>
      </c>
      <c r="E38" s="17">
        <v>43867325.699999996</v>
      </c>
      <c r="F38" s="17">
        <v>18201745.909999996</v>
      </c>
      <c r="G38" s="18">
        <v>21469163.509999998</v>
      </c>
      <c r="H38" s="17">
        <v>58979016.769999996</v>
      </c>
      <c r="I38" s="17">
        <v>112838656.69999999</v>
      </c>
      <c r="J38" s="17">
        <v>100041816.03</v>
      </c>
      <c r="K38" s="17">
        <v>52043911.699999996</v>
      </c>
      <c r="L38" s="17">
        <v>10698954.549999997</v>
      </c>
      <c r="M38" s="19">
        <v>4671516.61</v>
      </c>
      <c r="N38" s="19">
        <v>7405440.949999996</v>
      </c>
      <c r="O38" s="19">
        <v>8303219</v>
      </c>
      <c r="P38" s="20">
        <f t="shared" si="8"/>
        <v>42822138.91166667</v>
      </c>
      <c r="Q38" s="20">
        <f t="shared" si="9"/>
        <v>41887186.91846155</v>
      </c>
      <c r="R38" s="20">
        <f t="shared" si="2"/>
        <v>-934951.9932051226</v>
      </c>
      <c r="S38" s="19">
        <v>11278365.029999997</v>
      </c>
    </row>
    <row r="39" spans="1:19" s="3" customFormat="1" ht="12.75">
      <c r="A39" s="3">
        <v>31</v>
      </c>
      <c r="B39" s="14" t="s">
        <v>33</v>
      </c>
      <c r="C39" s="16">
        <v>4720</v>
      </c>
      <c r="D39" s="17">
        <v>4720.000000011307</v>
      </c>
      <c r="E39" s="17">
        <v>4620.000000011307</v>
      </c>
      <c r="F39" s="17">
        <v>4620.000000011307</v>
      </c>
      <c r="G39" s="18">
        <v>4620.000000011307</v>
      </c>
      <c r="H39" s="17">
        <v>4170.000000011307</v>
      </c>
      <c r="I39" s="17">
        <v>4170.000000011307</v>
      </c>
      <c r="J39" s="17">
        <v>3720.000000011307</v>
      </c>
      <c r="K39" s="17">
        <v>3720.000000011307</v>
      </c>
      <c r="L39" s="17">
        <v>3720.000000011307</v>
      </c>
      <c r="M39" s="19">
        <v>3720.000000011307</v>
      </c>
      <c r="N39" s="19">
        <v>3720.000000011307</v>
      </c>
      <c r="O39" s="19">
        <v>2333889</v>
      </c>
      <c r="P39" s="20">
        <f t="shared" si="8"/>
        <v>101235.37500001036</v>
      </c>
      <c r="Q39" s="20">
        <f t="shared" si="9"/>
        <v>183394.538461548</v>
      </c>
      <c r="R39" s="20">
        <f t="shared" si="2"/>
        <v>82159.16346153765</v>
      </c>
      <c r="S39" s="19">
        <v>3900.730000011754</v>
      </c>
    </row>
    <row r="40" spans="1:19" s="3" customFormat="1" ht="12.75">
      <c r="A40" s="3">
        <v>32</v>
      </c>
      <c r="B40" s="14" t="s">
        <v>34</v>
      </c>
      <c r="C40" s="16">
        <v>177652787</v>
      </c>
      <c r="D40" s="17">
        <v>52273727.03</v>
      </c>
      <c r="E40" s="17">
        <v>66355235.260000005</v>
      </c>
      <c r="F40" s="17">
        <v>144369635.96</v>
      </c>
      <c r="G40" s="18">
        <v>28264689.620000005</v>
      </c>
      <c r="H40" s="17">
        <v>6783600.950000003</v>
      </c>
      <c r="I40" s="17">
        <v>64789897.31</v>
      </c>
      <c r="J40" s="17">
        <v>61358815.85</v>
      </c>
      <c r="K40" s="17">
        <v>8856285.300000004</v>
      </c>
      <c r="L40" s="17">
        <v>113778291.6</v>
      </c>
      <c r="M40" s="19">
        <v>79353324.05</v>
      </c>
      <c r="N40" s="19">
        <v>76740704.59</v>
      </c>
      <c r="O40" s="19">
        <v>71407280</v>
      </c>
      <c r="P40" s="20">
        <f t="shared" si="8"/>
        <v>68954520.085</v>
      </c>
      <c r="Q40" s="20">
        <f t="shared" si="9"/>
        <v>73229559.57846154</v>
      </c>
      <c r="R40" s="20">
        <f t="shared" si="2"/>
        <v>4275039.493461549</v>
      </c>
      <c r="S40" s="19">
        <v>6262380.289999992</v>
      </c>
    </row>
    <row r="41" spans="1:19" s="3" customFormat="1" ht="12.75">
      <c r="A41" s="3">
        <v>33</v>
      </c>
      <c r="B41" s="14" t="s">
        <v>35</v>
      </c>
      <c r="C41" s="16">
        <v>416973</v>
      </c>
      <c r="D41" s="17">
        <v>414111.06000001094</v>
      </c>
      <c r="E41" s="17">
        <v>410756.1400000109</v>
      </c>
      <c r="F41" s="17">
        <v>405895.7700000109</v>
      </c>
      <c r="G41" s="18">
        <v>204749.8400000109</v>
      </c>
      <c r="H41" s="17">
        <v>399505.4400000109</v>
      </c>
      <c r="I41" s="17">
        <v>797320.8000000109</v>
      </c>
      <c r="J41" s="17">
        <v>799824.6800000109</v>
      </c>
      <c r="K41" s="17">
        <v>656183.1000000109</v>
      </c>
      <c r="L41" s="17">
        <v>1028037.0500000109</v>
      </c>
      <c r="M41" s="19">
        <v>1027367.4700000109</v>
      </c>
      <c r="N41" s="19">
        <v>1026826.8300000109</v>
      </c>
      <c r="O41" s="19">
        <v>1078190</v>
      </c>
      <c r="P41" s="20">
        <f t="shared" si="8"/>
        <v>659846.64000001</v>
      </c>
      <c r="Q41" s="20">
        <f t="shared" si="9"/>
        <v>666595.4753846247</v>
      </c>
      <c r="R41" s="20">
        <f t="shared" si="2"/>
        <v>6748.835384614649</v>
      </c>
      <c r="S41" s="19">
        <v>1060235.6100000108</v>
      </c>
    </row>
    <row r="42" spans="1:19" s="3" customFormat="1" ht="12.75">
      <c r="A42" s="3">
        <v>34</v>
      </c>
      <c r="B42" s="14" t="s">
        <v>36</v>
      </c>
      <c r="C42" s="16">
        <v>274515653</v>
      </c>
      <c r="D42" s="17">
        <v>236105965.23</v>
      </c>
      <c r="E42" s="17">
        <v>225303513.28</v>
      </c>
      <c r="F42" s="17">
        <v>216002409.93</v>
      </c>
      <c r="G42" s="18">
        <v>252908780.4</v>
      </c>
      <c r="H42" s="17">
        <v>279356261.4</v>
      </c>
      <c r="I42" s="17">
        <v>272001420.23</v>
      </c>
      <c r="J42" s="17">
        <v>274792618.86</v>
      </c>
      <c r="K42" s="17">
        <v>285994658.21</v>
      </c>
      <c r="L42" s="17">
        <v>259768409.79</v>
      </c>
      <c r="M42" s="19">
        <v>306301638.93</v>
      </c>
      <c r="N42" s="19">
        <v>267150744.13</v>
      </c>
      <c r="O42" s="19">
        <v>244221138</v>
      </c>
      <c r="P42" s="20">
        <f t="shared" si="8"/>
        <v>261254567.9908333</v>
      </c>
      <c r="Q42" s="20">
        <f t="shared" si="9"/>
        <v>261109477.79923078</v>
      </c>
      <c r="R42" s="20">
        <f t="shared" si="2"/>
        <v>-145090.1916025281</v>
      </c>
      <c r="S42" s="19">
        <v>239302065.53</v>
      </c>
    </row>
    <row r="43" spans="1:19" s="3" customFormat="1" ht="12.75">
      <c r="A43" s="3">
        <v>35</v>
      </c>
      <c r="B43" s="14" t="s">
        <v>37</v>
      </c>
      <c r="C43" s="16">
        <v>22262197</v>
      </c>
      <c r="D43" s="17">
        <v>19068841.080000002</v>
      </c>
      <c r="E43" s="17">
        <v>12582065.660000002</v>
      </c>
      <c r="F43" s="17">
        <v>19942160.54</v>
      </c>
      <c r="G43" s="18">
        <v>16899248.91</v>
      </c>
      <c r="H43" s="17">
        <v>18406484.05</v>
      </c>
      <c r="I43" s="17">
        <v>18502266.1</v>
      </c>
      <c r="J43" s="17">
        <v>17969068.25</v>
      </c>
      <c r="K43" s="17">
        <v>15932683.93</v>
      </c>
      <c r="L43" s="17">
        <v>16666819.350000001</v>
      </c>
      <c r="M43" s="19">
        <v>20985119.290000003</v>
      </c>
      <c r="N43" s="19">
        <v>26408516.78</v>
      </c>
      <c r="O43" s="19">
        <v>25520895</v>
      </c>
      <c r="P43" s="20">
        <f t="shared" si="8"/>
        <v>18937901.661666665</v>
      </c>
      <c r="Q43" s="20">
        <f t="shared" si="9"/>
        <v>19318951.226153847</v>
      </c>
      <c r="R43" s="20">
        <f t="shared" si="2"/>
        <v>381049.5644871816</v>
      </c>
      <c r="S43" s="19">
        <v>21834073.76</v>
      </c>
    </row>
    <row r="44" spans="1:19" s="3" customFormat="1" ht="12.75">
      <c r="A44" s="3">
        <v>36</v>
      </c>
      <c r="B44" s="14" t="s">
        <v>125</v>
      </c>
      <c r="C44" s="16">
        <v>-11639349</v>
      </c>
      <c r="D44" s="17">
        <v>-11796040.19</v>
      </c>
      <c r="E44" s="17">
        <v>-11976062.54</v>
      </c>
      <c r="F44" s="17">
        <v>-11699958.33</v>
      </c>
      <c r="G44" s="18">
        <v>-12032431.56</v>
      </c>
      <c r="H44" s="17">
        <v>-11904909.02</v>
      </c>
      <c r="I44" s="17">
        <v>-11432728.87</v>
      </c>
      <c r="J44" s="17">
        <v>-11307820.18</v>
      </c>
      <c r="K44" s="17">
        <v>-11441913.83</v>
      </c>
      <c r="L44" s="17">
        <v>-10876951.21</v>
      </c>
      <c r="M44" s="19">
        <v>-10851949.46</v>
      </c>
      <c r="N44" s="19">
        <v>-11070907.1</v>
      </c>
      <c r="O44" s="19">
        <v>-11412677</v>
      </c>
      <c r="P44" s="20">
        <f t="shared" si="8"/>
        <v>-11493140.440833332</v>
      </c>
      <c r="Q44" s="20">
        <f t="shared" si="9"/>
        <v>-11495669.099230768</v>
      </c>
      <c r="R44" s="20">
        <f t="shared" si="2"/>
        <v>-2528.658397436142</v>
      </c>
      <c r="S44" s="19">
        <v>-11546197.14</v>
      </c>
    </row>
    <row r="45" spans="1:19" s="3" customFormat="1" ht="12.75">
      <c r="A45" s="3">
        <v>37</v>
      </c>
      <c r="B45" s="14" t="s">
        <v>38</v>
      </c>
      <c r="C45" s="16">
        <v>0</v>
      </c>
      <c r="D45" s="17">
        <v>0</v>
      </c>
      <c r="E45" s="17">
        <v>0</v>
      </c>
      <c r="F45" s="17">
        <v>0</v>
      </c>
      <c r="G45" s="18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9">
        <v>0</v>
      </c>
      <c r="N45" s="19">
        <v>3116833.17</v>
      </c>
      <c r="O45" s="19">
        <v>3627370</v>
      </c>
      <c r="P45" s="20">
        <f t="shared" si="8"/>
        <v>410876.51416666666</v>
      </c>
      <c r="Q45" s="20">
        <f t="shared" si="9"/>
        <v>518784.8592307692</v>
      </c>
      <c r="R45" s="20">
        <f t="shared" si="2"/>
        <v>107908.34506410256</v>
      </c>
      <c r="S45" s="19">
        <v>3336183.63</v>
      </c>
    </row>
    <row r="46" spans="1:19" s="3" customFormat="1" ht="12.75">
      <c r="A46" s="3">
        <v>38</v>
      </c>
      <c r="B46" s="14" t="s">
        <v>39</v>
      </c>
      <c r="C46" s="16">
        <v>4116853</v>
      </c>
      <c r="D46" s="17">
        <v>4103955.06999991</v>
      </c>
      <c r="E46" s="17">
        <v>6693016.48999991</v>
      </c>
      <c r="F46" s="17">
        <v>16401245.21999991</v>
      </c>
      <c r="G46" s="18">
        <v>6936864.94999991</v>
      </c>
      <c r="H46" s="17">
        <v>6206156.76999991</v>
      </c>
      <c r="I46" s="17">
        <v>8357527.87999991</v>
      </c>
      <c r="J46" s="17">
        <v>3822431.769999909</v>
      </c>
      <c r="K46" s="17">
        <v>5457724.479999909</v>
      </c>
      <c r="L46" s="17">
        <v>2882276.6599999093</v>
      </c>
      <c r="M46" s="19">
        <v>3631992.4099999093</v>
      </c>
      <c r="N46" s="19">
        <v>2462937.6699999096</v>
      </c>
      <c r="O46" s="19">
        <v>1558174</v>
      </c>
      <c r="P46" s="20">
        <f t="shared" si="8"/>
        <v>5816136.905833249</v>
      </c>
      <c r="Q46" s="20">
        <f t="shared" si="9"/>
        <v>5587012.028461462</v>
      </c>
      <c r="R46" s="20">
        <f t="shared" si="2"/>
        <v>-229124.8773717871</v>
      </c>
      <c r="S46" s="19">
        <v>1157279.3099999093</v>
      </c>
    </row>
    <row r="47" spans="1:19" s="3" customFormat="1" ht="12.75">
      <c r="A47" s="3">
        <v>39</v>
      </c>
      <c r="B47" s="14" t="s">
        <v>40</v>
      </c>
      <c r="C47" s="16">
        <v>56489931</v>
      </c>
      <c r="D47" s="17">
        <v>60288996.05</v>
      </c>
      <c r="E47" s="17">
        <v>61160577.55</v>
      </c>
      <c r="F47" s="17">
        <v>62741238.85</v>
      </c>
      <c r="G47" s="18">
        <v>57255217.89</v>
      </c>
      <c r="H47" s="17">
        <v>53608358.11</v>
      </c>
      <c r="I47" s="17">
        <v>54012974.74</v>
      </c>
      <c r="J47" s="17">
        <v>55910667.54000001</v>
      </c>
      <c r="K47" s="17">
        <v>58544069.82</v>
      </c>
      <c r="L47" s="17">
        <v>56631066.97</v>
      </c>
      <c r="M47" s="19">
        <v>62816954.23</v>
      </c>
      <c r="N47" s="19">
        <v>63919458.12</v>
      </c>
      <c r="O47" s="19">
        <v>72188872</v>
      </c>
      <c r="P47" s="20">
        <f t="shared" si="8"/>
        <v>59269081.780833334</v>
      </c>
      <c r="Q47" s="20">
        <f t="shared" si="9"/>
        <v>59659106.374615386</v>
      </c>
      <c r="R47" s="20">
        <f t="shared" si="2"/>
        <v>390024.5937820524</v>
      </c>
      <c r="S47" s="19">
        <v>79288908.6</v>
      </c>
    </row>
    <row r="48" spans="1:19" s="3" customFormat="1" ht="12.75">
      <c r="A48" s="3">
        <v>40</v>
      </c>
      <c r="B48" s="14" t="s">
        <v>41</v>
      </c>
      <c r="C48" s="16">
        <v>108705649</v>
      </c>
      <c r="D48" s="17">
        <v>107946729.81</v>
      </c>
      <c r="E48" s="17">
        <v>110591167.96</v>
      </c>
      <c r="F48" s="17">
        <v>112643900.42999999</v>
      </c>
      <c r="G48" s="18">
        <v>113481966.57</v>
      </c>
      <c r="H48" s="17">
        <v>115281541.00999999</v>
      </c>
      <c r="I48" s="17">
        <v>115460098.44999999</v>
      </c>
      <c r="J48" s="17">
        <v>115593887.35</v>
      </c>
      <c r="K48" s="17">
        <v>116918604.3</v>
      </c>
      <c r="L48" s="17">
        <v>117959772.17999999</v>
      </c>
      <c r="M48" s="19">
        <v>120585114.24</v>
      </c>
      <c r="N48" s="19">
        <v>122635299.97999999</v>
      </c>
      <c r="O48" s="19">
        <v>124541830</v>
      </c>
      <c r="P48" s="20">
        <f t="shared" si="8"/>
        <v>115476818.48166667</v>
      </c>
      <c r="Q48" s="20">
        <f t="shared" si="9"/>
        <v>115565043.17538461</v>
      </c>
      <c r="R48" s="20">
        <f t="shared" si="2"/>
        <v>88224.69371794164</v>
      </c>
      <c r="S48" s="19">
        <v>122615940.72999999</v>
      </c>
    </row>
    <row r="49" spans="1:19" s="3" customFormat="1" ht="12.75">
      <c r="A49" s="3">
        <v>41</v>
      </c>
      <c r="B49" s="14" t="s">
        <v>42</v>
      </c>
      <c r="C49" s="16">
        <v>60356174</v>
      </c>
      <c r="D49" s="17">
        <v>95389174.85</v>
      </c>
      <c r="E49" s="17">
        <v>97961760.61999999</v>
      </c>
      <c r="F49" s="17">
        <v>72752781.72999999</v>
      </c>
      <c r="G49" s="18">
        <v>65924981.97999999</v>
      </c>
      <c r="H49" s="17">
        <v>59062315.279999994</v>
      </c>
      <c r="I49" s="17">
        <v>88445037.28999999</v>
      </c>
      <c r="J49" s="17">
        <v>69270207.27</v>
      </c>
      <c r="K49" s="17">
        <v>59089638.56999999</v>
      </c>
      <c r="L49" s="17">
        <v>29709423.65999999</v>
      </c>
      <c r="M49" s="19">
        <v>27320372.99999999</v>
      </c>
      <c r="N49" s="19">
        <v>21861757.70999999</v>
      </c>
      <c r="O49" s="19">
        <v>31306989</v>
      </c>
      <c r="P49" s="20">
        <f t="shared" si="8"/>
        <v>61051586.12166666</v>
      </c>
      <c r="Q49" s="20">
        <f t="shared" si="9"/>
        <v>59880816.53538461</v>
      </c>
      <c r="R49" s="20">
        <f t="shared" si="2"/>
        <v>-1170769.586282052</v>
      </c>
      <c r="S49" s="19">
        <v>82650762.89999998</v>
      </c>
    </row>
    <row r="50" spans="1:19" s="3" customFormat="1" ht="12.75">
      <c r="A50" s="3">
        <v>42</v>
      </c>
      <c r="B50" s="14" t="s">
        <v>0</v>
      </c>
      <c r="C50" s="16">
        <v>81396</v>
      </c>
      <c r="D50" s="17">
        <v>150446.59999931342</v>
      </c>
      <c r="E50" s="17">
        <v>130829.28999931343</v>
      </c>
      <c r="F50" s="17">
        <v>363143.94999931345</v>
      </c>
      <c r="G50" s="18">
        <v>127901.31999931342</v>
      </c>
      <c r="H50" s="17">
        <v>114426.07999931343</v>
      </c>
      <c r="I50" s="17">
        <v>105668.19999931342</v>
      </c>
      <c r="J50" s="17">
        <v>105433.30999931342</v>
      </c>
      <c r="K50" s="17">
        <v>85876.71999931343</v>
      </c>
      <c r="L50" s="17">
        <v>94987.52999931342</v>
      </c>
      <c r="M50" s="19">
        <v>42844.19999931342</v>
      </c>
      <c r="N50" s="19">
        <v>99699.60999931343</v>
      </c>
      <c r="O50" s="19">
        <v>37850</v>
      </c>
      <c r="P50" s="20">
        <f t="shared" si="8"/>
        <v>123406.65083270396</v>
      </c>
      <c r="Q50" s="20">
        <f t="shared" si="9"/>
        <v>118500.2161532652</v>
      </c>
      <c r="R50" s="20">
        <f t="shared" si="2"/>
        <v>-4906.4346794387675</v>
      </c>
      <c r="S50" s="19">
        <v>93665.97999931342</v>
      </c>
    </row>
    <row r="51" spans="1:19" s="3" customFormat="1" ht="12.75">
      <c r="A51" s="3">
        <v>43</v>
      </c>
      <c r="B51" s="14" t="s">
        <v>43</v>
      </c>
      <c r="C51" s="16">
        <v>3269201</v>
      </c>
      <c r="D51" s="17">
        <v>4311205.73</v>
      </c>
      <c r="E51" s="17">
        <v>4020460.55</v>
      </c>
      <c r="F51" s="17">
        <v>3681429.81</v>
      </c>
      <c r="G51" s="18">
        <v>8389964.219999995</v>
      </c>
      <c r="H51" s="17">
        <v>7414727.179999996</v>
      </c>
      <c r="I51" s="17">
        <v>6908162.149999996</v>
      </c>
      <c r="J51" s="17">
        <v>8856224.799999997</v>
      </c>
      <c r="K51" s="17">
        <v>8463652.709999995</v>
      </c>
      <c r="L51" s="17">
        <v>2571409.74</v>
      </c>
      <c r="M51" s="19">
        <v>2143065.86</v>
      </c>
      <c r="N51" s="19">
        <v>1900842.75</v>
      </c>
      <c r="O51" s="19">
        <v>1770876</v>
      </c>
      <c r="P51" s="20">
        <f t="shared" si="8"/>
        <v>5098431.999999998</v>
      </c>
      <c r="Q51" s="20">
        <f t="shared" si="9"/>
        <v>4900094.038461537</v>
      </c>
      <c r="R51" s="20">
        <f t="shared" si="2"/>
        <v>-198337.96153846104</v>
      </c>
      <c r="S51" s="19">
        <v>2885144.3</v>
      </c>
    </row>
    <row r="52" spans="1:19" s="3" customFormat="1" ht="12.75">
      <c r="A52" s="3">
        <v>44</v>
      </c>
      <c r="B52" s="14" t="s">
        <v>44</v>
      </c>
      <c r="C52" s="16">
        <v>143820000</v>
      </c>
      <c r="D52" s="17">
        <v>139036000</v>
      </c>
      <c r="E52" s="17">
        <v>153017000</v>
      </c>
      <c r="F52" s="17">
        <v>162615000</v>
      </c>
      <c r="G52" s="18">
        <v>193358000</v>
      </c>
      <c r="H52" s="17">
        <v>183243000</v>
      </c>
      <c r="I52" s="17">
        <v>159635000</v>
      </c>
      <c r="J52" s="17">
        <v>161737000</v>
      </c>
      <c r="K52" s="17">
        <v>171737000</v>
      </c>
      <c r="L52" s="17">
        <v>169648000</v>
      </c>
      <c r="M52" s="19">
        <v>156908000</v>
      </c>
      <c r="N52" s="19">
        <v>144462000</v>
      </c>
      <c r="O52" s="19">
        <v>148223000</v>
      </c>
      <c r="P52" s="20">
        <f t="shared" si="8"/>
        <v>161784791.66666666</v>
      </c>
      <c r="Q52" s="20">
        <f t="shared" si="9"/>
        <v>160572230.76923078</v>
      </c>
      <c r="R52" s="20">
        <f t="shared" si="2"/>
        <v>-1212560.8974358737</v>
      </c>
      <c r="S52" s="19">
        <v>138189000</v>
      </c>
    </row>
    <row r="53" spans="1:19" s="3" customFormat="1" ht="12.75">
      <c r="A53" s="3">
        <v>45</v>
      </c>
      <c r="B53" s="14" t="s">
        <v>45</v>
      </c>
      <c r="C53" s="16">
        <v>19469027</v>
      </c>
      <c r="D53" s="17">
        <v>7499705.119999999</v>
      </c>
      <c r="E53" s="17">
        <v>0</v>
      </c>
      <c r="F53" s="17">
        <v>0</v>
      </c>
      <c r="G53" s="18">
        <v>-145833.00000000093</v>
      </c>
      <c r="H53" s="17">
        <v>0</v>
      </c>
      <c r="I53" s="17">
        <v>0</v>
      </c>
      <c r="J53" s="17">
        <v>145810.71999999904</v>
      </c>
      <c r="K53" s="17">
        <v>145832.71999999904</v>
      </c>
      <c r="L53" s="17">
        <v>151666.71999999904</v>
      </c>
      <c r="M53" s="19">
        <v>145832.71999999904</v>
      </c>
      <c r="N53" s="19">
        <v>145832.71999999904</v>
      </c>
      <c r="O53" s="19">
        <v>145833</v>
      </c>
      <c r="P53" s="20">
        <f t="shared" si="8"/>
        <v>1491356.4766666659</v>
      </c>
      <c r="Q53" s="20">
        <f t="shared" si="9"/>
        <v>2131054.4399999995</v>
      </c>
      <c r="R53" s="20">
        <f t="shared" si="2"/>
        <v>639697.9633333336</v>
      </c>
      <c r="S53" s="19">
        <v>145832.71999999904</v>
      </c>
    </row>
    <row r="54" spans="1:19" s="3" customFormat="1" ht="12.75">
      <c r="A54" s="3">
        <v>46</v>
      </c>
      <c r="B54" s="14" t="s">
        <v>122</v>
      </c>
      <c r="C54" s="16">
        <v>612944037</v>
      </c>
      <c r="D54" s="17">
        <v>500267279.09000003</v>
      </c>
      <c r="E54" s="17">
        <v>485044763.17</v>
      </c>
      <c r="F54" s="17">
        <v>610979894.4200001</v>
      </c>
      <c r="G54" s="18">
        <v>634883727.4200001</v>
      </c>
      <c r="H54" s="17">
        <v>876312115.52</v>
      </c>
      <c r="I54" s="17">
        <v>1001991999.56</v>
      </c>
      <c r="J54" s="17">
        <v>853994704.56</v>
      </c>
      <c r="K54" s="17">
        <v>885846396.56</v>
      </c>
      <c r="L54" s="17">
        <v>884958678.56</v>
      </c>
      <c r="M54" s="19">
        <v>777782664.56</v>
      </c>
      <c r="N54" s="19">
        <v>541074487.56</v>
      </c>
      <c r="O54" s="19">
        <v>566968660</v>
      </c>
      <c r="P54" s="20">
        <f t="shared" si="8"/>
        <v>720257754.9566665</v>
      </c>
      <c r="Q54" s="20">
        <f t="shared" si="9"/>
        <v>710234569.8446152</v>
      </c>
      <c r="R54" s="20">
        <f t="shared" si="2"/>
        <v>-10023185.112051249</v>
      </c>
      <c r="S54" s="19">
        <v>638383766.56</v>
      </c>
    </row>
    <row r="55" spans="1:19" s="3" customFormat="1" ht="12.75">
      <c r="A55" s="3">
        <v>47</v>
      </c>
      <c r="B55" s="27" t="s">
        <v>111</v>
      </c>
      <c r="C55" s="16">
        <v>0</v>
      </c>
      <c r="D55" s="17">
        <v>0</v>
      </c>
      <c r="E55" s="17">
        <v>0</v>
      </c>
      <c r="F55" s="17">
        <v>0</v>
      </c>
      <c r="G55" s="18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9">
        <v>-461314684.96</v>
      </c>
      <c r="N55" s="19">
        <v>-334023101.96</v>
      </c>
      <c r="O55" s="19">
        <v>-345318026</v>
      </c>
      <c r="P55" s="20">
        <f t="shared" si="8"/>
        <v>-80666399.99333332</v>
      </c>
      <c r="Q55" s="20">
        <f t="shared" si="9"/>
        <v>-87742754.84</v>
      </c>
      <c r="R55" s="20">
        <f t="shared" si="2"/>
        <v>-7076354.846666679</v>
      </c>
      <c r="S55" s="19">
        <v>-425327528.96</v>
      </c>
    </row>
    <row r="56" spans="1:19" s="3" customFormat="1" ht="12.75">
      <c r="A56" s="3">
        <v>48</v>
      </c>
      <c r="B56" s="14" t="s">
        <v>123</v>
      </c>
      <c r="C56" s="16">
        <v>0</v>
      </c>
      <c r="D56" s="17">
        <v>0</v>
      </c>
      <c r="E56" s="17">
        <v>0</v>
      </c>
      <c r="F56" s="17">
        <v>0</v>
      </c>
      <c r="G56" s="18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9"/>
      <c r="N56" s="19">
        <v>0</v>
      </c>
      <c r="O56" s="19">
        <v>0</v>
      </c>
      <c r="P56" s="20">
        <f t="shared" si="8"/>
        <v>0</v>
      </c>
      <c r="Q56" s="20">
        <f t="shared" si="9"/>
        <v>0</v>
      </c>
      <c r="R56" s="20">
        <f t="shared" si="2"/>
        <v>0</v>
      </c>
      <c r="S56" s="19">
        <v>0</v>
      </c>
    </row>
    <row r="57" spans="1:19" s="3" customFormat="1" ht="12.75">
      <c r="A57" s="3">
        <v>49</v>
      </c>
      <c r="B57" s="27" t="s">
        <v>112</v>
      </c>
      <c r="C57" s="16">
        <v>0</v>
      </c>
      <c r="D57" s="17">
        <v>0</v>
      </c>
      <c r="E57" s="17">
        <v>0</v>
      </c>
      <c r="F57" s="17">
        <v>0</v>
      </c>
      <c r="G57" s="18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9">
        <v>0</v>
      </c>
      <c r="N57" s="19">
        <v>0</v>
      </c>
      <c r="O57" s="19">
        <v>0</v>
      </c>
      <c r="P57" s="20">
        <f t="shared" si="8"/>
        <v>0</v>
      </c>
      <c r="Q57" s="20">
        <f t="shared" si="9"/>
        <v>0</v>
      </c>
      <c r="R57" s="20">
        <f t="shared" si="2"/>
        <v>0</v>
      </c>
      <c r="S57" s="19">
        <v>0</v>
      </c>
    </row>
    <row r="58" spans="1:19" s="3" customFormat="1" ht="12.75">
      <c r="A58" s="3">
        <v>50</v>
      </c>
      <c r="B58" s="21" t="s">
        <v>46</v>
      </c>
      <c r="C58" s="19">
        <f>SUM(C37:C57)</f>
        <v>1540076779</v>
      </c>
      <c r="D58" s="19">
        <f aca="true" t="shared" si="10" ref="D58:S58">SUM(D37:D57)</f>
        <v>1286501422.4099994</v>
      </c>
      <c r="E58" s="19">
        <f t="shared" si="10"/>
        <v>1271571324.5699992</v>
      </c>
      <c r="F58" s="19">
        <f t="shared" si="10"/>
        <v>1446738881.9799995</v>
      </c>
      <c r="G58" s="19">
        <f t="shared" si="10"/>
        <v>1406222825.1999993</v>
      </c>
      <c r="H58" s="19">
        <f t="shared" si="10"/>
        <v>1670899484.2899992</v>
      </c>
      <c r="I58" s="19">
        <f t="shared" si="10"/>
        <v>1915925818.6199994</v>
      </c>
      <c r="J58" s="19">
        <f t="shared" si="10"/>
        <v>1730066791.4099994</v>
      </c>
      <c r="K58" s="19">
        <f t="shared" si="10"/>
        <v>1667829274.8699992</v>
      </c>
      <c r="L58" s="19">
        <f t="shared" si="10"/>
        <v>1673369336.729999</v>
      </c>
      <c r="M58" s="19">
        <f t="shared" si="10"/>
        <v>1100210824.1599994</v>
      </c>
      <c r="N58" s="19">
        <f t="shared" si="10"/>
        <v>941691883.3699994</v>
      </c>
      <c r="O58" s="19">
        <f t="shared" si="10"/>
        <v>957746637</v>
      </c>
      <c r="P58" s="19">
        <f t="shared" si="10"/>
        <v>1446661631.3008323</v>
      </c>
      <c r="Q58" s="19">
        <f t="shared" si="10"/>
        <v>1431450098.7392302</v>
      </c>
      <c r="R58" s="20">
        <f t="shared" si="2"/>
        <v>-15211532.561602116</v>
      </c>
      <c r="S58" s="19">
        <f t="shared" si="10"/>
        <v>927592474.269999</v>
      </c>
    </row>
    <row r="59" spans="1:19" s="3" customFormat="1" ht="12.75">
      <c r="A59" s="3">
        <v>51</v>
      </c>
      <c r="B59" s="40" t="s">
        <v>47</v>
      </c>
      <c r="C59" s="22"/>
      <c r="D59" s="23"/>
      <c r="E59" s="23"/>
      <c r="F59" s="23"/>
      <c r="G59" s="24"/>
      <c r="H59" s="23"/>
      <c r="I59" s="23"/>
      <c r="J59" s="23"/>
      <c r="K59" s="23"/>
      <c r="L59" s="23"/>
      <c r="M59" s="25"/>
      <c r="N59" s="25"/>
      <c r="O59" s="25"/>
      <c r="P59" s="19"/>
      <c r="Q59" s="26"/>
      <c r="R59" s="20">
        <f t="shared" si="2"/>
        <v>0</v>
      </c>
      <c r="S59" s="25"/>
    </row>
    <row r="60" spans="1:19" s="3" customFormat="1" ht="12.75">
      <c r="A60" s="3">
        <v>52</v>
      </c>
      <c r="B60" s="14" t="s">
        <v>48</v>
      </c>
      <c r="C60" s="16">
        <v>23495334</v>
      </c>
      <c r="D60" s="17">
        <v>23243327.279999983</v>
      </c>
      <c r="E60" s="17">
        <v>22987716.15999998</v>
      </c>
      <c r="F60" s="17">
        <v>25422625.51999998</v>
      </c>
      <c r="G60" s="18">
        <v>25229502.399999984</v>
      </c>
      <c r="H60" s="17">
        <v>25023630.869999982</v>
      </c>
      <c r="I60" s="17">
        <v>24819559.699999984</v>
      </c>
      <c r="J60" s="17">
        <v>24548582.049999982</v>
      </c>
      <c r="K60" s="17">
        <v>24278445.01999998</v>
      </c>
      <c r="L60" s="17">
        <v>24071762.209999982</v>
      </c>
      <c r="M60" s="19">
        <v>23801120.03999998</v>
      </c>
      <c r="N60" s="19">
        <v>23535890.139999982</v>
      </c>
      <c r="O60" s="19">
        <v>23270695</v>
      </c>
      <c r="P60" s="20">
        <f aca="true" t="shared" si="11" ref="P60:P70">(C60+SUM(D60:N60)*2+O60)/24</f>
        <v>24195431.32416665</v>
      </c>
      <c r="Q60" s="20">
        <f aca="true" t="shared" si="12" ref="Q60:Q70">AVERAGE(C60:O60)</f>
        <v>24132937.72230768</v>
      </c>
      <c r="R60" s="20">
        <f t="shared" si="2"/>
        <v>-62493.6018589735</v>
      </c>
      <c r="S60" s="19">
        <v>23005500.639999982</v>
      </c>
    </row>
    <row r="61" spans="1:19" s="3" customFormat="1" ht="12.75">
      <c r="A61" s="3">
        <v>53</v>
      </c>
      <c r="B61" s="14" t="s">
        <v>49</v>
      </c>
      <c r="C61" s="16">
        <v>0</v>
      </c>
      <c r="D61" s="17">
        <v>0</v>
      </c>
      <c r="E61" s="17">
        <v>0</v>
      </c>
      <c r="F61" s="17">
        <v>0</v>
      </c>
      <c r="G61" s="18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9">
        <v>0</v>
      </c>
      <c r="N61" s="19">
        <v>0</v>
      </c>
      <c r="O61" s="19">
        <v>0</v>
      </c>
      <c r="P61" s="20">
        <f t="shared" si="11"/>
        <v>0</v>
      </c>
      <c r="Q61" s="20">
        <f t="shared" si="12"/>
        <v>0</v>
      </c>
      <c r="R61" s="20">
        <f t="shared" si="2"/>
        <v>0</v>
      </c>
      <c r="S61" s="19">
        <v>0</v>
      </c>
    </row>
    <row r="62" spans="1:19" s="3" customFormat="1" ht="12.75">
      <c r="A62" s="3">
        <v>54</v>
      </c>
      <c r="B62" s="14" t="s">
        <v>50</v>
      </c>
      <c r="C62" s="16">
        <v>15074137</v>
      </c>
      <c r="D62" s="17">
        <v>14492556.620000005</v>
      </c>
      <c r="E62" s="17">
        <v>13910976.000000006</v>
      </c>
      <c r="F62" s="17">
        <v>13329395.380000005</v>
      </c>
      <c r="G62" s="18">
        <v>12747814.760000005</v>
      </c>
      <c r="H62" s="17">
        <v>12166234.140000004</v>
      </c>
      <c r="I62" s="17">
        <v>11584653.520000005</v>
      </c>
      <c r="J62" s="17">
        <v>11003072.900000006</v>
      </c>
      <c r="K62" s="17">
        <v>10421492.280000005</v>
      </c>
      <c r="L62" s="17">
        <v>9839911.660000004</v>
      </c>
      <c r="M62" s="19">
        <v>9258331.040000005</v>
      </c>
      <c r="N62" s="19">
        <v>8676750.420000004</v>
      </c>
      <c r="O62" s="19">
        <v>8095170</v>
      </c>
      <c r="P62" s="20">
        <f t="shared" si="11"/>
        <v>11584653.518333338</v>
      </c>
      <c r="Q62" s="20">
        <f t="shared" si="12"/>
        <v>11584653.516923081</v>
      </c>
      <c r="R62" s="20">
        <f t="shared" si="2"/>
        <v>-0.0014102570712566376</v>
      </c>
      <c r="S62" s="19">
        <v>7955597.860000004</v>
      </c>
    </row>
    <row r="63" spans="1:19" s="3" customFormat="1" ht="12.75">
      <c r="A63" s="3">
        <v>55</v>
      </c>
      <c r="B63" s="14" t="s">
        <v>51</v>
      </c>
      <c r="C63" s="16">
        <v>1110790472</v>
      </c>
      <c r="D63" s="17">
        <v>1177157169.9</v>
      </c>
      <c r="E63" s="17">
        <v>1136305370.73</v>
      </c>
      <c r="F63" s="17">
        <v>1029747866.0100001</v>
      </c>
      <c r="G63" s="18">
        <v>981838662.0800002</v>
      </c>
      <c r="H63" s="17">
        <v>900808188.1600001</v>
      </c>
      <c r="I63" s="17">
        <v>892595942.1400001</v>
      </c>
      <c r="J63" s="17">
        <v>887238723.0800002</v>
      </c>
      <c r="K63" s="17">
        <v>883428420.3600001</v>
      </c>
      <c r="L63" s="17">
        <v>885243418.23</v>
      </c>
      <c r="M63" s="19">
        <v>892897163.74</v>
      </c>
      <c r="N63" s="19">
        <v>999598391.22</v>
      </c>
      <c r="O63" s="19">
        <v>974728923</v>
      </c>
      <c r="P63" s="20">
        <f t="shared" si="11"/>
        <v>975801584.4291667</v>
      </c>
      <c r="Q63" s="20">
        <f t="shared" si="12"/>
        <v>980952208.5115384</v>
      </c>
      <c r="R63" s="20">
        <f t="shared" si="2"/>
        <v>5150624.082371712</v>
      </c>
      <c r="S63" s="19">
        <v>938910783.59</v>
      </c>
    </row>
    <row r="64" spans="1:19" s="3" customFormat="1" ht="12.75">
      <c r="A64" s="3">
        <v>56</v>
      </c>
      <c r="B64" s="14" t="s">
        <v>52</v>
      </c>
      <c r="C64" s="16">
        <v>2673839</v>
      </c>
      <c r="D64" s="17">
        <v>2735948.61</v>
      </c>
      <c r="E64" s="17">
        <v>2881614.62</v>
      </c>
      <c r="F64" s="17">
        <v>3412054.1</v>
      </c>
      <c r="G64" s="18">
        <v>3761662.1</v>
      </c>
      <c r="H64" s="17">
        <v>3837735.27</v>
      </c>
      <c r="I64" s="17">
        <v>2351933.92</v>
      </c>
      <c r="J64" s="17">
        <v>2369654.05</v>
      </c>
      <c r="K64" s="17">
        <v>3404196.09</v>
      </c>
      <c r="L64" s="17">
        <v>3388689.12</v>
      </c>
      <c r="M64" s="19">
        <v>3375399.25</v>
      </c>
      <c r="N64" s="19">
        <v>3379831.05</v>
      </c>
      <c r="O64" s="19">
        <v>3073824</v>
      </c>
      <c r="P64" s="20">
        <f t="shared" si="11"/>
        <v>3147712.473333333</v>
      </c>
      <c r="Q64" s="20">
        <f t="shared" si="12"/>
        <v>3126644.7061538454</v>
      </c>
      <c r="R64" s="20">
        <f t="shared" si="2"/>
        <v>-21067.76717948774</v>
      </c>
      <c r="S64" s="19">
        <v>3080549.53</v>
      </c>
    </row>
    <row r="65" spans="1:19" s="3" customFormat="1" ht="12.75">
      <c r="A65" s="3">
        <v>57</v>
      </c>
      <c r="B65" s="14" t="s">
        <v>53</v>
      </c>
      <c r="C65" s="16">
        <v>0</v>
      </c>
      <c r="D65" s="17">
        <v>-31992.23</v>
      </c>
      <c r="E65" s="17">
        <v>-110652.71</v>
      </c>
      <c r="F65" s="17">
        <v>-52784.44</v>
      </c>
      <c r="G65" s="18">
        <v>145172.42</v>
      </c>
      <c r="H65" s="17">
        <v>-13859.67</v>
      </c>
      <c r="I65" s="17">
        <v>-27129.65</v>
      </c>
      <c r="J65" s="17">
        <v>-45148.22</v>
      </c>
      <c r="K65" s="17">
        <v>27451.4</v>
      </c>
      <c r="L65" s="17">
        <v>0</v>
      </c>
      <c r="M65" s="19">
        <v>0</v>
      </c>
      <c r="N65" s="19">
        <v>0</v>
      </c>
      <c r="O65" s="19">
        <v>0</v>
      </c>
      <c r="P65" s="20">
        <f t="shared" si="11"/>
        <v>-9078.591666666667</v>
      </c>
      <c r="Q65" s="20">
        <f t="shared" si="12"/>
        <v>-8380.238461538462</v>
      </c>
      <c r="R65" s="20">
        <f t="shared" si="2"/>
        <v>698.3532051282054</v>
      </c>
      <c r="S65" s="19">
        <v>0</v>
      </c>
    </row>
    <row r="66" spans="1:19" s="3" customFormat="1" ht="12.75">
      <c r="A66" s="3">
        <v>58</v>
      </c>
      <c r="B66" s="14" t="s">
        <v>54</v>
      </c>
      <c r="C66" s="16">
        <v>98227</v>
      </c>
      <c r="D66" s="17">
        <v>126366.2</v>
      </c>
      <c r="E66" s="17">
        <v>165069.14</v>
      </c>
      <c r="F66" s="17">
        <v>243580.13</v>
      </c>
      <c r="G66" s="18">
        <v>241523.14</v>
      </c>
      <c r="H66" s="17">
        <v>111903.61</v>
      </c>
      <c r="I66" s="17">
        <v>116800.76</v>
      </c>
      <c r="J66" s="17">
        <v>132576.96</v>
      </c>
      <c r="K66" s="17">
        <v>131128.9</v>
      </c>
      <c r="L66" s="17">
        <v>134081.59</v>
      </c>
      <c r="M66" s="19">
        <v>145010.29</v>
      </c>
      <c r="N66" s="19">
        <v>152068.35</v>
      </c>
      <c r="O66" s="19">
        <v>132136</v>
      </c>
      <c r="P66" s="20">
        <f t="shared" si="11"/>
        <v>151274.21416666667</v>
      </c>
      <c r="Q66" s="20">
        <f t="shared" si="12"/>
        <v>148497.85153846155</v>
      </c>
      <c r="R66" s="20">
        <f t="shared" si="2"/>
        <v>-2776.3626282051264</v>
      </c>
      <c r="S66" s="19">
        <v>109846.02</v>
      </c>
    </row>
    <row r="67" spans="1:19" s="3" customFormat="1" ht="12.75">
      <c r="A67" s="3">
        <v>59</v>
      </c>
      <c r="B67" s="14" t="s">
        <v>55</v>
      </c>
      <c r="C67" s="16">
        <v>66442588</v>
      </c>
      <c r="D67" s="17">
        <v>65626455.279999994</v>
      </c>
      <c r="E67" s="17">
        <v>65831698.94</v>
      </c>
      <c r="F67" s="17">
        <v>65316786.94</v>
      </c>
      <c r="G67" s="18">
        <v>65700104.26</v>
      </c>
      <c r="H67" s="17">
        <v>66047889.75</v>
      </c>
      <c r="I67" s="17">
        <v>65388963.809999995</v>
      </c>
      <c r="J67" s="17">
        <v>65693984.669999994</v>
      </c>
      <c r="K67" s="17">
        <v>65657975.949999996</v>
      </c>
      <c r="L67" s="17">
        <v>65950330.88999999</v>
      </c>
      <c r="M67" s="19">
        <v>65583615.019999996</v>
      </c>
      <c r="N67" s="19">
        <v>64882570.849999994</v>
      </c>
      <c r="O67" s="19">
        <v>55980176</v>
      </c>
      <c r="P67" s="20">
        <f t="shared" si="11"/>
        <v>65240979.86333334</v>
      </c>
      <c r="Q67" s="20">
        <f t="shared" si="12"/>
        <v>64931010.79692308</v>
      </c>
      <c r="R67" s="20">
        <f t="shared" si="2"/>
        <v>-309969.0664102584</v>
      </c>
      <c r="S67" s="19">
        <v>55469648.75999999</v>
      </c>
    </row>
    <row r="68" spans="1:19" s="3" customFormat="1" ht="12.75">
      <c r="A68" s="3">
        <v>60</v>
      </c>
      <c r="B68" s="14" t="s">
        <v>56</v>
      </c>
      <c r="C68" s="16">
        <v>0</v>
      </c>
      <c r="D68" s="17">
        <v>0</v>
      </c>
      <c r="E68" s="17">
        <v>0</v>
      </c>
      <c r="F68" s="17">
        <v>0</v>
      </c>
      <c r="G68" s="18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9">
        <v>0</v>
      </c>
      <c r="N68" s="19">
        <v>0</v>
      </c>
      <c r="O68" s="19">
        <v>0</v>
      </c>
      <c r="P68" s="20">
        <f t="shared" si="11"/>
        <v>0</v>
      </c>
      <c r="Q68" s="20">
        <f t="shared" si="12"/>
        <v>0</v>
      </c>
      <c r="R68" s="20">
        <f t="shared" si="2"/>
        <v>0</v>
      </c>
      <c r="S68" s="19">
        <v>0</v>
      </c>
    </row>
    <row r="69" spans="1:19" s="3" customFormat="1" ht="12.75">
      <c r="A69" s="3">
        <v>61</v>
      </c>
      <c r="B69" s="14" t="s">
        <v>57</v>
      </c>
      <c r="C69" s="16">
        <v>34579787</v>
      </c>
      <c r="D69" s="17">
        <v>34077648.53</v>
      </c>
      <c r="E69" s="17">
        <v>33575510.33</v>
      </c>
      <c r="F69" s="17">
        <v>33069772.160000004</v>
      </c>
      <c r="G69" s="18">
        <v>32564033.970000003</v>
      </c>
      <c r="H69" s="17">
        <v>32104047.69</v>
      </c>
      <c r="I69" s="17">
        <v>31644061.32</v>
      </c>
      <c r="J69" s="17">
        <v>31186881.360000003</v>
      </c>
      <c r="K69" s="17">
        <v>30736094.740000002</v>
      </c>
      <c r="L69" s="17">
        <v>30285934.700000003</v>
      </c>
      <c r="M69" s="19">
        <v>29835774.590000004</v>
      </c>
      <c r="N69" s="19">
        <v>29400405.210000005</v>
      </c>
      <c r="O69" s="19">
        <v>28965036</v>
      </c>
      <c r="P69" s="20">
        <f t="shared" si="11"/>
        <v>31687714.674999997</v>
      </c>
      <c r="Q69" s="20">
        <f t="shared" si="12"/>
        <v>31694229.81538461</v>
      </c>
      <c r="R69" s="20">
        <f t="shared" si="2"/>
        <v>6515.140384614468</v>
      </c>
      <c r="S69" s="19">
        <v>28571929.580000002</v>
      </c>
    </row>
    <row r="70" spans="1:19" s="3" customFormat="1" ht="12.75">
      <c r="A70" s="3">
        <v>62</v>
      </c>
      <c r="B70" s="14" t="s">
        <v>58</v>
      </c>
      <c r="C70" s="16">
        <v>761598740</v>
      </c>
      <c r="D70" s="17">
        <v>761598739.5999999</v>
      </c>
      <c r="E70" s="17">
        <v>761598739.5999999</v>
      </c>
      <c r="F70" s="17">
        <v>723429003.5999999</v>
      </c>
      <c r="G70" s="18">
        <v>723429003.5999999</v>
      </c>
      <c r="H70" s="17">
        <v>723429003.5999999</v>
      </c>
      <c r="I70" s="17">
        <v>740579705.5999999</v>
      </c>
      <c r="J70" s="17">
        <v>712574178.5999999</v>
      </c>
      <c r="K70" s="17">
        <v>711162909.5999999</v>
      </c>
      <c r="L70" s="17">
        <v>687255513.5999999</v>
      </c>
      <c r="M70" s="19">
        <v>687167066.5999999</v>
      </c>
      <c r="N70" s="19">
        <v>616185881.5999999</v>
      </c>
      <c r="O70" s="19">
        <v>645298347</v>
      </c>
      <c r="P70" s="20">
        <f t="shared" si="11"/>
        <v>712654857.4250001</v>
      </c>
      <c r="Q70" s="20">
        <f t="shared" si="12"/>
        <v>711946679.4307694</v>
      </c>
      <c r="R70" s="20">
        <f t="shared" si="2"/>
        <v>-708177.994230628</v>
      </c>
      <c r="S70" s="19">
        <v>645427873.92</v>
      </c>
    </row>
    <row r="71" spans="1:19" s="3" customFormat="1" ht="12.75">
      <c r="A71" s="3">
        <v>63</v>
      </c>
      <c r="B71" s="21" t="s">
        <v>59</v>
      </c>
      <c r="C71" s="19">
        <f aca="true" t="shared" si="13" ref="C71:S71">SUM(C60:C70)</f>
        <v>2014753124</v>
      </c>
      <c r="D71" s="19">
        <f t="shared" si="13"/>
        <v>2079026219.79</v>
      </c>
      <c r="E71" s="19">
        <f t="shared" si="13"/>
        <v>2037146042.81</v>
      </c>
      <c r="F71" s="19">
        <f t="shared" si="13"/>
        <v>1893918299.4</v>
      </c>
      <c r="G71" s="19">
        <f t="shared" si="13"/>
        <v>1845657478.73</v>
      </c>
      <c r="H71" s="19">
        <f t="shared" si="13"/>
        <v>1763514773.42</v>
      </c>
      <c r="I71" s="19">
        <f t="shared" si="13"/>
        <v>1769054491.12</v>
      </c>
      <c r="J71" s="19">
        <f t="shared" si="13"/>
        <v>1734702505.45</v>
      </c>
      <c r="K71" s="19">
        <f t="shared" si="13"/>
        <v>1729248114.3400002</v>
      </c>
      <c r="L71" s="19">
        <f t="shared" si="13"/>
        <v>1706169642</v>
      </c>
      <c r="M71" s="19">
        <f t="shared" si="13"/>
        <v>1712063480.5699997</v>
      </c>
      <c r="N71" s="19">
        <f t="shared" si="13"/>
        <v>1745811788.84</v>
      </c>
      <c r="O71" s="19">
        <f t="shared" si="13"/>
        <v>1739544307</v>
      </c>
      <c r="P71" s="19">
        <f t="shared" si="13"/>
        <v>1824455129.3308334</v>
      </c>
      <c r="Q71" s="19">
        <f t="shared" si="13"/>
        <v>1828508482.1130772</v>
      </c>
      <c r="R71" s="20">
        <f t="shared" si="2"/>
        <v>4053352.7822437286</v>
      </c>
      <c r="S71" s="19">
        <f t="shared" si="13"/>
        <v>1702531729.9</v>
      </c>
    </row>
    <row r="72" spans="1:19" s="3" customFormat="1" ht="12.75">
      <c r="A72" s="3">
        <v>64</v>
      </c>
      <c r="B72" s="28" t="s">
        <v>60</v>
      </c>
      <c r="C72" s="20">
        <f>C25+C35+C58+C71</f>
        <v>12402326949</v>
      </c>
      <c r="D72" s="20">
        <f aca="true" t="shared" si="14" ref="D72:S72">D25+D35+D58+D71</f>
        <v>12255756661.459995</v>
      </c>
      <c r="E72" s="20">
        <f t="shared" si="14"/>
        <v>12249359361.17</v>
      </c>
      <c r="F72" s="20">
        <f t="shared" si="14"/>
        <v>12302406541.309998</v>
      </c>
      <c r="G72" s="20">
        <f t="shared" si="14"/>
        <v>12253863694.099998</v>
      </c>
      <c r="H72" s="20">
        <f t="shared" si="14"/>
        <v>12464903395.949999</v>
      </c>
      <c r="I72" s="20">
        <f t="shared" si="14"/>
        <v>12766029216.999996</v>
      </c>
      <c r="J72" s="20">
        <f t="shared" si="14"/>
        <v>12596064615.3</v>
      </c>
      <c r="K72" s="20">
        <f t="shared" si="14"/>
        <v>12550917240.060001</v>
      </c>
      <c r="L72" s="20">
        <f t="shared" si="14"/>
        <v>12586448054.330002</v>
      </c>
      <c r="M72" s="20">
        <f t="shared" si="14"/>
        <v>12524245825.95</v>
      </c>
      <c r="N72" s="20">
        <f t="shared" si="14"/>
        <v>12319987284.769999</v>
      </c>
      <c r="O72" s="20">
        <f t="shared" si="14"/>
        <v>12451196727</v>
      </c>
      <c r="P72" s="20">
        <f t="shared" si="14"/>
        <v>12441395310.78333</v>
      </c>
      <c r="Q72" s="20">
        <f t="shared" si="14"/>
        <v>12440269659.030767</v>
      </c>
      <c r="R72" s="20">
        <f t="shared" si="2"/>
        <v>-1125651.7525634766</v>
      </c>
      <c r="S72" s="20">
        <f t="shared" si="14"/>
        <v>12512084912.96</v>
      </c>
    </row>
    <row r="73" spans="1:19" s="3" customFormat="1" ht="12.75">
      <c r="A73" s="3">
        <v>65</v>
      </c>
      <c r="B73" s="42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0"/>
      <c r="Q73" s="29"/>
      <c r="R73" s="20">
        <f t="shared" si="2"/>
        <v>0</v>
      </c>
      <c r="S73" s="29"/>
    </row>
    <row r="74" spans="1:19" s="3" customFormat="1" ht="12.75">
      <c r="A74" s="3">
        <v>66</v>
      </c>
      <c r="B74" s="42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0"/>
      <c r="Q74" s="29"/>
      <c r="R74" s="20">
        <f aca="true" t="shared" si="15" ref="R74:R137">+Q74-P74</f>
        <v>0</v>
      </c>
      <c r="S74" s="29"/>
    </row>
    <row r="75" spans="1:19" s="3" customFormat="1" ht="12.75">
      <c r="A75" s="3">
        <v>67</v>
      </c>
      <c r="B75" s="30" t="s">
        <v>61</v>
      </c>
      <c r="C75" s="22"/>
      <c r="D75" s="23"/>
      <c r="E75" s="23"/>
      <c r="F75" s="23"/>
      <c r="G75" s="24"/>
      <c r="H75" s="23"/>
      <c r="I75" s="23"/>
      <c r="J75" s="23"/>
      <c r="K75" s="23"/>
      <c r="L75" s="23"/>
      <c r="M75" s="24"/>
      <c r="N75" s="23"/>
      <c r="O75" s="23"/>
      <c r="P75" s="17"/>
      <c r="Q75" s="31"/>
      <c r="R75" s="20">
        <f t="shared" si="15"/>
        <v>0</v>
      </c>
      <c r="S75" s="23"/>
    </row>
    <row r="76" spans="1:19" s="3" customFormat="1" ht="12.75">
      <c r="A76" s="3">
        <v>68</v>
      </c>
      <c r="B76" s="40" t="s">
        <v>113</v>
      </c>
      <c r="C76" s="22"/>
      <c r="D76" s="23"/>
      <c r="E76" s="23"/>
      <c r="F76" s="23"/>
      <c r="G76" s="24"/>
      <c r="H76" s="23"/>
      <c r="I76" s="23"/>
      <c r="J76" s="23"/>
      <c r="K76" s="23"/>
      <c r="L76" s="23"/>
      <c r="M76" s="32"/>
      <c r="N76" s="23"/>
      <c r="O76" s="23"/>
      <c r="P76" s="17"/>
      <c r="Q76" s="31"/>
      <c r="R76" s="20">
        <f t="shared" si="15"/>
        <v>0</v>
      </c>
      <c r="S76" s="23"/>
    </row>
    <row r="77" spans="1:19" s="3" customFormat="1" ht="12.75">
      <c r="A77" s="3">
        <v>69</v>
      </c>
      <c r="B77" s="14" t="s">
        <v>62</v>
      </c>
      <c r="C77" s="20">
        <v>2933226675</v>
      </c>
      <c r="D77" s="20">
        <v>2933226675.24</v>
      </c>
      <c r="E77" s="20">
        <v>2933226675.24</v>
      </c>
      <c r="F77" s="20">
        <v>3058226675.24</v>
      </c>
      <c r="G77" s="20">
        <v>3058226675.24</v>
      </c>
      <c r="H77" s="20">
        <v>3058226675.24</v>
      </c>
      <c r="I77" s="20">
        <v>3183226675.24</v>
      </c>
      <c r="J77" s="20">
        <v>3183226675.24</v>
      </c>
      <c r="K77" s="20">
        <v>3183226675.24</v>
      </c>
      <c r="L77" s="20">
        <v>3308226675.24</v>
      </c>
      <c r="M77" s="20">
        <v>3308226675.24</v>
      </c>
      <c r="N77" s="20">
        <v>3308226675.24</v>
      </c>
      <c r="O77" s="20">
        <v>3417948897</v>
      </c>
      <c r="P77" s="20">
        <f aca="true" t="shared" si="16" ref="P77:P86">(C77+SUM(D77:N77)*2+O77)/24</f>
        <v>3140923434.4699993</v>
      </c>
      <c r="Q77" s="20">
        <f aca="true" t="shared" si="17" ref="Q77:Q86">AVERAGE(C77:O77)</f>
        <v>3143589923.0492296</v>
      </c>
      <c r="R77" s="20">
        <f t="shared" si="15"/>
        <v>2666488.5792303085</v>
      </c>
      <c r="S77" s="20">
        <v>3417948897.24</v>
      </c>
    </row>
    <row r="78" spans="1:19" s="3" customFormat="1" ht="12.75">
      <c r="A78" s="3">
        <v>70</v>
      </c>
      <c r="B78" s="14" t="s">
        <v>69</v>
      </c>
      <c r="C78" s="16">
        <v>41463300</v>
      </c>
      <c r="D78" s="17">
        <v>41463300</v>
      </c>
      <c r="E78" s="17">
        <v>41463300</v>
      </c>
      <c r="F78" s="17">
        <v>41463300</v>
      </c>
      <c r="G78" s="18">
        <v>41463300</v>
      </c>
      <c r="H78" s="17">
        <v>41463300</v>
      </c>
      <c r="I78" s="17">
        <v>41463300</v>
      </c>
      <c r="J78" s="17">
        <v>41463300</v>
      </c>
      <c r="K78" s="17">
        <v>41463300</v>
      </c>
      <c r="L78" s="17">
        <v>41463300</v>
      </c>
      <c r="M78" s="19">
        <v>41463300</v>
      </c>
      <c r="N78" s="19">
        <v>41463300</v>
      </c>
      <c r="O78" s="19">
        <v>41463300</v>
      </c>
      <c r="P78" s="20">
        <f t="shared" si="16"/>
        <v>41463300</v>
      </c>
      <c r="Q78" s="20">
        <f t="shared" si="17"/>
        <v>41463300</v>
      </c>
      <c r="R78" s="20">
        <f t="shared" si="15"/>
        <v>0</v>
      </c>
      <c r="S78" s="19">
        <v>41463300</v>
      </c>
    </row>
    <row r="79" spans="1:19" s="3" customFormat="1" ht="12.75">
      <c r="A79" s="3">
        <v>71</v>
      </c>
      <c r="B79" s="14" t="s">
        <v>63</v>
      </c>
      <c r="C79" s="16"/>
      <c r="D79" s="17"/>
      <c r="E79" s="17"/>
      <c r="F79" s="17"/>
      <c r="G79" s="18"/>
      <c r="H79" s="17"/>
      <c r="I79" s="17"/>
      <c r="J79" s="17"/>
      <c r="K79" s="17"/>
      <c r="L79" s="17"/>
      <c r="M79" s="33"/>
      <c r="N79" s="33"/>
      <c r="O79" s="33"/>
      <c r="P79" s="20">
        <f t="shared" si="16"/>
        <v>0</v>
      </c>
      <c r="Q79" s="20"/>
      <c r="R79" s="20">
        <f t="shared" si="15"/>
        <v>0</v>
      </c>
      <c r="S79" s="33"/>
    </row>
    <row r="80" spans="1:19" s="3" customFormat="1" ht="12.75">
      <c r="A80" s="3">
        <v>72</v>
      </c>
      <c r="B80" s="14" t="s">
        <v>64</v>
      </c>
      <c r="C80" s="16"/>
      <c r="D80" s="17"/>
      <c r="E80" s="17"/>
      <c r="F80" s="17"/>
      <c r="G80" s="18"/>
      <c r="H80" s="17"/>
      <c r="I80" s="17"/>
      <c r="J80" s="17"/>
      <c r="K80" s="17"/>
      <c r="L80" s="17"/>
      <c r="M80" s="19"/>
      <c r="N80" s="19"/>
      <c r="O80" s="19"/>
      <c r="P80" s="20">
        <f t="shared" si="16"/>
        <v>0</v>
      </c>
      <c r="Q80" s="20"/>
      <c r="R80" s="20">
        <f t="shared" si="15"/>
        <v>0</v>
      </c>
      <c r="S80" s="19"/>
    </row>
    <row r="81" spans="1:19" s="3" customFormat="1" ht="12.75">
      <c r="A81" s="3">
        <v>73</v>
      </c>
      <c r="B81" s="14" t="s">
        <v>65</v>
      </c>
      <c r="C81" s="16">
        <v>2033026</v>
      </c>
      <c r="D81" s="17">
        <v>2033026</v>
      </c>
      <c r="E81" s="17">
        <v>2033026</v>
      </c>
      <c r="F81" s="17">
        <v>2033026</v>
      </c>
      <c r="G81" s="18">
        <v>2033026</v>
      </c>
      <c r="H81" s="17">
        <v>2033026</v>
      </c>
      <c r="I81" s="17">
        <v>1973218</v>
      </c>
      <c r="J81" s="17">
        <v>1973218</v>
      </c>
      <c r="K81" s="17">
        <v>1973218</v>
      </c>
      <c r="L81" s="17">
        <v>1973218</v>
      </c>
      <c r="M81" s="19">
        <v>1973218</v>
      </c>
      <c r="N81" s="19">
        <v>5787744</v>
      </c>
      <c r="O81" s="19">
        <v>5533419</v>
      </c>
      <c r="P81" s="20">
        <f t="shared" si="16"/>
        <v>2466848.875</v>
      </c>
      <c r="Q81" s="20">
        <f t="shared" si="17"/>
        <v>2568108.3846153845</v>
      </c>
      <c r="R81" s="20">
        <f t="shared" si="15"/>
        <v>101259.50961538451</v>
      </c>
      <c r="S81" s="19">
        <v>5533419.390000001</v>
      </c>
    </row>
    <row r="82" spans="1:19" s="3" customFormat="1" ht="12.75">
      <c r="A82" s="3">
        <v>74</v>
      </c>
      <c r="B82" s="14" t="s">
        <v>66</v>
      </c>
      <c r="C82" s="16">
        <v>0</v>
      </c>
      <c r="D82" s="17">
        <v>0</v>
      </c>
      <c r="E82" s="17">
        <v>0</v>
      </c>
      <c r="F82" s="17">
        <v>0</v>
      </c>
      <c r="G82" s="18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9">
        <v>0</v>
      </c>
      <c r="N82" s="19">
        <v>0</v>
      </c>
      <c r="O82" s="19">
        <v>0</v>
      </c>
      <c r="P82" s="20">
        <f t="shared" si="16"/>
        <v>0</v>
      </c>
      <c r="Q82" s="20">
        <f t="shared" si="17"/>
        <v>0</v>
      </c>
      <c r="R82" s="20">
        <f t="shared" si="15"/>
        <v>0</v>
      </c>
      <c r="S82" s="19">
        <v>0</v>
      </c>
    </row>
    <row r="83" spans="1:19" s="3" customFormat="1" ht="12.75">
      <c r="A83" s="3">
        <v>75</v>
      </c>
      <c r="B83" s="14" t="s">
        <v>1</v>
      </c>
      <c r="C83" s="16">
        <v>-41281084</v>
      </c>
      <c r="D83" s="17">
        <v>-41281083.88</v>
      </c>
      <c r="E83" s="17">
        <v>-41281083.88</v>
      </c>
      <c r="F83" s="17">
        <v>-41288019.13</v>
      </c>
      <c r="G83" s="18">
        <v>-41288206.75</v>
      </c>
      <c r="H83" s="17">
        <v>-41288206.75</v>
      </c>
      <c r="I83" s="17">
        <v>-41288206.75</v>
      </c>
      <c r="J83" s="17">
        <v>-41288206.75</v>
      </c>
      <c r="K83" s="17">
        <v>-41288206.75</v>
      </c>
      <c r="L83" s="17">
        <v>-41288206.75</v>
      </c>
      <c r="M83" s="19">
        <v>-41288206.75</v>
      </c>
      <c r="N83" s="19">
        <v>-41288206.75</v>
      </c>
      <c r="O83" s="19">
        <v>-41288207</v>
      </c>
      <c r="P83" s="20">
        <f t="shared" si="16"/>
        <v>-41286707.19916666</v>
      </c>
      <c r="Q83" s="20">
        <f t="shared" si="17"/>
        <v>-41286548.60692307</v>
      </c>
      <c r="R83" s="20">
        <f t="shared" si="15"/>
        <v>158.59224358946085</v>
      </c>
      <c r="S83" s="19">
        <v>-41288206.75</v>
      </c>
    </row>
    <row r="84" spans="1:19" s="3" customFormat="1" ht="12.75">
      <c r="A84" s="3">
        <v>76</v>
      </c>
      <c r="B84" s="14" t="s">
        <v>67</v>
      </c>
      <c r="C84" s="16">
        <v>446371023</v>
      </c>
      <c r="D84" s="17">
        <v>393788301.81</v>
      </c>
      <c r="E84" s="17">
        <v>434936199.8500001</v>
      </c>
      <c r="F84" s="17">
        <v>441414176.8299997</v>
      </c>
      <c r="G84" s="18">
        <v>444020670.9299998</v>
      </c>
      <c r="H84" s="17">
        <v>471931462.74999976</v>
      </c>
      <c r="I84" s="17">
        <v>427600871.69999975</v>
      </c>
      <c r="J84" s="17">
        <v>428032248.5899997</v>
      </c>
      <c r="K84" s="17">
        <v>467795463.1599991</v>
      </c>
      <c r="L84" s="17">
        <v>500229300.62000036</v>
      </c>
      <c r="M84" s="19">
        <v>538844180.1700002</v>
      </c>
      <c r="N84" s="19">
        <v>580795133.2700002</v>
      </c>
      <c r="O84" s="19">
        <v>630046045</v>
      </c>
      <c r="P84" s="20">
        <f t="shared" si="16"/>
        <v>472299711.9733332</v>
      </c>
      <c r="Q84" s="20">
        <f t="shared" si="17"/>
        <v>477369621.3599999</v>
      </c>
      <c r="R84" s="20">
        <f t="shared" si="15"/>
        <v>5069909.386666715</v>
      </c>
      <c r="S84" s="19">
        <v>659159591.59</v>
      </c>
    </row>
    <row r="85" spans="1:19" s="3" customFormat="1" ht="12.75">
      <c r="A85" s="3">
        <v>77</v>
      </c>
      <c r="B85" s="14" t="s">
        <v>68</v>
      </c>
      <c r="C85" s="16">
        <v>0</v>
      </c>
      <c r="D85" s="17">
        <v>0</v>
      </c>
      <c r="E85" s="17">
        <v>0</v>
      </c>
      <c r="F85" s="17">
        <v>0</v>
      </c>
      <c r="G85" s="18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9">
        <v>0</v>
      </c>
      <c r="N85" s="19">
        <v>0</v>
      </c>
      <c r="O85" s="19">
        <v>0</v>
      </c>
      <c r="P85" s="20">
        <f t="shared" si="16"/>
        <v>0</v>
      </c>
      <c r="Q85" s="20">
        <f t="shared" si="17"/>
        <v>0</v>
      </c>
      <c r="R85" s="20">
        <f t="shared" si="15"/>
        <v>0</v>
      </c>
      <c r="S85" s="19">
        <v>0</v>
      </c>
    </row>
    <row r="86" spans="1:19" s="3" customFormat="1" ht="12.75">
      <c r="A86" s="3">
        <v>78</v>
      </c>
      <c r="B86" s="14" t="s">
        <v>119</v>
      </c>
      <c r="C86" s="16">
        <v>-8974487</v>
      </c>
      <c r="D86" s="17">
        <v>-8670691.7</v>
      </c>
      <c r="E86" s="17">
        <v>-8585278.58</v>
      </c>
      <c r="F86" s="17">
        <v>-8253299.38</v>
      </c>
      <c r="G86" s="18">
        <v>-8298773.1</v>
      </c>
      <c r="H86" s="17">
        <v>-8132228.93</v>
      </c>
      <c r="I86" s="17">
        <v>-7532184.73</v>
      </c>
      <c r="J86" s="17">
        <v>-7826368.9</v>
      </c>
      <c r="K86" s="17">
        <v>-8238457.02</v>
      </c>
      <c r="L86" s="17">
        <v>-8067963.63</v>
      </c>
      <c r="M86" s="19">
        <v>-7760831.42</v>
      </c>
      <c r="N86" s="19">
        <v>-7851184.9399999995</v>
      </c>
      <c r="O86" s="19">
        <v>-3278600</v>
      </c>
      <c r="P86" s="20">
        <f t="shared" si="16"/>
        <v>-7945317.1525</v>
      </c>
      <c r="Q86" s="20">
        <f t="shared" si="17"/>
        <v>-7805411.486923077</v>
      </c>
      <c r="R86" s="20">
        <f t="shared" si="15"/>
        <v>139905.6655769227</v>
      </c>
      <c r="S86" s="19">
        <v>-5532523.749999999</v>
      </c>
    </row>
    <row r="87" spans="1:19" s="3" customFormat="1" ht="12.75">
      <c r="A87" s="3">
        <v>79</v>
      </c>
      <c r="B87" s="21" t="s">
        <v>114</v>
      </c>
      <c r="C87" s="19">
        <f>SUM(C77:C86)</f>
        <v>3372838453</v>
      </c>
      <c r="D87" s="19">
        <f aca="true" t="shared" si="18" ref="D87:S87">SUM(D77:D86)</f>
        <v>3320559527.47</v>
      </c>
      <c r="E87" s="19">
        <f t="shared" si="18"/>
        <v>3361792838.6299996</v>
      </c>
      <c r="F87" s="19">
        <f t="shared" si="18"/>
        <v>3493595859.5599995</v>
      </c>
      <c r="G87" s="19">
        <f t="shared" si="18"/>
        <v>3496156692.3199997</v>
      </c>
      <c r="H87" s="19">
        <f t="shared" si="18"/>
        <v>3524234028.31</v>
      </c>
      <c r="I87" s="19">
        <f t="shared" si="18"/>
        <v>3605443673.4599996</v>
      </c>
      <c r="J87" s="19">
        <f t="shared" si="18"/>
        <v>3605580866.1799994</v>
      </c>
      <c r="K87" s="19">
        <f t="shared" si="18"/>
        <v>3644931992.6299987</v>
      </c>
      <c r="L87" s="19">
        <f t="shared" si="18"/>
        <v>3802536323.48</v>
      </c>
      <c r="M87" s="19">
        <f t="shared" si="18"/>
        <v>3841458335.24</v>
      </c>
      <c r="N87" s="19">
        <f t="shared" si="18"/>
        <v>3887133460.82</v>
      </c>
      <c r="O87" s="19">
        <f t="shared" si="18"/>
        <v>4050424854</v>
      </c>
      <c r="P87" s="19">
        <f t="shared" si="18"/>
        <v>3607921270.9666657</v>
      </c>
      <c r="Q87" s="19">
        <f t="shared" si="18"/>
        <v>3615898992.699999</v>
      </c>
      <c r="R87" s="20">
        <f t="shared" si="15"/>
        <v>7977721.733333111</v>
      </c>
      <c r="S87" s="19">
        <f t="shared" si="18"/>
        <v>4077284477.72</v>
      </c>
    </row>
    <row r="88" spans="1:19" s="3" customFormat="1" ht="12.75">
      <c r="A88" s="3">
        <v>80</v>
      </c>
      <c r="B88" s="40" t="s">
        <v>70</v>
      </c>
      <c r="C88" s="22"/>
      <c r="D88" s="23"/>
      <c r="E88" s="23"/>
      <c r="F88" s="23"/>
      <c r="G88" s="24"/>
      <c r="H88" s="23"/>
      <c r="I88" s="23"/>
      <c r="J88" s="23"/>
      <c r="K88" s="23"/>
      <c r="L88" s="23"/>
      <c r="M88" s="32"/>
      <c r="N88" s="32"/>
      <c r="O88" s="32"/>
      <c r="P88" s="39"/>
      <c r="Q88" s="34"/>
      <c r="R88" s="20">
        <f t="shared" si="15"/>
        <v>0</v>
      </c>
      <c r="S88" s="32"/>
    </row>
    <row r="89" spans="1:19" s="3" customFormat="1" ht="12.75">
      <c r="A89" s="3">
        <v>81</v>
      </c>
      <c r="B89" s="14" t="s">
        <v>71</v>
      </c>
      <c r="C89" s="16">
        <v>3879158000</v>
      </c>
      <c r="D89" s="17">
        <v>3729158000</v>
      </c>
      <c r="E89" s="17">
        <v>3729158000</v>
      </c>
      <c r="F89" s="17">
        <v>4029158000</v>
      </c>
      <c r="G89" s="18">
        <v>4029158000</v>
      </c>
      <c r="H89" s="17">
        <v>4029158000</v>
      </c>
      <c r="I89" s="17">
        <v>4029158000</v>
      </c>
      <c r="J89" s="17">
        <v>4009424000</v>
      </c>
      <c r="K89" s="17">
        <v>4009424000</v>
      </c>
      <c r="L89" s="17">
        <v>4009424000</v>
      </c>
      <c r="M89" s="19">
        <v>3909424000</v>
      </c>
      <c r="N89" s="19">
        <v>3909424000</v>
      </c>
      <c r="O89" s="19">
        <v>3909424000</v>
      </c>
      <c r="P89" s="20">
        <f aca="true" t="shared" si="19" ref="P89:P94">(C89+SUM(D89:N89)*2+O89)/24</f>
        <v>3943029916.6666665</v>
      </c>
      <c r="Q89" s="20">
        <f aca="true" t="shared" si="20" ref="Q89:Q94">AVERAGE(C89:O89)</f>
        <v>3939280769.230769</v>
      </c>
      <c r="R89" s="20">
        <f t="shared" si="15"/>
        <v>-3749147.4358973503</v>
      </c>
      <c r="S89" s="19">
        <v>3909424000</v>
      </c>
    </row>
    <row r="90" spans="1:19" s="3" customFormat="1" ht="12.75">
      <c r="A90" s="3">
        <v>82</v>
      </c>
      <c r="B90" s="14" t="s">
        <v>72</v>
      </c>
      <c r="C90" s="16">
        <v>-2097368</v>
      </c>
      <c r="D90" s="17">
        <v>-2101728.56</v>
      </c>
      <c r="E90" s="17">
        <v>-2106463.14</v>
      </c>
      <c r="F90" s="17">
        <v>-2111495.2</v>
      </c>
      <c r="G90" s="18">
        <v>-2116433.65</v>
      </c>
      <c r="H90" s="17">
        <v>-2122099.2</v>
      </c>
      <c r="I90" s="17">
        <v>-2128091.57</v>
      </c>
      <c r="J90" s="17">
        <v>-2134693.02</v>
      </c>
      <c r="K90" s="17">
        <v>-2140849.18</v>
      </c>
      <c r="L90" s="17">
        <v>-2147757.84</v>
      </c>
      <c r="M90" s="19">
        <v>-2155701.24</v>
      </c>
      <c r="N90" s="19">
        <v>-2162844.14</v>
      </c>
      <c r="O90" s="19">
        <v>-2170155</v>
      </c>
      <c r="P90" s="20">
        <f t="shared" si="19"/>
        <v>-2130159.8533333335</v>
      </c>
      <c r="Q90" s="20">
        <f t="shared" si="20"/>
        <v>-2130436.9030769235</v>
      </c>
      <c r="R90" s="20">
        <f t="shared" si="15"/>
        <v>-277.04974358994514</v>
      </c>
      <c r="S90" s="19">
        <v>-2179004.11</v>
      </c>
    </row>
    <row r="91" spans="1:19" s="3" customFormat="1" ht="12.75">
      <c r="A91" s="3">
        <v>83</v>
      </c>
      <c r="B91" s="14" t="s">
        <v>73</v>
      </c>
      <c r="C91" s="16">
        <v>0</v>
      </c>
      <c r="D91" s="17">
        <v>0</v>
      </c>
      <c r="E91" s="17">
        <v>0</v>
      </c>
      <c r="F91" s="17">
        <v>0</v>
      </c>
      <c r="G91" s="18">
        <v>0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19">
        <v>0</v>
      </c>
      <c r="N91" s="19">
        <v>0</v>
      </c>
      <c r="O91" s="19">
        <v>0</v>
      </c>
      <c r="P91" s="20">
        <f t="shared" si="19"/>
        <v>0</v>
      </c>
      <c r="Q91" s="20">
        <f t="shared" si="20"/>
        <v>0</v>
      </c>
      <c r="R91" s="20">
        <f t="shared" si="15"/>
        <v>0</v>
      </c>
      <c r="S91" s="19">
        <v>0</v>
      </c>
    </row>
    <row r="92" spans="1:19" s="3" customFormat="1" ht="12.75">
      <c r="A92" s="3">
        <v>84</v>
      </c>
      <c r="B92" s="14" t="s">
        <v>74</v>
      </c>
      <c r="C92" s="16">
        <v>52500000</v>
      </c>
      <c r="D92" s="17">
        <v>52500000</v>
      </c>
      <c r="E92" s="17">
        <v>52500000</v>
      </c>
      <c r="F92" s="17">
        <v>45000000</v>
      </c>
      <c r="G92" s="18">
        <v>45000000</v>
      </c>
      <c r="H92" s="17">
        <v>45000000</v>
      </c>
      <c r="I92" s="17">
        <v>45000000</v>
      </c>
      <c r="J92" s="17">
        <v>45000000</v>
      </c>
      <c r="K92" s="17">
        <v>45000000</v>
      </c>
      <c r="L92" s="17">
        <v>45000000</v>
      </c>
      <c r="M92" s="19">
        <v>45000000</v>
      </c>
      <c r="N92" s="19">
        <v>45000000</v>
      </c>
      <c r="O92" s="19">
        <v>45000000</v>
      </c>
      <c r="P92" s="20">
        <f t="shared" si="19"/>
        <v>46562500</v>
      </c>
      <c r="Q92" s="20">
        <f t="shared" si="20"/>
        <v>46730769.23076923</v>
      </c>
      <c r="R92" s="20">
        <f t="shared" si="15"/>
        <v>168269.23076923192</v>
      </c>
      <c r="S92" s="19">
        <v>45000000</v>
      </c>
    </row>
    <row r="93" spans="1:19" s="3" customFormat="1" ht="12.75">
      <c r="A93" s="3">
        <v>85</v>
      </c>
      <c r="B93" s="14" t="s">
        <v>75</v>
      </c>
      <c r="C93" s="16">
        <v>48474</v>
      </c>
      <c r="D93" s="17">
        <v>48247.68999999986</v>
      </c>
      <c r="E93" s="17">
        <v>48021.179999999855</v>
      </c>
      <c r="F93" s="17">
        <v>47794.65999999986</v>
      </c>
      <c r="G93" s="18">
        <v>47568.149999999856</v>
      </c>
      <c r="H93" s="17">
        <v>47341.62999999985</v>
      </c>
      <c r="I93" s="17">
        <v>47115.11999999986</v>
      </c>
      <c r="J93" s="17">
        <v>46888.59999999985</v>
      </c>
      <c r="K93" s="17">
        <v>46662.08999999985</v>
      </c>
      <c r="L93" s="17">
        <v>46435.569999999854</v>
      </c>
      <c r="M93" s="19">
        <v>46209.05999999985</v>
      </c>
      <c r="N93" s="19">
        <v>45982.539999999855</v>
      </c>
      <c r="O93" s="19">
        <v>45756</v>
      </c>
      <c r="P93" s="20">
        <f t="shared" si="19"/>
        <v>47115.10749999987</v>
      </c>
      <c r="Q93" s="20">
        <f t="shared" si="20"/>
        <v>47115.0992307691</v>
      </c>
      <c r="R93" s="20">
        <f t="shared" si="15"/>
        <v>-0.008269230769656133</v>
      </c>
      <c r="S93" s="19">
        <v>45529.50999999986</v>
      </c>
    </row>
    <row r="94" spans="1:19" s="3" customFormat="1" ht="12.75">
      <c r="A94" s="3">
        <v>86</v>
      </c>
      <c r="B94" s="14" t="s">
        <v>2</v>
      </c>
      <c r="C94" s="16">
        <v>-4823538</v>
      </c>
      <c r="D94" s="17">
        <v>-4769636.13</v>
      </c>
      <c r="E94" s="17">
        <v>-4715734.17</v>
      </c>
      <c r="F94" s="17">
        <v>-5738832.21</v>
      </c>
      <c r="G94" s="18">
        <v>-5681930.25</v>
      </c>
      <c r="H94" s="17">
        <v>-5625028.29</v>
      </c>
      <c r="I94" s="17">
        <v>-5568126.33</v>
      </c>
      <c r="J94" s="17">
        <v>-5511224.37</v>
      </c>
      <c r="K94" s="17">
        <v>-5454322.41</v>
      </c>
      <c r="L94" s="17">
        <v>-5397420.45</v>
      </c>
      <c r="M94" s="19">
        <v>-5340518.48</v>
      </c>
      <c r="N94" s="19">
        <v>-5283616.52</v>
      </c>
      <c r="O94" s="19">
        <v>-5226715</v>
      </c>
      <c r="P94" s="20">
        <f t="shared" si="19"/>
        <v>-5342626.3425</v>
      </c>
      <c r="Q94" s="20">
        <f t="shared" si="20"/>
        <v>-5318203.277692308</v>
      </c>
      <c r="R94" s="20">
        <f t="shared" si="15"/>
        <v>24423.064807692543</v>
      </c>
      <c r="S94" s="19">
        <v>-5169812.59</v>
      </c>
    </row>
    <row r="95" spans="1:19" s="3" customFormat="1" ht="12.75">
      <c r="A95" s="3">
        <v>87</v>
      </c>
      <c r="B95" s="21" t="s">
        <v>76</v>
      </c>
      <c r="C95" s="19">
        <f>SUM(C89:C94)</f>
        <v>3924785568</v>
      </c>
      <c r="D95" s="19">
        <f aca="true" t="shared" si="21" ref="D95:S95">SUM(D89:D94)</f>
        <v>3774834883</v>
      </c>
      <c r="E95" s="19">
        <f t="shared" si="21"/>
        <v>3774883823.87</v>
      </c>
      <c r="F95" s="19">
        <f t="shared" si="21"/>
        <v>4066355467.25</v>
      </c>
      <c r="G95" s="19">
        <f t="shared" si="21"/>
        <v>4066407204.25</v>
      </c>
      <c r="H95" s="19">
        <f t="shared" si="21"/>
        <v>4066458214.1400003</v>
      </c>
      <c r="I95" s="19">
        <f t="shared" si="21"/>
        <v>4066508897.22</v>
      </c>
      <c r="J95" s="19">
        <f t="shared" si="21"/>
        <v>4046824971.21</v>
      </c>
      <c r="K95" s="19">
        <f t="shared" si="21"/>
        <v>4046875490.5000005</v>
      </c>
      <c r="L95" s="19">
        <f t="shared" si="21"/>
        <v>4046925257.28</v>
      </c>
      <c r="M95" s="19">
        <f t="shared" si="21"/>
        <v>3946973989.34</v>
      </c>
      <c r="N95" s="19">
        <f t="shared" si="21"/>
        <v>3947023521.88</v>
      </c>
      <c r="O95" s="19">
        <f t="shared" si="21"/>
        <v>3947072886</v>
      </c>
      <c r="P95" s="19">
        <f t="shared" si="21"/>
        <v>3982166745.578333</v>
      </c>
      <c r="Q95" s="19">
        <f t="shared" si="21"/>
        <v>3978610013.3799996</v>
      </c>
      <c r="R95" s="20">
        <f t="shared" si="15"/>
        <v>-3556732.1983332634</v>
      </c>
      <c r="S95" s="19">
        <f t="shared" si="21"/>
        <v>3947120712.81</v>
      </c>
    </row>
    <row r="96" spans="1:19" s="3" customFormat="1" ht="12.75">
      <c r="A96" s="3">
        <v>88</v>
      </c>
      <c r="B96" s="21" t="s">
        <v>77</v>
      </c>
      <c r="C96" s="19">
        <f>C87+C95</f>
        <v>7297624021</v>
      </c>
      <c r="D96" s="19">
        <f aca="true" t="shared" si="22" ref="D96:S96">D87+D95</f>
        <v>7095394410.469999</v>
      </c>
      <c r="E96" s="19">
        <f t="shared" si="22"/>
        <v>7136676662.5</v>
      </c>
      <c r="F96" s="19">
        <f t="shared" si="22"/>
        <v>7559951326.809999</v>
      </c>
      <c r="G96" s="19">
        <f t="shared" si="22"/>
        <v>7562563896.57</v>
      </c>
      <c r="H96" s="19">
        <f t="shared" si="22"/>
        <v>7590692242.450001</v>
      </c>
      <c r="I96" s="19">
        <f t="shared" si="22"/>
        <v>7671952570.679999</v>
      </c>
      <c r="J96" s="19">
        <f t="shared" si="22"/>
        <v>7652405837.389999</v>
      </c>
      <c r="K96" s="19">
        <f t="shared" si="22"/>
        <v>7691807483.129999</v>
      </c>
      <c r="L96" s="19">
        <f t="shared" si="22"/>
        <v>7849461580.76</v>
      </c>
      <c r="M96" s="19">
        <f t="shared" si="22"/>
        <v>7788432324.58</v>
      </c>
      <c r="N96" s="19">
        <f t="shared" si="22"/>
        <v>7834156982.700001</v>
      </c>
      <c r="O96" s="19">
        <f t="shared" si="22"/>
        <v>7997497740</v>
      </c>
      <c r="P96" s="19">
        <f t="shared" si="22"/>
        <v>7590088016.544998</v>
      </c>
      <c r="Q96" s="19">
        <f t="shared" si="22"/>
        <v>7594509006.079998</v>
      </c>
      <c r="R96" s="20">
        <f t="shared" si="15"/>
        <v>4420989.534999847</v>
      </c>
      <c r="S96" s="19">
        <f t="shared" si="22"/>
        <v>8024405190.53</v>
      </c>
    </row>
    <row r="97" spans="1:19" s="3" customFormat="1" ht="12.75">
      <c r="A97" s="3">
        <v>89</v>
      </c>
      <c r="B97" s="40" t="s">
        <v>78</v>
      </c>
      <c r="C97" s="22"/>
      <c r="D97" s="23"/>
      <c r="E97" s="23"/>
      <c r="F97" s="23"/>
      <c r="G97" s="24"/>
      <c r="H97" s="23"/>
      <c r="I97" s="23"/>
      <c r="J97" s="23"/>
      <c r="K97" s="23"/>
      <c r="L97" s="23"/>
      <c r="M97" s="25"/>
      <c r="N97" s="32"/>
      <c r="O97" s="25"/>
      <c r="P97" s="19"/>
      <c r="Q97" s="26"/>
      <c r="R97" s="20">
        <f t="shared" si="15"/>
        <v>0</v>
      </c>
      <c r="S97" s="25"/>
    </row>
    <row r="98" spans="1:19" s="3" customFormat="1" ht="12.75">
      <c r="A98" s="3">
        <v>90</v>
      </c>
      <c r="B98" s="14" t="s">
        <v>79</v>
      </c>
      <c r="C98" s="16">
        <v>26409184</v>
      </c>
      <c r="D98" s="17">
        <v>38609761.17</v>
      </c>
      <c r="E98" s="17">
        <v>38598323.8</v>
      </c>
      <c r="F98" s="17">
        <v>38447844.49</v>
      </c>
      <c r="G98" s="18">
        <v>38442987.34</v>
      </c>
      <c r="H98" s="17">
        <v>38438042.07</v>
      </c>
      <c r="I98" s="17">
        <v>38285944.55</v>
      </c>
      <c r="J98" s="17">
        <v>38279452.61</v>
      </c>
      <c r="K98" s="17">
        <v>38272855.79</v>
      </c>
      <c r="L98" s="17">
        <v>38119089.81</v>
      </c>
      <c r="M98" s="19">
        <v>38110912.32</v>
      </c>
      <c r="N98" s="19">
        <v>35324954.17</v>
      </c>
      <c r="O98" s="19">
        <v>35171600</v>
      </c>
      <c r="P98" s="20">
        <f aca="true" t="shared" si="23" ref="P98:P106">(C98+SUM(D98:N98)*2+O98)/24</f>
        <v>37476713.34333334</v>
      </c>
      <c r="Q98" s="20">
        <f aca="true" t="shared" si="24" ref="Q98:Q106">AVERAGE(C98:O98)</f>
        <v>36962380.9323077</v>
      </c>
      <c r="R98" s="20">
        <f t="shared" si="15"/>
        <v>-514332.41102564335</v>
      </c>
      <c r="S98" s="19">
        <v>35163722.95</v>
      </c>
    </row>
    <row r="99" spans="1:19" s="3" customFormat="1" ht="12.75">
      <c r="A99" s="3">
        <v>91</v>
      </c>
      <c r="B99" s="14" t="s">
        <v>80</v>
      </c>
      <c r="C99" s="16">
        <v>126291</v>
      </c>
      <c r="D99" s="17">
        <v>237243.09999999928</v>
      </c>
      <c r="E99" s="17">
        <v>333926.1599999993</v>
      </c>
      <c r="F99" s="17">
        <v>274541.9899999993</v>
      </c>
      <c r="G99" s="18">
        <v>536857.6799999992</v>
      </c>
      <c r="H99" s="17">
        <v>412955.2299999993</v>
      </c>
      <c r="I99" s="17">
        <v>342292.5999999993</v>
      </c>
      <c r="J99" s="17">
        <v>335429.0499999993</v>
      </c>
      <c r="K99" s="17">
        <v>642344.8999999992</v>
      </c>
      <c r="L99" s="17">
        <v>590160.8799999992</v>
      </c>
      <c r="M99" s="19">
        <v>739549.6099999992</v>
      </c>
      <c r="N99" s="19">
        <v>283341.92999999924</v>
      </c>
      <c r="O99" s="19">
        <v>335389</v>
      </c>
      <c r="P99" s="20">
        <f t="shared" si="23"/>
        <v>413290.2608333326</v>
      </c>
      <c r="Q99" s="20">
        <f t="shared" si="24"/>
        <v>399255.62538461474</v>
      </c>
      <c r="R99" s="20">
        <f t="shared" si="15"/>
        <v>-14034.635448717861</v>
      </c>
      <c r="S99" s="19">
        <v>450232.9699999992</v>
      </c>
    </row>
    <row r="100" spans="1:19" s="3" customFormat="1" ht="12.75">
      <c r="A100" s="3">
        <v>92</v>
      </c>
      <c r="B100" s="14" t="s">
        <v>81</v>
      </c>
      <c r="C100" s="16">
        <v>5093637</v>
      </c>
      <c r="D100" s="17">
        <v>4875536.56</v>
      </c>
      <c r="E100" s="17">
        <v>3875597.87</v>
      </c>
      <c r="F100" s="17">
        <v>4445068.27</v>
      </c>
      <c r="G100" s="18">
        <v>4265923.97</v>
      </c>
      <c r="H100" s="17">
        <v>3612789.58</v>
      </c>
      <c r="I100" s="17">
        <v>3526028.43</v>
      </c>
      <c r="J100" s="17">
        <v>3580687.96</v>
      </c>
      <c r="K100" s="17">
        <v>3389907.96</v>
      </c>
      <c r="L100" s="17">
        <v>3206520.96</v>
      </c>
      <c r="M100" s="19">
        <v>3354753.94</v>
      </c>
      <c r="N100" s="19">
        <v>2838753.94</v>
      </c>
      <c r="O100" s="19">
        <v>2827512</v>
      </c>
      <c r="P100" s="20">
        <f t="shared" si="23"/>
        <v>3744345.328333333</v>
      </c>
      <c r="Q100" s="20">
        <f t="shared" si="24"/>
        <v>3760978.3415384614</v>
      </c>
      <c r="R100" s="20">
        <f t="shared" si="15"/>
        <v>16633.013205128256</v>
      </c>
      <c r="S100" s="19">
        <v>2670419.54</v>
      </c>
    </row>
    <row r="101" spans="1:19" s="3" customFormat="1" ht="12.75">
      <c r="A101" s="3">
        <v>93</v>
      </c>
      <c r="B101" s="14" t="s">
        <v>82</v>
      </c>
      <c r="C101" s="16">
        <v>422429006</v>
      </c>
      <c r="D101" s="17">
        <v>405089440.04</v>
      </c>
      <c r="E101" s="17">
        <v>408194914.16</v>
      </c>
      <c r="F101" s="17">
        <v>410886840.42</v>
      </c>
      <c r="G101" s="18">
        <v>413307295.23</v>
      </c>
      <c r="H101" s="17">
        <v>415789945.68</v>
      </c>
      <c r="I101" s="17">
        <v>422136182.72</v>
      </c>
      <c r="J101" s="17">
        <v>424407021.08000004</v>
      </c>
      <c r="K101" s="17">
        <v>427395770.29</v>
      </c>
      <c r="L101" s="17">
        <v>432165437.75</v>
      </c>
      <c r="M101" s="19">
        <v>436167944.55</v>
      </c>
      <c r="N101" s="19">
        <v>443576596.17</v>
      </c>
      <c r="O101" s="19">
        <v>384949088</v>
      </c>
      <c r="P101" s="20">
        <f t="shared" si="23"/>
        <v>420233869.59083337</v>
      </c>
      <c r="Q101" s="20">
        <f t="shared" si="24"/>
        <v>418961190.93</v>
      </c>
      <c r="R101" s="20">
        <f t="shared" si="15"/>
        <v>-1272678.6608333588</v>
      </c>
      <c r="S101" s="19">
        <v>371166168.64</v>
      </c>
    </row>
    <row r="102" spans="1:19" s="3" customFormat="1" ht="12.75">
      <c r="A102" s="3">
        <v>94</v>
      </c>
      <c r="B102" s="14" t="s">
        <v>83</v>
      </c>
      <c r="C102" s="16">
        <v>28515335</v>
      </c>
      <c r="D102" s="17">
        <v>28586340.96</v>
      </c>
      <c r="E102" s="17">
        <v>28578947.310000002</v>
      </c>
      <c r="F102" s="17">
        <v>28651759.75</v>
      </c>
      <c r="G102" s="18">
        <v>28710578.720000003</v>
      </c>
      <c r="H102" s="17">
        <v>28798532.6</v>
      </c>
      <c r="I102" s="17">
        <v>27005253.18</v>
      </c>
      <c r="J102" s="17">
        <v>38240984.18</v>
      </c>
      <c r="K102" s="17">
        <v>38307478.93</v>
      </c>
      <c r="L102" s="17">
        <v>37929425.57</v>
      </c>
      <c r="M102" s="19">
        <v>36703095.23</v>
      </c>
      <c r="N102" s="19">
        <v>36763243.48</v>
      </c>
      <c r="O102" s="19">
        <v>36843807</v>
      </c>
      <c r="P102" s="20">
        <f t="shared" si="23"/>
        <v>32579600.909166675</v>
      </c>
      <c r="Q102" s="20">
        <f t="shared" si="24"/>
        <v>32587290.91615385</v>
      </c>
      <c r="R102" s="20">
        <f t="shared" si="15"/>
        <v>7690.00698717311</v>
      </c>
      <c r="S102" s="19">
        <v>36944035.53</v>
      </c>
    </row>
    <row r="103" spans="1:19" s="3" customFormat="1" ht="12.75">
      <c r="A103" s="3">
        <v>95</v>
      </c>
      <c r="B103" s="14" t="s">
        <v>84</v>
      </c>
      <c r="C103" s="16">
        <v>1200774</v>
      </c>
      <c r="D103" s="17">
        <v>1200751.720000007</v>
      </c>
      <c r="E103" s="17">
        <v>384.0900000070176</v>
      </c>
      <c r="F103" s="17">
        <v>384.0900000070176</v>
      </c>
      <c r="G103" s="18">
        <v>376.6300000070176</v>
      </c>
      <c r="H103" s="17">
        <v>376.6300000070176</v>
      </c>
      <c r="I103" s="17">
        <v>376.6300000070176</v>
      </c>
      <c r="J103" s="17">
        <v>376.6300000070176</v>
      </c>
      <c r="K103" s="17">
        <v>376.6300000070176</v>
      </c>
      <c r="L103" s="17">
        <v>376.6300000070176</v>
      </c>
      <c r="M103" s="19">
        <v>0</v>
      </c>
      <c r="N103" s="19">
        <v>0</v>
      </c>
      <c r="O103" s="19">
        <v>0</v>
      </c>
      <c r="P103" s="20">
        <f t="shared" si="23"/>
        <v>150347.22333333865</v>
      </c>
      <c r="Q103" s="20">
        <f t="shared" si="24"/>
        <v>184965.66769231248</v>
      </c>
      <c r="R103" s="20">
        <f t="shared" si="15"/>
        <v>34618.44435897382</v>
      </c>
      <c r="S103" s="19">
        <v>7.0176042754610535E-09</v>
      </c>
    </row>
    <row r="104" spans="1:19" s="3" customFormat="1" ht="12.75">
      <c r="A104" s="3">
        <v>96</v>
      </c>
      <c r="B104" s="27" t="s">
        <v>126</v>
      </c>
      <c r="C104" s="16">
        <v>0</v>
      </c>
      <c r="D104" s="17">
        <v>0</v>
      </c>
      <c r="E104" s="17">
        <v>0</v>
      </c>
      <c r="F104" s="17">
        <v>0</v>
      </c>
      <c r="G104" s="18">
        <v>0</v>
      </c>
      <c r="H104" s="17">
        <v>0</v>
      </c>
      <c r="I104" s="17">
        <v>0</v>
      </c>
      <c r="J104" s="17">
        <v>0</v>
      </c>
      <c r="K104" s="17">
        <v>0</v>
      </c>
      <c r="L104" s="17">
        <v>0</v>
      </c>
      <c r="M104" s="19">
        <v>516882805.43000007</v>
      </c>
      <c r="N104" s="19">
        <v>477155630.43000007</v>
      </c>
      <c r="O104" s="19">
        <v>461190570</v>
      </c>
      <c r="P104" s="20">
        <f t="shared" si="23"/>
        <v>102052810.07166667</v>
      </c>
      <c r="Q104" s="20">
        <f t="shared" si="24"/>
        <v>111940692.75846155</v>
      </c>
      <c r="R104" s="20">
        <f t="shared" si="15"/>
        <v>9887882.686794877</v>
      </c>
      <c r="S104" s="19">
        <v>480415504.43000007</v>
      </c>
    </row>
    <row r="105" spans="1:19" s="3" customFormat="1" ht="12.75">
      <c r="A105" s="3">
        <v>97</v>
      </c>
      <c r="B105" s="27" t="s">
        <v>127</v>
      </c>
      <c r="C105" s="16">
        <v>0</v>
      </c>
      <c r="D105" s="17">
        <v>0</v>
      </c>
      <c r="E105" s="17">
        <v>0</v>
      </c>
      <c r="F105" s="17">
        <v>0</v>
      </c>
      <c r="G105" s="18">
        <v>0</v>
      </c>
      <c r="H105" s="17">
        <v>0</v>
      </c>
      <c r="I105" s="17">
        <v>0</v>
      </c>
      <c r="J105" s="17">
        <v>0</v>
      </c>
      <c r="K105" s="17">
        <v>0</v>
      </c>
      <c r="L105" s="17">
        <v>0</v>
      </c>
      <c r="M105" s="19">
        <v>0</v>
      </c>
      <c r="N105" s="19">
        <v>0</v>
      </c>
      <c r="O105" s="19">
        <v>0</v>
      </c>
      <c r="P105" s="20">
        <f t="shared" si="23"/>
        <v>0</v>
      </c>
      <c r="Q105" s="20">
        <f t="shared" si="24"/>
        <v>0</v>
      </c>
      <c r="R105" s="20">
        <f t="shared" si="15"/>
        <v>0</v>
      </c>
      <c r="S105" s="19">
        <v>0</v>
      </c>
    </row>
    <row r="106" spans="1:19" s="3" customFormat="1" ht="12.75">
      <c r="A106" s="3">
        <v>98</v>
      </c>
      <c r="B106" s="14" t="s">
        <v>124</v>
      </c>
      <c r="C106" s="16">
        <v>67186898</v>
      </c>
      <c r="D106" s="17">
        <v>66657026.360000014</v>
      </c>
      <c r="E106" s="17">
        <v>66069578.09000002</v>
      </c>
      <c r="F106" s="17">
        <v>64685033.44000001</v>
      </c>
      <c r="G106" s="18">
        <v>64220267.40000001</v>
      </c>
      <c r="H106" s="17">
        <v>63810729.210000016</v>
      </c>
      <c r="I106" s="17">
        <v>60983527.05000001</v>
      </c>
      <c r="J106" s="17">
        <v>60742175.83000001</v>
      </c>
      <c r="K106" s="17">
        <v>60735427.06000002</v>
      </c>
      <c r="L106" s="17">
        <v>62393139.94000001</v>
      </c>
      <c r="M106" s="19">
        <v>59788609.680000015</v>
      </c>
      <c r="N106" s="19">
        <v>61354207.94000001</v>
      </c>
      <c r="O106" s="19">
        <v>81210909</v>
      </c>
      <c r="P106" s="20">
        <f t="shared" si="23"/>
        <v>63803218.79166669</v>
      </c>
      <c r="Q106" s="20">
        <f t="shared" si="24"/>
        <v>64602886.84615387</v>
      </c>
      <c r="R106" s="20">
        <f t="shared" si="15"/>
        <v>799668.0544871837</v>
      </c>
      <c r="S106" s="19">
        <v>81167388.11000001</v>
      </c>
    </row>
    <row r="107" spans="1:19" s="3" customFormat="1" ht="12.75">
      <c r="A107" s="3">
        <v>99</v>
      </c>
      <c r="B107" s="21" t="s">
        <v>85</v>
      </c>
      <c r="C107" s="19">
        <f>SUM(C98:C106)</f>
        <v>550961125</v>
      </c>
      <c r="D107" s="19">
        <f aca="true" t="shared" si="25" ref="D107:S107">SUM(D98:D106)</f>
        <v>545256099.9100001</v>
      </c>
      <c r="E107" s="19">
        <f t="shared" si="25"/>
        <v>545651671.48</v>
      </c>
      <c r="F107" s="19">
        <f t="shared" si="25"/>
        <v>547391472.45</v>
      </c>
      <c r="G107" s="19">
        <f t="shared" si="25"/>
        <v>549484286.97</v>
      </c>
      <c r="H107" s="19">
        <f t="shared" si="25"/>
        <v>550863371</v>
      </c>
      <c r="I107" s="19">
        <f t="shared" si="25"/>
        <v>552279605.1600001</v>
      </c>
      <c r="J107" s="19">
        <f t="shared" si="25"/>
        <v>565586127.34</v>
      </c>
      <c r="K107" s="19">
        <f t="shared" si="25"/>
        <v>568744161.5600001</v>
      </c>
      <c r="L107" s="19">
        <f t="shared" si="25"/>
        <v>574404151.54</v>
      </c>
      <c r="M107" s="19">
        <f t="shared" si="25"/>
        <v>1091747670.7600002</v>
      </c>
      <c r="N107" s="19">
        <f t="shared" si="25"/>
        <v>1057296728.0600002</v>
      </c>
      <c r="O107" s="19">
        <f t="shared" si="25"/>
        <v>1002528875</v>
      </c>
      <c r="P107" s="19">
        <f t="shared" si="25"/>
        <v>660454195.5191667</v>
      </c>
      <c r="Q107" s="19">
        <f t="shared" si="25"/>
        <v>669399642.0176923</v>
      </c>
      <c r="R107" s="20">
        <f t="shared" si="15"/>
        <v>8945446.49852562</v>
      </c>
      <c r="S107" s="19">
        <f t="shared" si="25"/>
        <v>1007977472.1700001</v>
      </c>
    </row>
    <row r="108" spans="1:19" s="3" customFormat="1" ht="12.75">
      <c r="A108" s="3">
        <v>100</v>
      </c>
      <c r="B108" s="40" t="s">
        <v>86</v>
      </c>
      <c r="C108" s="22"/>
      <c r="D108" s="23"/>
      <c r="E108" s="23"/>
      <c r="F108" s="23"/>
      <c r="G108" s="24"/>
      <c r="H108" s="23"/>
      <c r="I108" s="23"/>
      <c r="J108" s="23"/>
      <c r="K108" s="23"/>
      <c r="L108" s="23"/>
      <c r="M108" s="25"/>
      <c r="N108" s="25"/>
      <c r="O108" s="25"/>
      <c r="P108" s="19"/>
      <c r="Q108" s="26"/>
      <c r="R108" s="20">
        <f t="shared" si="15"/>
        <v>0</v>
      </c>
      <c r="S108" s="25"/>
    </row>
    <row r="109" spans="1:19" s="3" customFormat="1" ht="12.75">
      <c r="A109" s="3">
        <v>101</v>
      </c>
      <c r="B109" s="14" t="s">
        <v>87</v>
      </c>
      <c r="C109" s="16">
        <v>470000000</v>
      </c>
      <c r="D109" s="17">
        <v>545000000</v>
      </c>
      <c r="E109" s="17">
        <v>672000000</v>
      </c>
      <c r="F109" s="17">
        <v>315102000</v>
      </c>
      <c r="G109" s="18">
        <v>196102000</v>
      </c>
      <c r="H109" s="17">
        <v>227000000</v>
      </c>
      <c r="I109" s="17">
        <v>297000000</v>
      </c>
      <c r="J109" s="17">
        <v>247000000</v>
      </c>
      <c r="K109" s="17">
        <v>247000000</v>
      </c>
      <c r="L109" s="17">
        <v>215000000</v>
      </c>
      <c r="M109" s="19">
        <v>250000000</v>
      </c>
      <c r="N109" s="19">
        <v>190000000</v>
      </c>
      <c r="O109" s="19">
        <v>185000000</v>
      </c>
      <c r="P109" s="20">
        <f aca="true" t="shared" si="26" ref="P109:P125">(C109+SUM(D109:N109)*2+O109)/24</f>
        <v>310725333.3333333</v>
      </c>
      <c r="Q109" s="20">
        <f aca="true" t="shared" si="27" ref="Q109:Q125">AVERAGE(C109:O109)</f>
        <v>312015692.3076923</v>
      </c>
      <c r="R109" s="20">
        <f t="shared" si="15"/>
        <v>1290358.974358976</v>
      </c>
      <c r="S109" s="19">
        <v>185000000</v>
      </c>
    </row>
    <row r="110" spans="1:19" s="3" customFormat="1" ht="12.75">
      <c r="A110" s="3">
        <v>102</v>
      </c>
      <c r="B110" s="14" t="s">
        <v>88</v>
      </c>
      <c r="C110" s="16">
        <v>427431873</v>
      </c>
      <c r="D110" s="17">
        <v>403167659.68</v>
      </c>
      <c r="E110" s="17">
        <v>365200576.98</v>
      </c>
      <c r="F110" s="17">
        <v>335819987.74</v>
      </c>
      <c r="G110" s="18">
        <v>353684844.57</v>
      </c>
      <c r="H110" s="17">
        <v>339796788.29</v>
      </c>
      <c r="I110" s="17">
        <v>325815672.75</v>
      </c>
      <c r="J110" s="17">
        <v>366538060.70000005</v>
      </c>
      <c r="K110" s="17">
        <v>383906777.38</v>
      </c>
      <c r="L110" s="17">
        <v>346405807.43</v>
      </c>
      <c r="M110" s="19">
        <v>367942197.47</v>
      </c>
      <c r="N110" s="19">
        <v>351022544.62</v>
      </c>
      <c r="O110" s="19">
        <v>417586751</v>
      </c>
      <c r="P110" s="20">
        <f t="shared" si="26"/>
        <v>363484185.8008333</v>
      </c>
      <c r="Q110" s="20">
        <f t="shared" si="27"/>
        <v>368024580.1238461</v>
      </c>
      <c r="R110" s="20">
        <f t="shared" si="15"/>
        <v>4540394.323012829</v>
      </c>
      <c r="S110" s="19">
        <v>415046857.4</v>
      </c>
    </row>
    <row r="111" spans="1:19" s="3" customFormat="1" ht="12.75">
      <c r="A111" s="3">
        <v>103</v>
      </c>
      <c r="B111" s="14" t="s">
        <v>89</v>
      </c>
      <c r="C111" s="16">
        <v>20493899</v>
      </c>
      <c r="D111" s="17">
        <v>20405457.98999994</v>
      </c>
      <c r="E111" s="17">
        <v>16518861.079999937</v>
      </c>
      <c r="F111" s="17">
        <v>15500076.529999938</v>
      </c>
      <c r="G111" s="18">
        <v>15249301.669999937</v>
      </c>
      <c r="H111" s="17">
        <v>13797027.379999936</v>
      </c>
      <c r="I111" s="17">
        <v>10359086.879999936</v>
      </c>
      <c r="J111" s="17">
        <v>6146509.549999936</v>
      </c>
      <c r="K111" s="17">
        <v>6236795.259999936</v>
      </c>
      <c r="L111" s="17">
        <v>1649519.6799999364</v>
      </c>
      <c r="M111" s="19">
        <v>1066851.1599999364</v>
      </c>
      <c r="N111" s="19">
        <v>45050.41999993636</v>
      </c>
      <c r="O111" s="19">
        <v>0</v>
      </c>
      <c r="P111" s="20">
        <f t="shared" si="26"/>
        <v>9768457.258333275</v>
      </c>
      <c r="Q111" s="20">
        <f t="shared" si="27"/>
        <v>9805264.353846101</v>
      </c>
      <c r="R111" s="20">
        <f t="shared" si="15"/>
        <v>36807.095512825996</v>
      </c>
      <c r="S111" s="19">
        <v>150.07999993651174</v>
      </c>
    </row>
    <row r="112" spans="1:19" s="3" customFormat="1" ht="12.75">
      <c r="A112" s="3">
        <v>104</v>
      </c>
      <c r="B112" s="14" t="s">
        <v>90</v>
      </c>
      <c r="C112" s="16">
        <v>11856001</v>
      </c>
      <c r="D112" s="17">
        <v>9373712.120000003</v>
      </c>
      <c r="E112" s="17">
        <v>12810901.650000002</v>
      </c>
      <c r="F112" s="17">
        <v>11744122.490000002</v>
      </c>
      <c r="G112" s="18">
        <v>12323677.340000004</v>
      </c>
      <c r="H112" s="17">
        <v>7774546.210000003</v>
      </c>
      <c r="I112" s="17">
        <v>11463565.600000003</v>
      </c>
      <c r="J112" s="17">
        <v>11057563.230000004</v>
      </c>
      <c r="K112" s="17">
        <v>8908649.090000004</v>
      </c>
      <c r="L112" s="17">
        <v>9599394.870000005</v>
      </c>
      <c r="M112" s="19">
        <v>11060182.570000004</v>
      </c>
      <c r="N112" s="19">
        <v>10602673.170000006</v>
      </c>
      <c r="O112" s="19">
        <v>10840000</v>
      </c>
      <c r="P112" s="20">
        <f t="shared" si="26"/>
        <v>10672249.070000002</v>
      </c>
      <c r="Q112" s="20">
        <f t="shared" si="27"/>
        <v>10724229.949230772</v>
      </c>
      <c r="R112" s="20">
        <f t="shared" si="15"/>
        <v>51980.87923076935</v>
      </c>
      <c r="S112" s="19">
        <v>6469695.740000005</v>
      </c>
    </row>
    <row r="113" spans="1:19" s="3" customFormat="1" ht="12.75">
      <c r="A113" s="3">
        <v>105</v>
      </c>
      <c r="B113" s="14" t="s">
        <v>91</v>
      </c>
      <c r="C113" s="16">
        <v>34257246</v>
      </c>
      <c r="D113" s="17">
        <v>30917935.78</v>
      </c>
      <c r="E113" s="17">
        <v>27118520.04</v>
      </c>
      <c r="F113" s="17">
        <v>32597069.270000003</v>
      </c>
      <c r="G113" s="18">
        <v>29698057.64</v>
      </c>
      <c r="H113" s="17">
        <v>57828284.82</v>
      </c>
      <c r="I113" s="17">
        <v>70981098.4</v>
      </c>
      <c r="J113" s="17">
        <v>73238921.82</v>
      </c>
      <c r="K113" s="17">
        <v>67326169.49000001</v>
      </c>
      <c r="L113" s="17">
        <v>35286140.25</v>
      </c>
      <c r="M113" s="19">
        <v>35585643.82</v>
      </c>
      <c r="N113" s="19">
        <v>28678851.240000002</v>
      </c>
      <c r="O113" s="19">
        <v>22737557</v>
      </c>
      <c r="P113" s="20">
        <f t="shared" si="26"/>
        <v>43146174.505833335</v>
      </c>
      <c r="Q113" s="20">
        <f t="shared" si="27"/>
        <v>42019345.81307693</v>
      </c>
      <c r="R113" s="20">
        <f t="shared" si="15"/>
        <v>-1126828.692756407</v>
      </c>
      <c r="S113" s="19">
        <v>25689965.939999998</v>
      </c>
    </row>
    <row r="114" spans="1:19" s="3" customFormat="1" ht="12.75">
      <c r="A114" s="3">
        <v>106</v>
      </c>
      <c r="B114" s="14" t="s">
        <v>92</v>
      </c>
      <c r="C114" s="16">
        <v>35862260</v>
      </c>
      <c r="D114" s="17">
        <v>34478215.48</v>
      </c>
      <c r="E114" s="17">
        <v>34821993.71</v>
      </c>
      <c r="F114" s="17">
        <v>41298746.64</v>
      </c>
      <c r="G114" s="18">
        <v>46007558.44</v>
      </c>
      <c r="H114" s="17">
        <v>52417714.01</v>
      </c>
      <c r="I114" s="17">
        <v>51822576.769999996</v>
      </c>
      <c r="J114" s="17">
        <v>56830183.010000005</v>
      </c>
      <c r="K114" s="17">
        <v>24631454.28</v>
      </c>
      <c r="L114" s="17">
        <v>27310489.04</v>
      </c>
      <c r="M114" s="19">
        <v>58317559.72</v>
      </c>
      <c r="N114" s="19">
        <v>84687041.75999999</v>
      </c>
      <c r="O114" s="19">
        <v>43894009</v>
      </c>
      <c r="P114" s="20">
        <f t="shared" si="26"/>
        <v>46041805.61333332</v>
      </c>
      <c r="Q114" s="20">
        <f t="shared" si="27"/>
        <v>45567677.06615384</v>
      </c>
      <c r="R114" s="20">
        <f t="shared" si="15"/>
        <v>-474128.5471794829</v>
      </c>
      <c r="S114" s="19">
        <v>52554116.62999999</v>
      </c>
    </row>
    <row r="115" spans="1:19" s="3" customFormat="1" ht="12.75">
      <c r="A115" s="3">
        <v>107</v>
      </c>
      <c r="B115" s="14" t="s">
        <v>93</v>
      </c>
      <c r="C115" s="16">
        <v>64763340</v>
      </c>
      <c r="D115" s="17">
        <v>66737142.82999998</v>
      </c>
      <c r="E115" s="17">
        <v>41195730.00999998</v>
      </c>
      <c r="F115" s="17">
        <v>53301276.48999998</v>
      </c>
      <c r="G115" s="18">
        <v>61078740.54999998</v>
      </c>
      <c r="H115" s="17">
        <v>68610812.13999999</v>
      </c>
      <c r="I115" s="17">
        <v>64535272.64999998</v>
      </c>
      <c r="J115" s="17">
        <v>72528589.81999998</v>
      </c>
      <c r="K115" s="17">
        <v>48158023.20999998</v>
      </c>
      <c r="L115" s="17">
        <v>53036299.83999998</v>
      </c>
      <c r="M115" s="19">
        <v>60358282.039999984</v>
      </c>
      <c r="N115" s="19">
        <v>66199663.64999998</v>
      </c>
      <c r="O115" s="19">
        <v>63039319</v>
      </c>
      <c r="P115" s="20">
        <f t="shared" si="26"/>
        <v>59970096.89416665</v>
      </c>
      <c r="Q115" s="20">
        <f t="shared" si="27"/>
        <v>60272499.402307674</v>
      </c>
      <c r="R115" s="20">
        <f t="shared" si="15"/>
        <v>302402.5081410259</v>
      </c>
      <c r="S115" s="19">
        <v>70970720.63999999</v>
      </c>
    </row>
    <row r="116" spans="1:19" s="3" customFormat="1" ht="12.75">
      <c r="A116" s="3">
        <v>108</v>
      </c>
      <c r="B116" s="14" t="s">
        <v>94</v>
      </c>
      <c r="C116" s="16">
        <v>520947</v>
      </c>
      <c r="D116" s="17">
        <v>51352579.999999985</v>
      </c>
      <c r="E116" s="17">
        <v>520947.4299999848</v>
      </c>
      <c r="F116" s="17">
        <v>520947.4299999848</v>
      </c>
      <c r="G116" s="18">
        <v>53263730.36999998</v>
      </c>
      <c r="H116" s="17">
        <v>520947.4299999848</v>
      </c>
      <c r="I116" s="17">
        <v>520947.4299999848</v>
      </c>
      <c r="J116" s="17">
        <v>55155342.929999985</v>
      </c>
      <c r="K116" s="17">
        <v>520947.4299999848</v>
      </c>
      <c r="L116" s="17">
        <v>520947.4299999848</v>
      </c>
      <c r="M116" s="19">
        <v>57111203.499999985</v>
      </c>
      <c r="N116" s="19">
        <v>56590256.069999985</v>
      </c>
      <c r="O116" s="19">
        <v>520947</v>
      </c>
      <c r="P116" s="20">
        <f t="shared" si="26"/>
        <v>23093312.037499983</v>
      </c>
      <c r="Q116" s="20">
        <f t="shared" si="27"/>
        <v>21356976.2653846</v>
      </c>
      <c r="R116" s="20">
        <f t="shared" si="15"/>
        <v>-1736335.7721153833</v>
      </c>
      <c r="S116" s="19">
        <v>520947.4299999848</v>
      </c>
    </row>
    <row r="117" spans="1:19" s="3" customFormat="1" ht="12.75">
      <c r="A117" s="3">
        <v>109</v>
      </c>
      <c r="B117" s="14" t="s">
        <v>95</v>
      </c>
      <c r="C117" s="16"/>
      <c r="D117" s="17"/>
      <c r="E117" s="17"/>
      <c r="F117" s="17"/>
      <c r="G117" s="18"/>
      <c r="H117" s="17"/>
      <c r="I117" s="17"/>
      <c r="J117" s="17"/>
      <c r="K117" s="17"/>
      <c r="L117" s="17"/>
      <c r="M117" s="19">
        <v>0</v>
      </c>
      <c r="N117" s="19">
        <v>0</v>
      </c>
      <c r="O117" s="19">
        <v>0</v>
      </c>
      <c r="P117" s="20">
        <f t="shared" si="26"/>
        <v>0</v>
      </c>
      <c r="Q117" s="20">
        <f t="shared" si="27"/>
        <v>0</v>
      </c>
      <c r="R117" s="20">
        <f t="shared" si="15"/>
        <v>0</v>
      </c>
      <c r="S117" s="19">
        <v>0</v>
      </c>
    </row>
    <row r="118" spans="1:19" s="3" customFormat="1" ht="12.75">
      <c r="A118" s="3">
        <v>110</v>
      </c>
      <c r="B118" s="14" t="s">
        <v>96</v>
      </c>
      <c r="C118" s="16"/>
      <c r="D118" s="17"/>
      <c r="E118" s="17"/>
      <c r="F118" s="17"/>
      <c r="G118" s="18"/>
      <c r="H118" s="17"/>
      <c r="I118" s="17"/>
      <c r="J118" s="17"/>
      <c r="K118" s="17"/>
      <c r="L118" s="17"/>
      <c r="M118" s="19">
        <v>0</v>
      </c>
      <c r="N118" s="19">
        <v>0</v>
      </c>
      <c r="O118" s="19">
        <v>0</v>
      </c>
      <c r="P118" s="20">
        <f t="shared" si="26"/>
        <v>0</v>
      </c>
      <c r="Q118" s="20">
        <f t="shared" si="27"/>
        <v>0</v>
      </c>
      <c r="R118" s="20">
        <f t="shared" si="15"/>
        <v>0</v>
      </c>
      <c r="S118" s="19">
        <v>0</v>
      </c>
    </row>
    <row r="119" spans="1:19" s="3" customFormat="1" ht="12.75">
      <c r="A119" s="3">
        <v>111</v>
      </c>
      <c r="B119" s="14" t="s">
        <v>97</v>
      </c>
      <c r="C119" s="16">
        <v>10598100</v>
      </c>
      <c r="D119" s="17">
        <v>8541534.500000007</v>
      </c>
      <c r="E119" s="17">
        <v>10064708.120000008</v>
      </c>
      <c r="F119" s="17">
        <v>14183878.670000007</v>
      </c>
      <c r="G119" s="18">
        <v>12737928.060000008</v>
      </c>
      <c r="H119" s="17">
        <v>13531617.720000008</v>
      </c>
      <c r="I119" s="17">
        <v>12283248.010000007</v>
      </c>
      <c r="J119" s="17">
        <v>10118097.870000008</v>
      </c>
      <c r="K119" s="17">
        <v>10269441.150000008</v>
      </c>
      <c r="L119" s="17">
        <v>12093257.890000008</v>
      </c>
      <c r="M119" s="19">
        <v>12024857.670000007</v>
      </c>
      <c r="N119" s="19">
        <v>11781476.160000008</v>
      </c>
      <c r="O119" s="19">
        <v>12165698</v>
      </c>
      <c r="P119" s="20">
        <f t="shared" si="26"/>
        <v>11584328.735000007</v>
      </c>
      <c r="Q119" s="20">
        <f t="shared" si="27"/>
        <v>11568757.216923084</v>
      </c>
      <c r="R119" s="20">
        <f t="shared" si="15"/>
        <v>-15571.518076922745</v>
      </c>
      <c r="S119" s="19">
        <v>12086684.750000007</v>
      </c>
    </row>
    <row r="120" spans="1:19" s="3" customFormat="1" ht="12.75">
      <c r="A120" s="3">
        <v>112</v>
      </c>
      <c r="B120" s="14" t="s">
        <v>98</v>
      </c>
      <c r="C120" s="16">
        <v>73884368</v>
      </c>
      <c r="D120" s="17">
        <v>74633777.94999999</v>
      </c>
      <c r="E120" s="17">
        <v>71602701.27</v>
      </c>
      <c r="F120" s="17">
        <v>73712067.42999999</v>
      </c>
      <c r="G120" s="18">
        <v>75194401.13999999</v>
      </c>
      <c r="H120" s="17">
        <v>75685352.05</v>
      </c>
      <c r="I120" s="17">
        <v>70990413.14999999</v>
      </c>
      <c r="J120" s="17">
        <v>65274989.53999999</v>
      </c>
      <c r="K120" s="17">
        <v>64412343.06999999</v>
      </c>
      <c r="L120" s="17">
        <v>68282282.42999999</v>
      </c>
      <c r="M120" s="19">
        <v>69630937.24999999</v>
      </c>
      <c r="N120" s="19">
        <v>74020846.27999999</v>
      </c>
      <c r="O120" s="19">
        <v>78572282</v>
      </c>
      <c r="P120" s="20">
        <f t="shared" si="26"/>
        <v>71639036.37999998</v>
      </c>
      <c r="Q120" s="20">
        <f t="shared" si="27"/>
        <v>71992058.58153845</v>
      </c>
      <c r="R120" s="20">
        <f t="shared" si="15"/>
        <v>353022.20153847337</v>
      </c>
      <c r="S120" s="19">
        <v>79734359.75999999</v>
      </c>
    </row>
    <row r="121" spans="1:19" s="3" customFormat="1" ht="12.75">
      <c r="A121" s="3">
        <v>113</v>
      </c>
      <c r="B121" s="14" t="s">
        <v>99</v>
      </c>
      <c r="C121" s="16">
        <v>166105</v>
      </c>
      <c r="D121" s="17">
        <v>395049.13</v>
      </c>
      <c r="E121" s="17">
        <v>397247.49</v>
      </c>
      <c r="F121" s="17">
        <v>418857.49</v>
      </c>
      <c r="G121" s="18">
        <v>440681.46</v>
      </c>
      <c r="H121" s="17">
        <v>462721.49</v>
      </c>
      <c r="I121" s="17">
        <v>483979.79</v>
      </c>
      <c r="J121" s="17">
        <v>507458.52</v>
      </c>
      <c r="K121" s="17">
        <v>530159.85</v>
      </c>
      <c r="L121" s="17">
        <v>553086.01</v>
      </c>
      <c r="M121" s="19">
        <v>576239.23</v>
      </c>
      <c r="N121" s="19">
        <v>519107.12</v>
      </c>
      <c r="O121" s="19">
        <v>600255</v>
      </c>
      <c r="P121" s="20">
        <f t="shared" si="26"/>
        <v>472313.9649999999</v>
      </c>
      <c r="Q121" s="20">
        <f t="shared" si="27"/>
        <v>465457.5061538461</v>
      </c>
      <c r="R121" s="20">
        <f t="shared" si="15"/>
        <v>-6856.458846153808</v>
      </c>
      <c r="S121" s="19">
        <v>623878.55</v>
      </c>
    </row>
    <row r="122" spans="1:19" s="3" customFormat="1" ht="12.75">
      <c r="A122" s="3">
        <v>114</v>
      </c>
      <c r="B122" s="14" t="s">
        <v>120</v>
      </c>
      <c r="C122" s="16">
        <v>767247111</v>
      </c>
      <c r="D122" s="17">
        <v>734495717.7199999</v>
      </c>
      <c r="E122" s="17">
        <v>677017891.7699999</v>
      </c>
      <c r="F122" s="17">
        <v>699070007.1499999</v>
      </c>
      <c r="G122" s="18">
        <v>684958864.1499999</v>
      </c>
      <c r="H122" s="17">
        <v>812534642.9399998</v>
      </c>
      <c r="I122" s="17">
        <v>893044019.9799999</v>
      </c>
      <c r="J122" s="17">
        <v>801617666.9799999</v>
      </c>
      <c r="K122" s="17">
        <v>770625149.9799999</v>
      </c>
      <c r="L122" s="17">
        <v>743246558.9799999</v>
      </c>
      <c r="M122" s="19">
        <v>658651412.98</v>
      </c>
      <c r="N122" s="19">
        <v>552680329.98</v>
      </c>
      <c r="O122" s="19">
        <v>559096958</v>
      </c>
      <c r="P122" s="20">
        <f t="shared" si="26"/>
        <v>724259524.7591664</v>
      </c>
      <c r="Q122" s="20">
        <f t="shared" si="27"/>
        <v>719560487.0469228</v>
      </c>
      <c r="R122" s="20">
        <f t="shared" si="15"/>
        <v>-4699037.712243557</v>
      </c>
      <c r="S122" s="19">
        <v>582489365.98</v>
      </c>
    </row>
    <row r="123" spans="1:19" s="3" customFormat="1" ht="12.75">
      <c r="A123" s="3">
        <v>115</v>
      </c>
      <c r="B123" s="27" t="s">
        <v>128</v>
      </c>
      <c r="C123" s="16">
        <v>0</v>
      </c>
      <c r="D123" s="17">
        <v>0</v>
      </c>
      <c r="E123" s="17">
        <v>0</v>
      </c>
      <c r="F123" s="17">
        <v>0</v>
      </c>
      <c r="G123" s="18">
        <v>0</v>
      </c>
      <c r="H123" s="17">
        <v>0</v>
      </c>
      <c r="I123" s="17">
        <v>0</v>
      </c>
      <c r="J123" s="17">
        <v>0</v>
      </c>
      <c r="K123" s="17">
        <v>0</v>
      </c>
      <c r="L123" s="17">
        <v>0</v>
      </c>
      <c r="M123" s="19">
        <v>-516882805.43</v>
      </c>
      <c r="N123" s="19">
        <v>-477155630.43</v>
      </c>
      <c r="O123" s="19">
        <v>-461190570</v>
      </c>
      <c r="P123" s="20">
        <f t="shared" si="26"/>
        <v>-102052810.07166667</v>
      </c>
      <c r="Q123" s="20">
        <f t="shared" si="27"/>
        <v>-111940692.75846155</v>
      </c>
      <c r="R123" s="20">
        <f t="shared" si="15"/>
        <v>-9887882.686794877</v>
      </c>
      <c r="S123" s="19">
        <v>-480415504.43</v>
      </c>
    </row>
    <row r="124" spans="1:19" s="3" customFormat="1" ht="12.75">
      <c r="A124" s="3">
        <v>116</v>
      </c>
      <c r="B124" s="14" t="s">
        <v>121</v>
      </c>
      <c r="C124" s="16">
        <v>0</v>
      </c>
      <c r="D124" s="17">
        <v>0</v>
      </c>
      <c r="E124" s="17">
        <v>0</v>
      </c>
      <c r="F124" s="17">
        <v>0</v>
      </c>
      <c r="G124" s="18">
        <v>0</v>
      </c>
      <c r="H124" s="17">
        <v>0</v>
      </c>
      <c r="I124" s="17">
        <v>0</v>
      </c>
      <c r="J124" s="17">
        <v>0</v>
      </c>
      <c r="K124" s="17">
        <v>0</v>
      </c>
      <c r="L124" s="17">
        <v>0</v>
      </c>
      <c r="M124" s="19">
        <v>0</v>
      </c>
      <c r="N124" s="19">
        <v>0</v>
      </c>
      <c r="O124" s="19">
        <v>0</v>
      </c>
      <c r="P124" s="20">
        <f t="shared" si="26"/>
        <v>0</v>
      </c>
      <c r="Q124" s="20">
        <f t="shared" si="27"/>
        <v>0</v>
      </c>
      <c r="R124" s="20">
        <f t="shared" si="15"/>
        <v>0</v>
      </c>
      <c r="S124" s="19">
        <v>0</v>
      </c>
    </row>
    <row r="125" spans="1:19" s="3" customFormat="1" ht="12.75">
      <c r="A125" s="3">
        <v>117</v>
      </c>
      <c r="B125" s="27" t="s">
        <v>129</v>
      </c>
      <c r="C125" s="16">
        <v>0</v>
      </c>
      <c r="D125" s="17">
        <v>0</v>
      </c>
      <c r="E125" s="17">
        <v>0</v>
      </c>
      <c r="F125" s="17">
        <v>0</v>
      </c>
      <c r="G125" s="18">
        <v>0</v>
      </c>
      <c r="H125" s="17">
        <v>0</v>
      </c>
      <c r="I125" s="17">
        <v>0</v>
      </c>
      <c r="J125" s="17">
        <v>0</v>
      </c>
      <c r="K125" s="17">
        <v>0</v>
      </c>
      <c r="L125" s="17">
        <v>0</v>
      </c>
      <c r="M125" s="19">
        <v>0</v>
      </c>
      <c r="N125" s="19">
        <v>0</v>
      </c>
      <c r="O125" s="19">
        <v>0</v>
      </c>
      <c r="P125" s="20">
        <f t="shared" si="26"/>
        <v>0</v>
      </c>
      <c r="Q125" s="20">
        <f t="shared" si="27"/>
        <v>0</v>
      </c>
      <c r="R125" s="20">
        <f t="shared" si="15"/>
        <v>0</v>
      </c>
      <c r="S125" s="19">
        <v>0</v>
      </c>
    </row>
    <row r="126" spans="1:19" s="3" customFormat="1" ht="12.75">
      <c r="A126" s="3">
        <v>118</v>
      </c>
      <c r="B126" s="21" t="s">
        <v>100</v>
      </c>
      <c r="C126" s="19">
        <f>SUM(C109:C125)</f>
        <v>1917081250</v>
      </c>
      <c r="D126" s="19">
        <f aca="true" t="shared" si="28" ref="D126:L126">SUM(D109:D125)</f>
        <v>1979498783.1799998</v>
      </c>
      <c r="E126" s="19">
        <f t="shared" si="28"/>
        <v>1929270079.5500002</v>
      </c>
      <c r="F126" s="19">
        <f t="shared" si="28"/>
        <v>1593269037.3299997</v>
      </c>
      <c r="G126" s="19">
        <f t="shared" si="28"/>
        <v>1540739785.3899999</v>
      </c>
      <c r="H126" s="19">
        <f t="shared" si="28"/>
        <v>1669960454.4799995</v>
      </c>
      <c r="I126" s="19">
        <f t="shared" si="28"/>
        <v>1809299881.4099996</v>
      </c>
      <c r="J126" s="19">
        <f t="shared" si="28"/>
        <v>1766013383.9699998</v>
      </c>
      <c r="K126" s="19">
        <f t="shared" si="28"/>
        <v>1632525910.1899998</v>
      </c>
      <c r="L126" s="19">
        <f t="shared" si="28"/>
        <v>1512983783.85</v>
      </c>
      <c r="M126" s="19">
        <f>SUM(M109:M125)</f>
        <v>1065442561.98</v>
      </c>
      <c r="N126" s="19">
        <f>SUM(N109:N125)</f>
        <v>949672210.0399997</v>
      </c>
      <c r="O126" s="19">
        <f>SUM(O109:O125)</f>
        <v>932863206</v>
      </c>
      <c r="P126" s="19">
        <f>SUM(P109:P125)</f>
        <v>1572804008.2808332</v>
      </c>
      <c r="Q126" s="19">
        <f>SUM(Q109:Q125)</f>
        <v>1561432332.874615</v>
      </c>
      <c r="R126" s="20">
        <f t="shared" si="15"/>
        <v>-11371675.40621829</v>
      </c>
      <c r="S126" s="19">
        <f>SUM(S109:S125)</f>
        <v>950771238.4699996</v>
      </c>
    </row>
    <row r="127" spans="1:19" s="3" customFormat="1" ht="12.75">
      <c r="A127" s="3">
        <v>119</v>
      </c>
      <c r="B127" s="40" t="s">
        <v>101</v>
      </c>
      <c r="C127" s="22"/>
      <c r="D127" s="23"/>
      <c r="E127" s="23"/>
      <c r="F127" s="23"/>
      <c r="G127" s="24"/>
      <c r="H127" s="23"/>
      <c r="I127" s="23"/>
      <c r="J127" s="23"/>
      <c r="K127" s="23"/>
      <c r="L127" s="23"/>
      <c r="M127" s="25"/>
      <c r="N127" s="25"/>
      <c r="O127" s="25"/>
      <c r="P127" s="19"/>
      <c r="Q127" s="26"/>
      <c r="R127" s="20">
        <f t="shared" si="15"/>
        <v>0</v>
      </c>
      <c r="S127" s="25"/>
    </row>
    <row r="128" spans="1:19" s="3" customFormat="1" ht="12.75">
      <c r="A128" s="3">
        <v>120</v>
      </c>
      <c r="B128" s="14" t="s">
        <v>102</v>
      </c>
      <c r="C128" s="16">
        <v>5033375</v>
      </c>
      <c r="D128" s="17">
        <v>4131851.66</v>
      </c>
      <c r="E128" s="17">
        <v>4400923.72</v>
      </c>
      <c r="F128" s="17">
        <v>5725929.220000001</v>
      </c>
      <c r="G128" s="18">
        <v>4613021.76</v>
      </c>
      <c r="H128" s="17">
        <v>4341819.59</v>
      </c>
      <c r="I128" s="17">
        <v>5681698.630000001</v>
      </c>
      <c r="J128" s="17">
        <v>5476289.160000001</v>
      </c>
      <c r="K128" s="17">
        <v>5209096.51</v>
      </c>
      <c r="L128" s="17">
        <v>6546022.620000001</v>
      </c>
      <c r="M128" s="19">
        <v>6222688.490000001</v>
      </c>
      <c r="N128" s="19">
        <v>6269860.810000001</v>
      </c>
      <c r="O128" s="19">
        <v>7639618</v>
      </c>
      <c r="P128" s="20">
        <f aca="true" t="shared" si="29" ref="P128:P135">(C128+SUM(D128:N128)*2+O128)/24</f>
        <v>5412974.889166667</v>
      </c>
      <c r="Q128" s="20">
        <f aca="true" t="shared" si="30" ref="Q128:Q135">AVERAGE(C128:O128)</f>
        <v>5484015.013076925</v>
      </c>
      <c r="R128" s="20">
        <f t="shared" si="15"/>
        <v>71040.1239102576</v>
      </c>
      <c r="S128" s="19">
        <v>6744851.460000001</v>
      </c>
    </row>
    <row r="129" spans="1:19" s="3" customFormat="1" ht="12.75">
      <c r="A129" s="3">
        <v>121</v>
      </c>
      <c r="B129" s="14" t="s">
        <v>103</v>
      </c>
      <c r="C129" s="16">
        <v>53593713</v>
      </c>
      <c r="D129" s="17">
        <v>53014046.9400001</v>
      </c>
      <c r="E129" s="17">
        <v>52450240.1900001</v>
      </c>
      <c r="F129" s="17">
        <v>53808318.5800001</v>
      </c>
      <c r="G129" s="18">
        <v>56551394.180000104</v>
      </c>
      <c r="H129" s="17">
        <v>55395524.2900001</v>
      </c>
      <c r="I129" s="17">
        <v>56859775.750000104</v>
      </c>
      <c r="J129" s="17">
        <v>58022816.09000011</v>
      </c>
      <c r="K129" s="17">
        <v>56387535.3300001</v>
      </c>
      <c r="L129" s="17">
        <v>61591990.91000011</v>
      </c>
      <c r="M129" s="19">
        <v>55709429.74000011</v>
      </c>
      <c r="N129" s="19">
        <v>56293390.73000011</v>
      </c>
      <c r="O129" s="19">
        <v>57755304</v>
      </c>
      <c r="P129" s="20">
        <f t="shared" si="29"/>
        <v>55979914.26916676</v>
      </c>
      <c r="Q129" s="20">
        <f t="shared" si="30"/>
        <v>55956421.5176924</v>
      </c>
      <c r="R129" s="20">
        <f t="shared" si="15"/>
        <v>-23492.75147435814</v>
      </c>
      <c r="S129" s="19">
        <v>61022102.66000011</v>
      </c>
    </row>
    <row r="130" spans="1:19" s="3" customFormat="1" ht="12.75">
      <c r="A130" s="3">
        <v>122</v>
      </c>
      <c r="B130" s="14" t="s">
        <v>104</v>
      </c>
      <c r="C130" s="16">
        <v>115274752.99999994</v>
      </c>
      <c r="D130" s="17">
        <v>115614175.20999993</v>
      </c>
      <c r="E130" s="17">
        <v>117927233.34999993</v>
      </c>
      <c r="F130" s="17">
        <v>117134181.63999994</v>
      </c>
      <c r="G130" s="18">
        <v>114819953.28999993</v>
      </c>
      <c r="H130" s="17">
        <v>168463871.34999993</v>
      </c>
      <c r="I130" s="17">
        <v>248206713.13999993</v>
      </c>
      <c r="J130" s="17">
        <v>135553248.18999994</v>
      </c>
      <c r="K130" s="17">
        <v>178061383.52999994</v>
      </c>
      <c r="L130" s="17">
        <v>198320600.77999994</v>
      </c>
      <c r="M130" s="19">
        <v>104670386.20999995</v>
      </c>
      <c r="N130" s="19">
        <v>105248449.17999995</v>
      </c>
      <c r="O130" s="19">
        <v>106462627</v>
      </c>
      <c r="P130" s="20">
        <f t="shared" si="29"/>
        <v>142907407.15583327</v>
      </c>
      <c r="Q130" s="20">
        <f t="shared" si="30"/>
        <v>140442890.4515384</v>
      </c>
      <c r="R130" s="20">
        <f t="shared" si="15"/>
        <v>-2464516.7042948604</v>
      </c>
      <c r="S130" s="19">
        <v>109095201.63999994</v>
      </c>
    </row>
    <row r="131" spans="1:19" s="3" customFormat="1" ht="12.75">
      <c r="A131" s="3">
        <v>123</v>
      </c>
      <c r="B131" s="14" t="s">
        <v>105</v>
      </c>
      <c r="C131" s="16">
        <v>75548150</v>
      </c>
      <c r="D131" s="17">
        <v>75548150</v>
      </c>
      <c r="E131" s="17">
        <v>75548150</v>
      </c>
      <c r="F131" s="17">
        <v>73568120</v>
      </c>
      <c r="G131" s="18">
        <v>73568120</v>
      </c>
      <c r="H131" s="17">
        <v>73568120</v>
      </c>
      <c r="I131" s="17">
        <v>71588090</v>
      </c>
      <c r="J131" s="17">
        <v>70928080</v>
      </c>
      <c r="K131" s="17">
        <v>70268070</v>
      </c>
      <c r="L131" s="17">
        <v>69608060</v>
      </c>
      <c r="M131" s="19">
        <v>69608060</v>
      </c>
      <c r="N131" s="19">
        <v>68288040</v>
      </c>
      <c r="O131" s="19">
        <v>67628030</v>
      </c>
      <c r="P131" s="20">
        <f t="shared" si="29"/>
        <v>71973095.83333333</v>
      </c>
      <c r="Q131" s="20">
        <f t="shared" si="30"/>
        <v>71943480</v>
      </c>
      <c r="R131" s="20">
        <f t="shared" si="15"/>
        <v>-29615.833333328366</v>
      </c>
      <c r="S131" s="19">
        <v>67628030</v>
      </c>
    </row>
    <row r="132" spans="1:19" s="3" customFormat="1" ht="12.75">
      <c r="A132" s="3">
        <v>124</v>
      </c>
      <c r="B132" s="14" t="s">
        <v>106</v>
      </c>
      <c r="C132" s="16">
        <v>204372</v>
      </c>
      <c r="D132" s="17">
        <v>197265.43</v>
      </c>
      <c r="E132" s="17">
        <v>190159.18</v>
      </c>
      <c r="F132" s="17">
        <v>183052.94</v>
      </c>
      <c r="G132" s="18">
        <v>175946.69</v>
      </c>
      <c r="H132" s="17">
        <v>168840.45</v>
      </c>
      <c r="I132" s="17">
        <v>161734.2</v>
      </c>
      <c r="J132" s="17">
        <v>154627.96</v>
      </c>
      <c r="K132" s="17">
        <v>147521.72</v>
      </c>
      <c r="L132" s="17">
        <v>140415.47</v>
      </c>
      <c r="M132" s="19">
        <v>133394.7</v>
      </c>
      <c r="N132" s="19">
        <v>126373.93</v>
      </c>
      <c r="O132" s="19">
        <v>119353</v>
      </c>
      <c r="P132" s="20">
        <f t="shared" si="29"/>
        <v>161766.26416666663</v>
      </c>
      <c r="Q132" s="20">
        <f t="shared" si="30"/>
        <v>161773.6669230769</v>
      </c>
      <c r="R132" s="20">
        <f t="shared" si="15"/>
        <v>7.402756410272559</v>
      </c>
      <c r="S132" s="19">
        <v>112332.39</v>
      </c>
    </row>
    <row r="133" spans="1:19" s="3" customFormat="1" ht="12.75">
      <c r="A133" s="3">
        <v>125</v>
      </c>
      <c r="B133" s="14" t="s">
        <v>107</v>
      </c>
      <c r="C133" s="16">
        <v>885189</v>
      </c>
      <c r="D133" s="17">
        <v>885189</v>
      </c>
      <c r="E133" s="17">
        <v>885189</v>
      </c>
      <c r="F133" s="17">
        <v>801621</v>
      </c>
      <c r="G133" s="18">
        <v>801621</v>
      </c>
      <c r="H133" s="17">
        <v>801621</v>
      </c>
      <c r="I133" s="17">
        <v>718053</v>
      </c>
      <c r="J133" s="17">
        <v>690197</v>
      </c>
      <c r="K133" s="17">
        <v>662341</v>
      </c>
      <c r="L133" s="17">
        <v>634485</v>
      </c>
      <c r="M133" s="19">
        <v>634485</v>
      </c>
      <c r="N133" s="19">
        <v>578773</v>
      </c>
      <c r="O133" s="19">
        <v>550897</v>
      </c>
      <c r="P133" s="20">
        <f t="shared" si="29"/>
        <v>734301.5</v>
      </c>
      <c r="Q133" s="20">
        <f t="shared" si="30"/>
        <v>733050.8461538461</v>
      </c>
      <c r="R133" s="20">
        <f t="shared" si="15"/>
        <v>-1250.653846153873</v>
      </c>
      <c r="S133" s="19">
        <v>550897</v>
      </c>
    </row>
    <row r="134" spans="1:19" s="3" customFormat="1" ht="12.75">
      <c r="A134" s="3">
        <v>126</v>
      </c>
      <c r="B134" s="14" t="s">
        <v>3</v>
      </c>
      <c r="C134" s="16">
        <v>2009904243</v>
      </c>
      <c r="D134" s="17">
        <v>2009904242.54</v>
      </c>
      <c r="E134" s="17">
        <v>2009904242.54</v>
      </c>
      <c r="F134" s="17">
        <v>2012194984.54</v>
      </c>
      <c r="G134" s="18">
        <v>2012194984.54</v>
      </c>
      <c r="H134" s="17">
        <v>2012194984.54</v>
      </c>
      <c r="I134" s="17">
        <v>2020792173.54</v>
      </c>
      <c r="J134" s="17">
        <v>2022696385.54</v>
      </c>
      <c r="K134" s="17">
        <v>2024689044.54</v>
      </c>
      <c r="L134" s="17">
        <v>1981854885.29</v>
      </c>
      <c r="M134" s="19">
        <v>1981766438.29</v>
      </c>
      <c r="N134" s="19">
        <v>1971023581.29</v>
      </c>
      <c r="O134" s="19">
        <v>1987534966</v>
      </c>
      <c r="P134" s="20">
        <f t="shared" si="29"/>
        <v>2004827962.6408339</v>
      </c>
      <c r="Q134" s="20">
        <f t="shared" si="30"/>
        <v>2004358088.9376929</v>
      </c>
      <c r="R134" s="20">
        <f t="shared" si="15"/>
        <v>-469873.70314097404</v>
      </c>
      <c r="S134" s="19">
        <v>1987534966.36</v>
      </c>
    </row>
    <row r="135" spans="1:19" s="3" customFormat="1" ht="12.75">
      <c r="A135" s="3">
        <v>127</v>
      </c>
      <c r="B135" s="14" t="s">
        <v>108</v>
      </c>
      <c r="C135" s="16">
        <v>376216758</v>
      </c>
      <c r="D135" s="17">
        <v>376312447.12000006</v>
      </c>
      <c r="E135" s="17">
        <v>376454809.6600001</v>
      </c>
      <c r="F135" s="17">
        <v>338378496.8000001</v>
      </c>
      <c r="G135" s="18">
        <v>338350683.7100001</v>
      </c>
      <c r="H135" s="17">
        <v>338452546.8000001</v>
      </c>
      <c r="I135" s="17">
        <v>328488921.49000007</v>
      </c>
      <c r="J135" s="17">
        <v>318537622.6600001</v>
      </c>
      <c r="K135" s="17">
        <v>322414692.5500001</v>
      </c>
      <c r="L135" s="17">
        <v>330902078.1100001</v>
      </c>
      <c r="M135" s="19">
        <v>359878386.20000005</v>
      </c>
      <c r="N135" s="19">
        <v>271032895.0300001</v>
      </c>
      <c r="O135" s="19">
        <v>290616111</v>
      </c>
      <c r="P135" s="20">
        <f t="shared" si="29"/>
        <v>336051667.88583344</v>
      </c>
      <c r="Q135" s="20">
        <f t="shared" si="30"/>
        <v>335848957.6253847</v>
      </c>
      <c r="R135" s="20">
        <f t="shared" si="15"/>
        <v>-202710.26044875383</v>
      </c>
      <c r="S135" s="19">
        <v>296242630.2800001</v>
      </c>
    </row>
    <row r="136" spans="1:19" s="3" customFormat="1" ht="12.75">
      <c r="A136" s="3">
        <v>128</v>
      </c>
      <c r="B136" s="21" t="s">
        <v>116</v>
      </c>
      <c r="C136" s="19">
        <f>SUM(C128:C135)</f>
        <v>2636660553</v>
      </c>
      <c r="D136" s="19">
        <f aca="true" t="shared" si="31" ref="D136:S136">SUM(D128:D135)</f>
        <v>2635607367.9</v>
      </c>
      <c r="E136" s="19">
        <f t="shared" si="31"/>
        <v>2637760947.6400003</v>
      </c>
      <c r="F136" s="19">
        <f t="shared" si="31"/>
        <v>2601794704.7200003</v>
      </c>
      <c r="G136" s="19">
        <f t="shared" si="31"/>
        <v>2601075725.17</v>
      </c>
      <c r="H136" s="19">
        <f t="shared" si="31"/>
        <v>2653387328.02</v>
      </c>
      <c r="I136" s="19">
        <f t="shared" si="31"/>
        <v>2732497159.7500005</v>
      </c>
      <c r="J136" s="19">
        <f t="shared" si="31"/>
        <v>2612059266.6000004</v>
      </c>
      <c r="K136" s="19">
        <f t="shared" si="31"/>
        <v>2657839685.1800003</v>
      </c>
      <c r="L136" s="19">
        <f t="shared" si="31"/>
        <v>2649598538.1800003</v>
      </c>
      <c r="M136" s="19">
        <f t="shared" si="31"/>
        <v>2578623268.63</v>
      </c>
      <c r="N136" s="19">
        <f t="shared" si="31"/>
        <v>2478861363.9700003</v>
      </c>
      <c r="O136" s="19">
        <f t="shared" si="31"/>
        <v>2518306906</v>
      </c>
      <c r="P136" s="19">
        <f t="shared" si="31"/>
        <v>2618049090.438334</v>
      </c>
      <c r="Q136" s="19">
        <f t="shared" si="31"/>
        <v>2614928678.0584626</v>
      </c>
      <c r="R136" s="20">
        <f t="shared" si="15"/>
        <v>-3120412.3798713684</v>
      </c>
      <c r="S136" s="19">
        <f t="shared" si="31"/>
        <v>2528931011.79</v>
      </c>
    </row>
    <row r="137" spans="1:19" s="3" customFormat="1" ht="12.75">
      <c r="A137" s="3">
        <v>129</v>
      </c>
      <c r="B137" s="28" t="s">
        <v>117</v>
      </c>
      <c r="C137" s="20">
        <f>C96+C107+C126+C136</f>
        <v>12402326949</v>
      </c>
      <c r="D137" s="20">
        <f aca="true" t="shared" si="32" ref="D137:S137">D96+D107+D126+D136</f>
        <v>12255756661.46</v>
      </c>
      <c r="E137" s="20">
        <f t="shared" si="32"/>
        <v>12249359361.169998</v>
      </c>
      <c r="F137" s="20">
        <f t="shared" si="32"/>
        <v>12302406541.309998</v>
      </c>
      <c r="G137" s="20">
        <f t="shared" si="32"/>
        <v>12253863694.1</v>
      </c>
      <c r="H137" s="20">
        <f t="shared" si="32"/>
        <v>12464903395.95</v>
      </c>
      <c r="I137" s="20">
        <f t="shared" si="32"/>
        <v>12766029216.999998</v>
      </c>
      <c r="J137" s="20">
        <f t="shared" si="32"/>
        <v>12596064615.3</v>
      </c>
      <c r="K137" s="20">
        <f t="shared" si="32"/>
        <v>12550917240.06</v>
      </c>
      <c r="L137" s="20">
        <f>L96+L107+L126+L136</f>
        <v>12586448054.33</v>
      </c>
      <c r="M137" s="20">
        <f>M96+M107+M126+M136</f>
        <v>12524245825.95</v>
      </c>
      <c r="N137" s="20">
        <f t="shared" si="32"/>
        <v>12319987284.77</v>
      </c>
      <c r="O137" s="20">
        <f t="shared" si="32"/>
        <v>12451196727</v>
      </c>
      <c r="P137" s="20">
        <f t="shared" si="32"/>
        <v>12441395310.78333</v>
      </c>
      <c r="Q137" s="20">
        <f t="shared" si="32"/>
        <v>12440269659.030767</v>
      </c>
      <c r="R137" s="20">
        <f t="shared" si="15"/>
        <v>-1125651.7525634766</v>
      </c>
      <c r="S137" s="20">
        <f t="shared" si="32"/>
        <v>12512084912.96</v>
      </c>
    </row>
    <row r="138" spans="1:19" s="3" customFormat="1" ht="12.75">
      <c r="A138" s="3">
        <v>130</v>
      </c>
      <c r="C138" s="35">
        <f aca="true" t="shared" si="33" ref="C138:L138">+C137-C72</f>
        <v>0</v>
      </c>
      <c r="D138" s="35">
        <f t="shared" si="33"/>
        <v>0</v>
      </c>
      <c r="E138" s="35">
        <f t="shared" si="33"/>
        <v>0</v>
      </c>
      <c r="F138" s="35">
        <f t="shared" si="33"/>
        <v>0</v>
      </c>
      <c r="G138" s="35">
        <f t="shared" si="33"/>
        <v>0</v>
      </c>
      <c r="H138" s="35">
        <f t="shared" si="33"/>
        <v>0</v>
      </c>
      <c r="I138" s="35">
        <f t="shared" si="33"/>
        <v>0</v>
      </c>
      <c r="J138" s="35">
        <f t="shared" si="33"/>
        <v>0</v>
      </c>
      <c r="K138" s="35">
        <f t="shared" si="33"/>
        <v>0</v>
      </c>
      <c r="L138" s="35">
        <f t="shared" si="33"/>
        <v>0</v>
      </c>
      <c r="M138" s="35">
        <f aca="true" t="shared" si="34" ref="M138:S138">+M137-M72</f>
        <v>0</v>
      </c>
      <c r="N138" s="35">
        <f t="shared" si="34"/>
        <v>0</v>
      </c>
      <c r="O138" s="35">
        <f t="shared" si="34"/>
        <v>0</v>
      </c>
      <c r="P138" s="36">
        <f t="shared" si="34"/>
        <v>0</v>
      </c>
      <c r="Q138" s="36">
        <f t="shared" si="34"/>
        <v>0</v>
      </c>
      <c r="R138" s="35">
        <f t="shared" si="34"/>
        <v>0</v>
      </c>
      <c r="S138" s="35">
        <f t="shared" si="34"/>
        <v>0</v>
      </c>
    </row>
    <row r="139" spans="1:16" s="3" customFormat="1" ht="12.75">
      <c r="A139" s="3">
        <v>131</v>
      </c>
      <c r="B139" s="37" t="s">
        <v>131</v>
      </c>
      <c r="P139" s="4"/>
    </row>
  </sheetData>
  <printOptions/>
  <pageMargins left="1.25" right="0.75" top="1" bottom="1" header="0.5" footer="0.5"/>
  <pageSetup fitToHeight="0" fitToWidth="1" horizontalDpi="600" verticalDpi="600" orientation="portrait" paperSize="155" r:id="rId1"/>
  <headerFooter alignWithMargins="0">
    <oddHeader>&amp;R&amp;"Times New Roman,Regular"PacifiCorp Docket UE-061546
Exhibit ___(TES-xxxx)</oddHeader>
    <oddFooter>&amp;R&amp;"Times New Roman,Regular"Page &amp;P of &amp;N</oddFooter>
  </headerFooter>
  <rowBreaks count="1" manualBreakCount="1">
    <brk id="73" min="1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Collin Ard</dc:creator>
  <cp:keywords/>
  <dc:description/>
  <cp:lastModifiedBy>Thomas Schooley</cp:lastModifiedBy>
  <cp:lastPrinted>2007-03-21T19:06:26Z</cp:lastPrinted>
  <dcterms:created xsi:type="dcterms:W3CDTF">2006-11-03T17:27:57Z</dcterms:created>
  <dcterms:modified xsi:type="dcterms:W3CDTF">2007-03-21T19:07:10Z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060817</vt:lpwstr>
  </property>
  <property fmtid="{D5CDD505-2E9C-101B-9397-08002B2CF9AE}" pid="6" name="IsConfidenti">
    <vt:lpwstr>0</vt:lpwstr>
  </property>
  <property fmtid="{D5CDD505-2E9C-101B-9397-08002B2CF9AE}" pid="7" name="Dat">
    <vt:lpwstr>2007-03-23T00:00:00Z</vt:lpwstr>
  </property>
  <property fmtid="{D5CDD505-2E9C-101B-9397-08002B2CF9AE}" pid="8" name="CaseTy">
    <vt:lpwstr>Petition for Accounting Order</vt:lpwstr>
  </property>
  <property fmtid="{D5CDD505-2E9C-101B-9397-08002B2CF9AE}" pid="9" name="OpenedDa">
    <vt:lpwstr>2006-05-19T00:00:00Z</vt:lpwstr>
  </property>
  <property fmtid="{D5CDD505-2E9C-101B-9397-08002B2CF9AE}" pid="10" name="Pref">
    <vt:lpwstr>UE</vt:lpwstr>
  </property>
  <property fmtid="{D5CDD505-2E9C-101B-9397-08002B2CF9AE}" pid="11" name="CaseCompanyNam">
    <vt:lpwstr>Pacific Power &amp; Light Company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