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Kobliha\"/>
    </mc:Choice>
  </mc:AlternateContent>
  <xr:revisionPtr revIDLastSave="0" documentId="13_ncr:1_{B1DCB8DE-1F5C-419E-AE85-95D8D78FEE96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Sum" sheetId="4" r:id="rId1"/>
    <sheet name="Support" sheetId="1" r:id="rId2"/>
  </sheets>
  <definedNames>
    <definedName name="\C">#REF!</definedName>
    <definedName name="\F">#REF!</definedName>
    <definedName name="\P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#REF!</definedName>
    <definedName name="HEADING">#REF!</definedName>
    <definedName name="HEADING2">#REF!</definedName>
    <definedName name="PAGE1">#REF!</definedName>
    <definedName name="PAGE10">#REF!</definedName>
    <definedName name="PAGE10A">#REF!</definedName>
    <definedName name="PAGE11">#REF!</definedName>
    <definedName name="PAGE2">Sum!$A$1:$L$10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0">Sum!$A$1:$L$19</definedName>
    <definedName name="_xlnm.Print_Area" localSheetId="1">Support!$A$1:$T$72</definedName>
    <definedName name="_xlnm.Print_Titles" localSheetId="0">Sum!$1:$10</definedName>
    <definedName name="rateswitch">#REF!</definedName>
    <definedName name="ser_c_03_amor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" i="1" l="1"/>
  <c r="P50" i="1"/>
  <c r="P51" i="1"/>
  <c r="O50" i="1"/>
  <c r="O51" i="1"/>
  <c r="O49" i="1"/>
  <c r="I50" i="1"/>
  <c r="L50" i="1" s="1"/>
  <c r="M50" i="1" s="1"/>
  <c r="I51" i="1"/>
  <c r="L51" i="1" s="1"/>
  <c r="M51" i="1" s="1"/>
  <c r="G51" i="1"/>
  <c r="F51" i="1"/>
  <c r="H51" i="1" s="1"/>
  <c r="G50" i="1"/>
  <c r="F50" i="1"/>
  <c r="H50" i="1" s="1"/>
  <c r="E51" i="1"/>
  <c r="E50" i="1"/>
  <c r="G26" i="1"/>
  <c r="F26" i="1"/>
  <c r="H26" i="1" s="1"/>
  <c r="E26" i="1"/>
  <c r="L26" i="1"/>
  <c r="M26" i="1" s="1"/>
  <c r="G25" i="1"/>
  <c r="F25" i="1"/>
  <c r="E25" i="1"/>
  <c r="I49" i="1"/>
  <c r="G49" i="1"/>
  <c r="F49" i="1"/>
  <c r="H49" i="1" s="1"/>
  <c r="E49" i="1"/>
  <c r="L24" i="1"/>
  <c r="M24" i="1" s="1"/>
  <c r="G24" i="1"/>
  <c r="F24" i="1"/>
  <c r="E24" i="1"/>
  <c r="G48" i="1"/>
  <c r="F48" i="1"/>
  <c r="E48" i="1"/>
  <c r="G23" i="1"/>
  <c r="L23" i="1"/>
  <c r="M23" i="1" s="1"/>
  <c r="F23" i="1"/>
  <c r="E23" i="1"/>
  <c r="G47" i="1"/>
  <c r="F47" i="1"/>
  <c r="E47" i="1"/>
  <c r="G22" i="1"/>
  <c r="F22" i="1"/>
  <c r="E22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P46" i="1"/>
  <c r="I46" i="1"/>
  <c r="L46" i="1" s="1"/>
  <c r="M46" i="1" s="1"/>
  <c r="G46" i="1"/>
  <c r="F46" i="1"/>
  <c r="L21" i="1"/>
  <c r="O21" i="1"/>
  <c r="O46" i="1" s="1"/>
  <c r="G21" i="1"/>
  <c r="F21" i="1"/>
  <c r="E21" i="1"/>
  <c r="Q50" i="1" l="1"/>
  <c r="R50" i="1" s="1"/>
  <c r="H24" i="1"/>
  <c r="Q26" i="1"/>
  <c r="R26" i="1" s="1"/>
  <c r="Q24" i="1"/>
  <c r="R24" i="1" s="1"/>
  <c r="H23" i="1"/>
  <c r="H48" i="1"/>
  <c r="Q23" i="1"/>
  <c r="R23" i="1" s="1"/>
  <c r="H46" i="1"/>
  <c r="Q21" i="1"/>
  <c r="R21" i="1" s="1"/>
  <c r="H21" i="1"/>
  <c r="Q46" i="1"/>
  <c r="R46" i="1" s="1"/>
  <c r="P48" i="1"/>
  <c r="P47" i="1"/>
  <c r="N52" i="1"/>
  <c r="O47" i="1"/>
  <c r="O48" i="1"/>
  <c r="I47" i="1"/>
  <c r="L47" i="1" s="1"/>
  <c r="M47" i="1" s="1"/>
  <c r="I48" i="1"/>
  <c r="L48" i="1" s="1"/>
  <c r="M48" i="1" s="1"/>
  <c r="L49" i="1"/>
  <c r="M49" i="1" s="1"/>
  <c r="I45" i="1"/>
  <c r="H47" i="1"/>
  <c r="D52" i="1"/>
  <c r="L25" i="1"/>
  <c r="M25" i="1" s="1"/>
  <c r="P13" i="1"/>
  <c r="P27" i="1" s="1"/>
  <c r="O13" i="1"/>
  <c r="N13" i="1"/>
  <c r="L22" i="1"/>
  <c r="M22" i="1" s="1"/>
  <c r="D27" i="1"/>
  <c r="Q25" i="1" l="1"/>
  <c r="R25" i="1" s="1"/>
  <c r="Q49" i="1"/>
  <c r="R49" i="1" s="1"/>
  <c r="Q48" i="1"/>
  <c r="R48" i="1" s="1"/>
  <c r="Q47" i="1"/>
  <c r="R47" i="1" s="1"/>
  <c r="H22" i="1"/>
  <c r="Q22" i="1"/>
  <c r="R22" i="1" s="1"/>
  <c r="H25" i="1"/>
  <c r="O43" i="1" l="1"/>
  <c r="O44" i="1"/>
  <c r="O45" i="1"/>
  <c r="P43" i="1"/>
  <c r="P44" i="1"/>
  <c r="P45" i="1"/>
  <c r="L45" i="1"/>
  <c r="M45" i="1" s="1"/>
  <c r="L19" i="1"/>
  <c r="L18" i="1"/>
  <c r="L20" i="1"/>
  <c r="I43" i="1"/>
  <c r="L43" i="1" s="1"/>
  <c r="M43" i="1" s="1"/>
  <c r="I44" i="1"/>
  <c r="L44" i="1" s="1"/>
  <c r="M44" i="1" s="1"/>
  <c r="G45" i="1"/>
  <c r="F45" i="1"/>
  <c r="G44" i="1"/>
  <c r="F44" i="1"/>
  <c r="G43" i="1"/>
  <c r="F43" i="1"/>
  <c r="H45" i="1" l="1"/>
  <c r="H43" i="1"/>
  <c r="H44" i="1"/>
  <c r="Q43" i="1"/>
  <c r="Q44" i="1"/>
  <c r="Q45" i="1"/>
  <c r="G19" i="1"/>
  <c r="F19" i="1"/>
  <c r="G20" i="1"/>
  <c r="F20" i="1"/>
  <c r="E20" i="1"/>
  <c r="E19" i="1"/>
  <c r="G18" i="1"/>
  <c r="F18" i="1"/>
  <c r="E18" i="1"/>
  <c r="E13" i="1"/>
  <c r="Q20" i="1" l="1"/>
  <c r="R20" i="1" s="1"/>
  <c r="E52" i="1"/>
  <c r="Q19" i="1"/>
  <c r="R19" i="1" s="1"/>
  <c r="Q18" i="1"/>
  <c r="R18" i="1" s="1"/>
  <c r="R43" i="1"/>
  <c r="R44" i="1"/>
  <c r="H19" i="1"/>
  <c r="R45" i="1"/>
  <c r="H20" i="1"/>
  <c r="H18" i="1"/>
  <c r="L14" i="4" l="1"/>
  <c r="O41" i="1" l="1"/>
  <c r="O42" i="1"/>
  <c r="P41" i="1"/>
  <c r="P42" i="1"/>
  <c r="P40" i="1"/>
  <c r="O40" i="1"/>
  <c r="I40" i="1" l="1"/>
  <c r="L40" i="1" s="1"/>
  <c r="M40" i="1" s="1"/>
  <c r="I41" i="1"/>
  <c r="L41" i="1" s="1"/>
  <c r="M41" i="1" s="1"/>
  <c r="I42" i="1"/>
  <c r="L42" i="1" s="1"/>
  <c r="M42" i="1" s="1"/>
  <c r="G42" i="1"/>
  <c r="F42" i="1"/>
  <c r="G41" i="1"/>
  <c r="F41" i="1"/>
  <c r="G40" i="1"/>
  <c r="F40" i="1"/>
  <c r="A33" i="1"/>
  <c r="A34" i="1" s="1"/>
  <c r="A35" i="1" s="1"/>
  <c r="A36" i="1" s="1"/>
  <c r="A37" i="1" s="1"/>
  <c r="A38" i="1" s="1"/>
  <c r="A39" i="1" s="1"/>
  <c r="H40" i="1" l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H41" i="1"/>
  <c r="Q42" i="1"/>
  <c r="R42" i="1" s="1"/>
  <c r="Q40" i="1"/>
  <c r="R40" i="1" s="1"/>
  <c r="H42" i="1"/>
  <c r="Q41" i="1"/>
  <c r="R41" i="1" s="1"/>
  <c r="L15" i="1" l="1"/>
  <c r="L17" i="1"/>
  <c r="L16" i="1"/>
  <c r="G17" i="1"/>
  <c r="F17" i="1"/>
  <c r="E17" i="1"/>
  <c r="Q17" i="1" s="1"/>
  <c r="G16" i="1"/>
  <c r="F16" i="1"/>
  <c r="E16" i="1"/>
  <c r="G15" i="1"/>
  <c r="F15" i="1"/>
  <c r="E15" i="1"/>
  <c r="A8" i="1"/>
  <c r="A9" i="1" s="1"/>
  <c r="A10" i="1" s="1"/>
  <c r="A11" i="1" s="1"/>
  <c r="A12" i="1" s="1"/>
  <c r="A13" i="1" s="1"/>
  <c r="A14" i="1" s="1"/>
  <c r="Q15" i="1" l="1"/>
  <c r="R15" i="1" s="1"/>
  <c r="H15" i="1"/>
  <c r="Q16" i="1"/>
  <c r="R16" i="1" s="1"/>
  <c r="A15" i="1"/>
  <c r="A16" i="1" s="1"/>
  <c r="A17" i="1" s="1"/>
  <c r="R17" i="1"/>
  <c r="H16" i="1"/>
  <c r="H17" i="1"/>
  <c r="J14" i="4"/>
  <c r="G39" i="1" l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H32" i="1" l="1"/>
  <c r="H34" i="1"/>
  <c r="H39" i="1"/>
  <c r="E16" i="4"/>
  <c r="H37" i="1"/>
  <c r="H38" i="1"/>
  <c r="H36" i="1"/>
  <c r="H33" i="1"/>
  <c r="H35" i="1"/>
  <c r="G14" i="1"/>
  <c r="F14" i="1"/>
  <c r="P39" i="1"/>
  <c r="O39" i="1"/>
  <c r="I39" i="1"/>
  <c r="L39" i="1" s="1"/>
  <c r="M39" i="1" s="1"/>
  <c r="E14" i="1"/>
  <c r="L14" i="1"/>
  <c r="E12" i="1"/>
  <c r="E11" i="1"/>
  <c r="E10" i="1"/>
  <c r="I34" i="1"/>
  <c r="L34" i="1" s="1"/>
  <c r="M34" i="1" s="1"/>
  <c r="O34" i="1"/>
  <c r="P34" i="1"/>
  <c r="E9" i="1"/>
  <c r="E8" i="1"/>
  <c r="E7" i="1"/>
  <c r="Q14" i="1" l="1"/>
  <c r="R14" i="1" s="1"/>
  <c r="E27" i="1"/>
  <c r="E15" i="4" s="1"/>
  <c r="H14" i="1"/>
  <c r="Q39" i="1"/>
  <c r="Q34" i="1"/>
  <c r="R34" i="1" s="1"/>
  <c r="M27" i="1" l="1"/>
  <c r="B15" i="4" s="1"/>
  <c r="R39" i="1"/>
  <c r="G15" i="4" l="1"/>
  <c r="I38" i="1"/>
  <c r="L38" i="1" s="1"/>
  <c r="M38" i="1" s="1"/>
  <c r="O38" i="1"/>
  <c r="P38" i="1"/>
  <c r="L13" i="1"/>
  <c r="G13" i="1"/>
  <c r="F13" i="1"/>
  <c r="Q13" i="1" s="1"/>
  <c r="O37" i="1"/>
  <c r="O36" i="1"/>
  <c r="O33" i="1"/>
  <c r="O32" i="1"/>
  <c r="R13" i="1" l="1"/>
  <c r="H13" i="1"/>
  <c r="Q38" i="1"/>
  <c r="R38" i="1" s="1"/>
  <c r="E17" i="4" l="1"/>
  <c r="O10" i="1" l="1"/>
  <c r="O27" i="1" s="1"/>
  <c r="Q51" i="1" s="1"/>
  <c r="R51" i="1" s="1"/>
  <c r="O35" i="1" l="1"/>
  <c r="O52" i="1" s="1"/>
  <c r="P33" i="1"/>
  <c r="P35" i="1"/>
  <c r="P36" i="1"/>
  <c r="P37" i="1"/>
  <c r="P32" i="1"/>
  <c r="P52" i="1" l="1"/>
  <c r="G16" i="4" s="1"/>
  <c r="G17" i="4" s="1"/>
  <c r="F16" i="4"/>
  <c r="I37" i="1"/>
  <c r="L37" i="1" s="1"/>
  <c r="M37" i="1" s="1"/>
  <c r="N12" i="1"/>
  <c r="G12" i="1"/>
  <c r="L12" i="1"/>
  <c r="F12" i="1"/>
  <c r="N27" i="1" l="1"/>
  <c r="Q12" i="1"/>
  <c r="R12" i="1" s="1"/>
  <c r="H16" i="4"/>
  <c r="H12" i="1"/>
  <c r="Q37" i="1"/>
  <c r="R37" i="1" s="1"/>
  <c r="I33" i="1" l="1"/>
  <c r="L33" i="1" s="1"/>
  <c r="M33" i="1" s="1"/>
  <c r="I35" i="1"/>
  <c r="L35" i="1" s="1"/>
  <c r="M35" i="1" s="1"/>
  <c r="I36" i="1"/>
  <c r="L36" i="1" s="1"/>
  <c r="M36" i="1" s="1"/>
  <c r="I32" i="1"/>
  <c r="L32" i="1" s="1"/>
  <c r="M32" i="1" s="1"/>
  <c r="M52" i="1" l="1"/>
  <c r="B16" i="4" s="1"/>
  <c r="B17" i="4" s="1"/>
  <c r="Q35" i="1"/>
  <c r="R35" i="1" s="1"/>
  <c r="Q33" i="1"/>
  <c r="R33" i="1" s="1"/>
  <c r="Q36" i="1"/>
  <c r="R36" i="1" s="1"/>
  <c r="Q32" i="1"/>
  <c r="L8" i="1"/>
  <c r="L9" i="1"/>
  <c r="L10" i="1"/>
  <c r="L11" i="1"/>
  <c r="L7" i="1"/>
  <c r="G11" i="1"/>
  <c r="F11" i="1"/>
  <c r="Q11" i="1" s="1"/>
  <c r="G10" i="1"/>
  <c r="F10" i="1"/>
  <c r="G9" i="1"/>
  <c r="F9" i="1"/>
  <c r="G8" i="1"/>
  <c r="F8" i="1"/>
  <c r="G7" i="1"/>
  <c r="F7" i="1"/>
  <c r="Q7" i="1" s="1"/>
  <c r="Q52" i="1" l="1"/>
  <c r="Q8" i="1"/>
  <c r="R8" i="1" s="1"/>
  <c r="Q10" i="1"/>
  <c r="R10" i="1" s="1"/>
  <c r="Q9" i="1"/>
  <c r="R9" i="1" s="1"/>
  <c r="R32" i="1"/>
  <c r="R52" i="1" s="1"/>
  <c r="R11" i="1"/>
  <c r="H7" i="1"/>
  <c r="H8" i="1"/>
  <c r="H9" i="1"/>
  <c r="H10" i="1"/>
  <c r="H11" i="1"/>
  <c r="Q27" i="1" l="1"/>
  <c r="R7" i="1"/>
  <c r="R27" i="1" s="1"/>
  <c r="K16" i="4"/>
  <c r="J16" i="4" s="1"/>
  <c r="K15" i="4" l="1"/>
  <c r="K17" i="4" l="1"/>
  <c r="J17" i="4" s="1"/>
  <c r="J15" i="4"/>
  <c r="F15" i="4"/>
  <c r="H15" i="4" s="1"/>
  <c r="H17" i="4" s="1"/>
  <c r="F17" i="4" l="1"/>
</calcChain>
</file>

<file path=xl/sharedStrings.xml><?xml version="1.0" encoding="utf-8"?>
<sst xmlns="http://schemas.openxmlformats.org/spreadsheetml/2006/main" count="188" uniqueCount="144">
  <si>
    <t>PACIFICORP</t>
  </si>
  <si>
    <t>Electric Operations</t>
  </si>
  <si>
    <t>Pro FormaCost of Long-Term Debt Detail</t>
  </si>
  <si>
    <t>12 months ended December 31, 2023</t>
  </si>
  <si>
    <t>NET PROCEEDS TO COMPANY</t>
  </si>
  <si>
    <t>PRINCIPAL AMOUNT</t>
  </si>
  <si>
    <t>(DISC)/PREM</t>
  </si>
  <si>
    <t>TOTAL</t>
  </si>
  <si>
    <t>PER $100</t>
  </si>
  <si>
    <t>LINE</t>
  </si>
  <si>
    <t>INTEREST</t>
  </si>
  <si>
    <t/>
  </si>
  <si>
    <t>ORIGINAL</t>
  </si>
  <si>
    <t>5QE AVE</t>
  </si>
  <si>
    <t>&amp; ISSUANCE</t>
  </si>
  <si>
    <t>REDEMPTION</t>
  </si>
  <si>
    <t>DOLLAR</t>
  </si>
  <si>
    <t>PRINCIPAL</t>
  </si>
  <si>
    <t>MONEY TO</t>
  </si>
  <si>
    <t>ANNUAL DEBT</t>
  </si>
  <si>
    <t xml:space="preserve"> NO.</t>
  </si>
  <si>
    <t>RATE</t>
  </si>
  <si>
    <t>DESCRIPTION</t>
  </si>
  <si>
    <t>ISSUE</t>
  </si>
  <si>
    <t>OUTSTANDING</t>
  </si>
  <si>
    <t>EXPENSES</t>
  </si>
  <si>
    <t>AMOUNT</t>
  </si>
  <si>
    <t>COMPANY</t>
  </si>
  <si>
    <t>SERVICE COST</t>
  </si>
  <si>
    <t>(a)</t>
  </si>
  <si>
    <t>(b)</t>
  </si>
  <si>
    <t>(g)</t>
  </si>
  <si>
    <t>(h)</t>
  </si>
  <si>
    <t>(i)</t>
  </si>
  <si>
    <t>(j)</t>
  </si>
  <si>
    <t>(k)</t>
  </si>
  <si>
    <t>(l)</t>
  </si>
  <si>
    <t>(m)</t>
  </si>
  <si>
    <t>(n)</t>
  </si>
  <si>
    <t>Total Long-Term Debt</t>
  </si>
  <si>
    <r>
      <t xml:space="preserve">Actual Post Acquistion Debt Issuances </t>
    </r>
    <r>
      <rPr>
        <sz val="9"/>
        <rFont val="Times New Roman"/>
        <family val="1"/>
      </rPr>
      <t>(1)</t>
    </r>
  </si>
  <si>
    <t>Pro Forma Post Acquistion Debt Issuances</t>
  </si>
  <si>
    <t>Total Long-Term Debt - Pro Forma</t>
  </si>
  <si>
    <t>PacifiCorp</t>
  </si>
  <si>
    <t>2023 WA GRC</t>
  </si>
  <si>
    <t>LTD</t>
  </si>
  <si>
    <t>Exhib.</t>
  </si>
  <si>
    <t>Post Acquistion</t>
  </si>
  <si>
    <t>5QE Ave</t>
  </si>
  <si>
    <t>Settlement</t>
  </si>
  <si>
    <t>Maturity</t>
  </si>
  <si>
    <t>Treasury</t>
  </si>
  <si>
    <t>Re-offer</t>
  </si>
  <si>
    <t>Coupon</t>
  </si>
  <si>
    <t>Yield</t>
  </si>
  <si>
    <t>Issuance</t>
  </si>
  <si>
    <t>Refunding</t>
  </si>
  <si>
    <t>Cost of</t>
  </si>
  <si>
    <t>Annual Debt</t>
  </si>
  <si>
    <t>Ln</t>
  </si>
  <si>
    <t>FMB Issuances</t>
  </si>
  <si>
    <t>Principal</t>
  </si>
  <si>
    <t>Outstsnding</t>
  </si>
  <si>
    <t>Date</t>
  </si>
  <si>
    <t>Term</t>
  </si>
  <si>
    <t>Strike</t>
  </si>
  <si>
    <t>Spread</t>
  </si>
  <si>
    <t>Rate</t>
  </si>
  <si>
    <t>Discount</t>
  </si>
  <si>
    <t>Costs</t>
  </si>
  <si>
    <t>Debt</t>
  </si>
  <si>
    <t>Service Cost</t>
  </si>
  <si>
    <t>uw fee</t>
  </si>
  <si>
    <t xml:space="preserve">  6.10% Series due 2036</t>
  </si>
  <si>
    <t xml:space="preserve">  5.75% Series due 2037</t>
  </si>
  <si>
    <t xml:space="preserve">  6.25% Series due 2037</t>
  </si>
  <si>
    <t xml:space="preserve">  6.35% Series due 2038</t>
  </si>
  <si>
    <t xml:space="preserve">  6.00% Series due 2039</t>
  </si>
  <si>
    <t xml:space="preserve">  4.10% Series due 2042</t>
  </si>
  <si>
    <t xml:space="preserve">  3.60% Series due 2024</t>
  </si>
  <si>
    <t xml:space="preserve">  3.35% Series due 2025</t>
  </si>
  <si>
    <t xml:space="preserve">  4.125% Series due 2049</t>
  </si>
  <si>
    <t xml:space="preserve">  3.50% Series due 2029</t>
  </si>
  <si>
    <t xml:space="preserve">  4.15% Series due 2050</t>
  </si>
  <si>
    <t xml:space="preserve">  2.70% Series due 2030</t>
  </si>
  <si>
    <t xml:space="preserve">  3.30% Series due 2051</t>
  </si>
  <si>
    <t xml:space="preserve">  2.90% Series due 2052</t>
  </si>
  <si>
    <t xml:space="preserve">  5.35% Series due 2053</t>
  </si>
  <si>
    <t xml:space="preserve">  Proforma Series#1</t>
  </si>
  <si>
    <t xml:space="preserve">  Proforma Series#2</t>
  </si>
  <si>
    <t xml:space="preserve">  Proforma Series#3</t>
  </si>
  <si>
    <t xml:space="preserve">  Proforma Series#4</t>
  </si>
  <si>
    <t xml:space="preserve">  Proforma Series#5</t>
  </si>
  <si>
    <t>standard</t>
  </si>
  <si>
    <t>Pro-forma Issuances</t>
  </si>
  <si>
    <t xml:space="preserve">  Series due 2036</t>
  </si>
  <si>
    <t>a</t>
  </si>
  <si>
    <t xml:space="preserve">  Series due 2037</t>
  </si>
  <si>
    <t>b</t>
  </si>
  <si>
    <t xml:space="preserve">  Series due 2037 (II)</t>
  </si>
  <si>
    <t>c</t>
  </si>
  <si>
    <t xml:space="preserve">  Series due 2038</t>
  </si>
  <si>
    <t>d</t>
  </si>
  <si>
    <t xml:space="preserve">  Series due 2039</t>
  </si>
  <si>
    <t>e</t>
  </si>
  <si>
    <t xml:space="preserve">  Series due 2042</t>
  </si>
  <si>
    <t>f</t>
  </si>
  <si>
    <t xml:space="preserve">  Series due 2024</t>
  </si>
  <si>
    <t>g</t>
  </si>
  <si>
    <t xml:space="preserve">  Series due 2025</t>
  </si>
  <si>
    <t>h</t>
  </si>
  <si>
    <t xml:space="preserve">  Series due 2049</t>
  </si>
  <si>
    <t>i</t>
  </si>
  <si>
    <t xml:space="preserve">  Series due 2029</t>
  </si>
  <si>
    <t>j</t>
  </si>
  <si>
    <t xml:space="preserve">  Series due 2050</t>
  </si>
  <si>
    <t>k</t>
  </si>
  <si>
    <t xml:space="preserve">  Series due 2030</t>
  </si>
  <si>
    <t>l</t>
  </si>
  <si>
    <t xml:space="preserve">  Series due 2051</t>
  </si>
  <si>
    <t>m</t>
  </si>
  <si>
    <t xml:space="preserve">  Series due 2052</t>
  </si>
  <si>
    <t>n</t>
  </si>
  <si>
    <t xml:space="preserve">  Series due 2053</t>
  </si>
  <si>
    <t>o</t>
  </si>
  <si>
    <t>p</t>
  </si>
  <si>
    <t>(a) APS</t>
  </si>
  <si>
    <t>(b) PG&amp;E</t>
  </si>
  <si>
    <t>(c) Appalachian Power</t>
  </si>
  <si>
    <t>(d) El Paso Power</t>
  </si>
  <si>
    <t>(e) Potomac Electric Power</t>
  </si>
  <si>
    <t>(f) APS</t>
  </si>
  <si>
    <t>(g) Pacific Gas &amp; Electric Co</t>
  </si>
  <si>
    <t>(h) Pacific Gas &amp; Electric Co</t>
  </si>
  <si>
    <t>(i) Tampa Electric Co</t>
  </si>
  <si>
    <t>(j) Dominion Energy Inc</t>
  </si>
  <si>
    <t>(k) Dominion Energy Inc</t>
  </si>
  <si>
    <t>(l) IPALCO Enterprises Inc</t>
  </si>
  <si>
    <t>(m) NiSource  Inc</t>
  </si>
  <si>
    <t>(n) Mississippi Power Co</t>
  </si>
  <si>
    <t>(o) Ave trading yield for 30-Year BBB utility OpCo Issuers at 12/1/22*</t>
  </si>
  <si>
    <t>(p) Current Bank Indicative Pricing</t>
  </si>
  <si>
    <t>(p) Current bank indicative</t>
  </si>
  <si>
    <t>*proxy was used as there was no comparable triple B Utility OpCo new issuance from this time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</si>
</sst>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mm/dd/yy_)"/>
    <numFmt numFmtId="165" formatCode="0_)"/>
    <numFmt numFmtId="166" formatCode="0.000%"/>
    <numFmt numFmtId="167" formatCode="_(* #,##0_);_(* \(#,##0\);_(* &quot;-&quot;??_);_(@_)"/>
    <numFmt numFmtId="168" formatCode="0.0%"/>
    <numFmt numFmtId="169" formatCode="[$-409]mmmm\ d\,\ 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MT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/>
      <right/>
      <top/>
      <bottom style="thin">
        <color theme="1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  <border>
      <left style="thin">
        <color indexed="12"/>
      </left>
      <right/>
      <top/>
      <bottom style="thin">
        <color indexed="56"/>
      </bottom>
      <diagonal/>
    </border>
    <border>
      <left/>
      <right style="thin">
        <color indexed="12"/>
      </right>
      <top/>
      <bottom style="thin">
        <color indexed="56"/>
      </bottom>
      <diagonal/>
    </border>
    <border>
      <left style="thin">
        <color indexed="12"/>
      </left>
      <right/>
      <top/>
      <bottom style="thin">
        <color theme="1"/>
      </bottom>
      <diagonal/>
    </border>
    <border>
      <left/>
      <right style="thin">
        <color indexed="12"/>
      </right>
      <top/>
      <bottom style="thin">
        <color theme="1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7" fillId="0" borderId="0"/>
    <xf numFmtId="9" fontId="13" fillId="0" borderId="0" applyFont="0" applyFill="0" applyBorder="0" applyAlignment="0" applyProtection="0"/>
  </cellStyleXfs>
  <cellXfs count="94">
    <xf numFmtId="0" fontId="0" fillId="0" borderId="0" xfId="0"/>
    <xf numFmtId="6" fontId="2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5" fontId="3" fillId="0" borderId="0" xfId="0" applyNumberFormat="1" applyFont="1"/>
    <xf numFmtId="166" fontId="3" fillId="0" borderId="0" xfId="0" applyNumberFormat="1" applyFont="1" applyAlignment="1">
      <alignment horizontal="right"/>
    </xf>
    <xf numFmtId="6" fontId="3" fillId="0" borderId="0" xfId="0" applyNumberFormat="1" applyFont="1"/>
    <xf numFmtId="166" fontId="2" fillId="0" borderId="0" xfId="0" applyNumberFormat="1" applyFont="1" applyAlignment="1">
      <alignment horizontal="center"/>
    </xf>
    <xf numFmtId="6" fontId="4" fillId="0" borderId="0" xfId="0" applyNumberFormat="1" applyFont="1"/>
    <xf numFmtId="166" fontId="4" fillId="0" borderId="0" xfId="1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6" fontId="2" fillId="0" borderId="0" xfId="0" applyNumberFormat="1" applyFont="1" applyAlignment="1">
      <alignment horizontal="left"/>
    </xf>
    <xf numFmtId="166" fontId="4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right"/>
    </xf>
    <xf numFmtId="0" fontId="3" fillId="0" borderId="0" xfId="0" quotePrefix="1" applyFont="1"/>
    <xf numFmtId="0" fontId="5" fillId="0" borderId="0" xfId="0" applyFont="1"/>
    <xf numFmtId="0" fontId="6" fillId="0" borderId="0" xfId="0" applyFont="1"/>
    <xf numFmtId="166" fontId="4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center"/>
    </xf>
    <xf numFmtId="167" fontId="3" fillId="0" borderId="0" xfId="2" applyNumberFormat="1" applyFont="1"/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2" applyFont="1"/>
    <xf numFmtId="6" fontId="4" fillId="0" borderId="0" xfId="2" applyNumberFormat="1" applyFont="1"/>
    <xf numFmtId="168" fontId="3" fillId="0" borderId="0" xfId="0" applyNumberFormat="1" applyFont="1"/>
    <xf numFmtId="166" fontId="4" fillId="0" borderId="0" xfId="0" applyNumberFormat="1" applyFont="1" applyAlignment="1">
      <alignment horizontal="center"/>
    </xf>
    <xf numFmtId="6" fontId="2" fillId="0" borderId="0" xfId="3" applyFont="1"/>
    <xf numFmtId="6" fontId="9" fillId="0" borderId="5" xfId="3" applyFont="1" applyBorder="1" applyAlignment="1">
      <alignment horizontal="center"/>
    </xf>
    <xf numFmtId="6" fontId="10" fillId="0" borderId="0" xfId="3" applyFont="1" applyAlignment="1">
      <alignment horizontal="center"/>
    </xf>
    <xf numFmtId="6" fontId="10" fillId="0" borderId="0" xfId="3" applyFont="1"/>
    <xf numFmtId="6" fontId="9" fillId="0" borderId="6" xfId="3" applyFont="1" applyBorder="1"/>
    <xf numFmtId="6" fontId="11" fillId="0" borderId="0" xfId="3" applyFont="1"/>
    <xf numFmtId="6" fontId="9" fillId="0" borderId="0" xfId="3" applyFont="1" applyAlignment="1">
      <alignment horizontal="center"/>
    </xf>
    <xf numFmtId="6" fontId="9" fillId="0" borderId="0" xfId="3" applyFont="1"/>
    <xf numFmtId="6" fontId="9" fillId="0" borderId="7" xfId="3" applyFont="1" applyBorder="1"/>
    <xf numFmtId="6" fontId="2" fillId="0" borderId="9" xfId="3" quotePrefix="1" applyFont="1" applyBorder="1" applyAlignment="1">
      <alignment horizontal="center"/>
    </xf>
    <xf numFmtId="6" fontId="12" fillId="0" borderId="0" xfId="3" applyFont="1"/>
    <xf numFmtId="5" fontId="2" fillId="0" borderId="0" xfId="3" applyNumberFormat="1" applyFont="1"/>
    <xf numFmtId="166" fontId="2" fillId="0" borderId="0" xfId="3" applyNumberFormat="1" applyFont="1"/>
    <xf numFmtId="166" fontId="14" fillId="0" borderId="0" xfId="4" applyNumberFormat="1" applyFont="1" applyFill="1" applyBorder="1" applyAlignment="1" applyProtection="1">
      <alignment horizontal="center"/>
    </xf>
    <xf numFmtId="6" fontId="14" fillId="0" borderId="0" xfId="3" applyFont="1"/>
    <xf numFmtId="5" fontId="14" fillId="0" borderId="0" xfId="3" applyNumberFormat="1" applyFont="1"/>
    <xf numFmtId="6" fontId="2" fillId="0" borderId="0" xfId="3" applyFont="1" applyAlignment="1">
      <alignment horizontal="center"/>
    </xf>
    <xf numFmtId="166" fontId="14" fillId="0" borderId="10" xfId="4" applyNumberFormat="1" applyFont="1" applyFill="1" applyBorder="1" applyAlignment="1" applyProtection="1">
      <alignment horizontal="center"/>
    </xf>
    <xf numFmtId="6" fontId="14" fillId="0" borderId="10" xfId="3" applyFont="1" applyBorder="1"/>
    <xf numFmtId="6" fontId="2" fillId="0" borderId="10" xfId="3" applyFont="1" applyBorder="1"/>
    <xf numFmtId="166" fontId="2" fillId="0" borderId="10" xfId="3" applyNumberFormat="1" applyFont="1" applyBorder="1"/>
    <xf numFmtId="5" fontId="14" fillId="0" borderId="10" xfId="3" applyNumberFormat="1" applyFont="1" applyBorder="1"/>
    <xf numFmtId="6" fontId="2" fillId="0" borderId="11" xfId="3" applyFont="1" applyBorder="1"/>
    <xf numFmtId="166" fontId="14" fillId="0" borderId="11" xfId="4" applyNumberFormat="1" applyFont="1" applyFill="1" applyBorder="1" applyAlignment="1" applyProtection="1">
      <alignment horizontal="center"/>
    </xf>
    <xf numFmtId="6" fontId="14" fillId="0" borderId="11" xfId="3" applyFont="1" applyBorder="1"/>
    <xf numFmtId="166" fontId="2" fillId="0" borderId="11" xfId="3" applyNumberFormat="1" applyFont="1" applyBorder="1"/>
    <xf numFmtId="5" fontId="14" fillId="0" borderId="11" xfId="3" applyNumberFormat="1" applyFont="1" applyBorder="1"/>
    <xf numFmtId="166" fontId="3" fillId="0" borderId="0" xfId="1" applyNumberFormat="1" applyFont="1" applyBorder="1" applyAlignment="1">
      <alignment horizontal="center"/>
    </xf>
    <xf numFmtId="5" fontId="15" fillId="0" borderId="0" xfId="0" applyNumberFormat="1" applyFont="1" applyAlignment="1">
      <alignment horizontal="right"/>
    </xf>
    <xf numFmtId="6" fontId="2" fillId="0" borderId="12" xfId="3" applyFont="1" applyBorder="1" applyAlignment="1">
      <alignment horizontal="center"/>
    </xf>
    <xf numFmtId="6" fontId="2" fillId="0" borderId="13" xfId="3" applyFont="1" applyBorder="1" applyAlignment="1">
      <alignment horizontal="center"/>
    </xf>
    <xf numFmtId="6" fontId="2" fillId="0" borderId="5" xfId="3" applyFont="1" applyBorder="1" applyAlignment="1">
      <alignment horizontal="center"/>
    </xf>
    <xf numFmtId="6" fontId="2" fillId="0" borderId="6" xfId="3" applyFont="1" applyBorder="1"/>
    <xf numFmtId="165" fontId="12" fillId="0" borderId="14" xfId="3" applyNumberFormat="1" applyFont="1" applyBorder="1" applyAlignment="1" applyProtection="1">
      <alignment horizontal="center"/>
      <protection locked="0"/>
    </xf>
    <xf numFmtId="165" fontId="12" fillId="0" borderId="15" xfId="3" applyNumberFormat="1" applyFont="1" applyBorder="1" applyProtection="1">
      <protection locked="0"/>
    </xf>
    <xf numFmtId="6" fontId="2" fillId="0" borderId="5" xfId="3" applyFont="1" applyBorder="1"/>
    <xf numFmtId="6" fontId="2" fillId="0" borderId="16" xfId="3" applyFont="1" applyBorder="1"/>
    <xf numFmtId="6" fontId="2" fillId="0" borderId="17" xfId="3" applyFont="1" applyBorder="1"/>
    <xf numFmtId="6" fontId="2" fillId="0" borderId="18" xfId="3" applyFont="1" applyBorder="1"/>
    <xf numFmtId="6" fontId="2" fillId="0" borderId="7" xfId="3" applyFont="1" applyBorder="1"/>
    <xf numFmtId="6" fontId="12" fillId="0" borderId="7" xfId="3" applyFont="1" applyBorder="1"/>
    <xf numFmtId="5" fontId="2" fillId="0" borderId="7" xfId="3" applyNumberFormat="1" applyFont="1" applyBorder="1"/>
    <xf numFmtId="166" fontId="2" fillId="0" borderId="7" xfId="3" applyNumberFormat="1" applyFont="1" applyBorder="1"/>
    <xf numFmtId="6" fontId="2" fillId="0" borderId="19" xfId="3" applyFont="1" applyBorder="1"/>
    <xf numFmtId="10" fontId="2" fillId="0" borderId="0" xfId="3" applyNumberFormat="1" applyFont="1"/>
    <xf numFmtId="10" fontId="14" fillId="0" borderId="0" xfId="4" applyNumberFormat="1" applyFont="1" applyFill="1" applyBorder="1"/>
    <xf numFmtId="10" fontId="14" fillId="0" borderId="11" xfId="4" applyNumberFormat="1" applyFont="1" applyFill="1" applyBorder="1"/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1" applyNumberFormat="1" applyFont="1" applyFill="1" applyBorder="1" applyAlignment="1">
      <alignment horizontal="right"/>
    </xf>
    <xf numFmtId="0" fontId="18" fillId="0" borderId="0" xfId="0" applyFont="1"/>
    <xf numFmtId="10" fontId="14" fillId="0" borderId="10" xfId="4" applyNumberFormat="1" applyFont="1" applyFill="1" applyBorder="1"/>
    <xf numFmtId="6" fontId="9" fillId="0" borderId="8" xfId="3" applyFont="1" applyBorder="1" applyAlignment="1">
      <alignment horizontal="center"/>
    </xf>
    <xf numFmtId="6" fontId="8" fillId="2" borderId="2" xfId="3" applyFont="1" applyFill="1" applyBorder="1" applyAlignment="1">
      <alignment horizontal="center"/>
    </xf>
    <xf numFmtId="6" fontId="8" fillId="2" borderId="3" xfId="3" applyFont="1" applyFill="1" applyBorder="1" applyAlignment="1">
      <alignment horizontal="center"/>
    </xf>
    <xf numFmtId="6" fontId="8" fillId="2" borderId="4" xfId="3" applyFont="1" applyFill="1" applyBorder="1" applyAlignment="1">
      <alignment horizontal="center"/>
    </xf>
    <xf numFmtId="6" fontId="8" fillId="2" borderId="5" xfId="3" applyFont="1" applyFill="1" applyBorder="1" applyAlignment="1">
      <alignment horizontal="center"/>
    </xf>
    <xf numFmtId="6" fontId="8" fillId="2" borderId="0" xfId="3" applyFont="1" applyFill="1" applyAlignment="1">
      <alignment horizontal="center"/>
    </xf>
    <xf numFmtId="6" fontId="8" fillId="2" borderId="6" xfId="3" applyFont="1" applyFill="1" applyBorder="1" applyAlignment="1">
      <alignment horizontal="center"/>
    </xf>
    <xf numFmtId="169" fontId="8" fillId="2" borderId="5" xfId="3" quotePrefix="1" applyNumberFormat="1" applyFont="1" applyFill="1" applyBorder="1" applyAlignment="1" applyProtection="1">
      <alignment horizontal="center"/>
      <protection locked="0"/>
    </xf>
    <xf numFmtId="169" fontId="8" fillId="2" borderId="0" xfId="3" applyNumberFormat="1" applyFont="1" applyFill="1" applyAlignment="1" applyProtection="1">
      <alignment horizontal="center"/>
      <protection locked="0"/>
    </xf>
    <xf numFmtId="169" fontId="8" fillId="2" borderId="6" xfId="3" applyNumberFormat="1" applyFont="1" applyFill="1" applyBorder="1" applyAlignment="1" applyProtection="1">
      <alignment horizontal="center"/>
      <protection locked="0"/>
    </xf>
  </cellXfs>
  <cellStyles count="5">
    <cellStyle name="Comma" xfId="2" builtinId="3"/>
    <cellStyle name="Normal" xfId="0" builtinId="0"/>
    <cellStyle name="Normal 2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66675</xdr:rowOff>
    </xdr:from>
    <xdr:to>
      <xdr:col>12</xdr:col>
      <xdr:colOff>0</xdr:colOff>
      <xdr:row>9</xdr:row>
      <xdr:rowOff>66675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1349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L513"/>
  <sheetViews>
    <sheetView defaultGridColor="0" colorId="22" zoomScale="87" zoomScaleNormal="87" workbookViewId="0">
      <pane ySplit="10" topLeftCell="A11" activePane="bottomLeft" state="frozen"/>
      <selection pane="bottomLeft" activeCell="A29" sqref="A29"/>
    </sheetView>
  </sheetViews>
  <sheetFormatPr defaultColWidth="9.7109375" defaultRowHeight="12.75"/>
  <cols>
    <col min="1" max="1" width="5.5703125" style="48" customWidth="1"/>
    <col min="2" max="2" width="12.5703125" style="48" bestFit="1" customWidth="1"/>
    <col min="3" max="3" width="44.140625" style="32" bestFit="1" customWidth="1"/>
    <col min="4" max="4" width="13.42578125" style="32" customWidth="1"/>
    <col min="5" max="5" width="15.28515625" style="32" bestFit="1" customWidth="1"/>
    <col min="6" max="6" width="13" style="32" bestFit="1" customWidth="1"/>
    <col min="7" max="7" width="13.5703125" style="32" bestFit="1" customWidth="1"/>
    <col min="8" max="8" width="16.5703125" style="32" customWidth="1"/>
    <col min="9" max="9" width="11.28515625" style="32" customWidth="1"/>
    <col min="10" max="10" width="11" style="32" bestFit="1" customWidth="1"/>
    <col min="11" max="11" width="14.5703125" style="32" bestFit="1" customWidth="1"/>
    <col min="12" max="12" width="5.42578125" style="32" customWidth="1"/>
    <col min="13" max="13" width="12" style="32" bestFit="1" customWidth="1"/>
    <col min="14" max="15" width="9.7109375" style="32"/>
    <col min="16" max="16" width="10.7109375" style="32" bestFit="1" customWidth="1"/>
    <col min="17" max="16384" width="9.7109375" style="32"/>
  </cols>
  <sheetData>
    <row r="1" spans="1:12" ht="15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5.75" customHeight="1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5.75" customHeight="1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15.75">
      <c r="A4" s="91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s="37" customFormat="1" ht="11.25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1:12">
      <c r="A6" s="33"/>
      <c r="B6" s="38"/>
      <c r="C6" s="39"/>
      <c r="D6" s="40"/>
      <c r="E6" s="40"/>
      <c r="F6" s="39"/>
      <c r="G6" s="39"/>
      <c r="H6" s="84" t="s">
        <v>4</v>
      </c>
      <c r="I6" s="84"/>
      <c r="K6" s="37"/>
      <c r="L6" s="36"/>
    </row>
    <row r="7" spans="1:12">
      <c r="A7" s="33"/>
      <c r="B7" s="38"/>
      <c r="C7" s="39"/>
      <c r="D7" s="84" t="s">
        <v>5</v>
      </c>
      <c r="E7" s="84"/>
      <c r="F7" s="79" t="s">
        <v>6</v>
      </c>
      <c r="G7" s="39"/>
      <c r="H7" s="38" t="s">
        <v>7</v>
      </c>
      <c r="I7" s="38" t="s">
        <v>8</v>
      </c>
      <c r="K7" s="37"/>
      <c r="L7" s="36"/>
    </row>
    <row r="8" spans="1:12">
      <c r="A8" s="33" t="s">
        <v>9</v>
      </c>
      <c r="B8" s="38" t="s">
        <v>10</v>
      </c>
      <c r="C8" s="39" t="s">
        <v>11</v>
      </c>
      <c r="D8" s="38" t="s">
        <v>12</v>
      </c>
      <c r="E8" s="79" t="s">
        <v>13</v>
      </c>
      <c r="F8" s="80" t="s">
        <v>14</v>
      </c>
      <c r="G8" s="38" t="s">
        <v>15</v>
      </c>
      <c r="H8" s="38" t="s">
        <v>16</v>
      </c>
      <c r="I8" s="38" t="s">
        <v>17</v>
      </c>
      <c r="J8" s="38" t="s">
        <v>18</v>
      </c>
      <c r="K8" s="38" t="s">
        <v>19</v>
      </c>
      <c r="L8" s="36" t="s">
        <v>9</v>
      </c>
    </row>
    <row r="9" spans="1:12">
      <c r="A9" s="33" t="s">
        <v>20</v>
      </c>
      <c r="B9" s="38" t="s">
        <v>21</v>
      </c>
      <c r="C9" s="38" t="s">
        <v>22</v>
      </c>
      <c r="D9" s="38" t="s">
        <v>23</v>
      </c>
      <c r="E9" s="80" t="s">
        <v>24</v>
      </c>
      <c r="F9" s="80" t="s">
        <v>25</v>
      </c>
      <c r="G9" s="38" t="s">
        <v>25</v>
      </c>
      <c r="H9" s="38" t="s">
        <v>26</v>
      </c>
      <c r="I9" s="38" t="s">
        <v>26</v>
      </c>
      <c r="J9" s="38" t="s">
        <v>27</v>
      </c>
      <c r="K9" s="38" t="s">
        <v>28</v>
      </c>
      <c r="L9" s="36" t="s">
        <v>20</v>
      </c>
    </row>
    <row r="10" spans="1:12">
      <c r="A10" s="61"/>
      <c r="B10" s="41" t="s">
        <v>29</v>
      </c>
      <c r="C10" s="41" t="s">
        <v>30</v>
      </c>
      <c r="D10" s="41" t="s">
        <v>31</v>
      </c>
      <c r="E10" s="41" t="s">
        <v>32</v>
      </c>
      <c r="F10" s="41" t="s">
        <v>33</v>
      </c>
      <c r="G10" s="41" t="s">
        <v>34</v>
      </c>
      <c r="H10" s="41" t="s">
        <v>35</v>
      </c>
      <c r="I10" s="41" t="s">
        <v>36</v>
      </c>
      <c r="J10" s="41" t="s">
        <v>37</v>
      </c>
      <c r="K10" s="41" t="s">
        <v>38</v>
      </c>
      <c r="L10" s="62"/>
    </row>
    <row r="11" spans="1:12">
      <c r="A11" s="63"/>
      <c r="E11" s="42"/>
      <c r="F11" s="43"/>
      <c r="H11" s="43"/>
      <c r="I11" s="44"/>
      <c r="J11" s="44"/>
      <c r="K11" s="43"/>
      <c r="L11" s="64"/>
    </row>
    <row r="12" spans="1:12">
      <c r="A12" s="63"/>
      <c r="E12" s="42"/>
      <c r="F12" s="43"/>
      <c r="H12" s="43"/>
      <c r="I12" s="44"/>
      <c r="J12" s="44"/>
      <c r="K12" s="43"/>
      <c r="L12" s="64"/>
    </row>
    <row r="13" spans="1:12">
      <c r="A13" s="63"/>
      <c r="E13" s="42"/>
      <c r="F13" s="43"/>
      <c r="H13" s="43"/>
      <c r="I13" s="44"/>
      <c r="J13" s="44"/>
      <c r="K13" s="43"/>
      <c r="L13" s="64"/>
    </row>
    <row r="14" spans="1:12">
      <c r="A14" s="65">
        <v>54</v>
      </c>
      <c r="B14" s="49">
        <v>4.6834160281659494E-2</v>
      </c>
      <c r="C14" s="50" t="s">
        <v>39</v>
      </c>
      <c r="D14" s="51"/>
      <c r="E14" s="50">
        <v>11284860000</v>
      </c>
      <c r="F14" s="50">
        <v>-129942401.50400001</v>
      </c>
      <c r="G14" s="50">
        <v>-4683563.148</v>
      </c>
      <c r="H14" s="50">
        <v>11150234035.348</v>
      </c>
      <c r="I14" s="52"/>
      <c r="J14" s="83">
        <f>K14/E14</f>
        <v>4.7693013757902185E-2</v>
      </c>
      <c r="K14" s="53">
        <v>538208983.23600006</v>
      </c>
      <c r="L14" s="66">
        <f>A14</f>
        <v>54</v>
      </c>
    </row>
    <row r="15" spans="1:12">
      <c r="A15" s="67"/>
      <c r="B15" s="45">
        <f>Support!M27</f>
        <v>4.5562243137254904E-2</v>
      </c>
      <c r="C15" s="46" t="s">
        <v>40</v>
      </c>
      <c r="E15" s="46">
        <f>Support!E27</f>
        <v>10200000000</v>
      </c>
      <c r="F15" s="46">
        <f>-(Support!N27+Support!O27)</f>
        <v>-113549943.964</v>
      </c>
      <c r="G15" s="46">
        <f>-Support!P27</f>
        <v>-777229.80799999996</v>
      </c>
      <c r="H15" s="46">
        <f>SUM(E15:G15)</f>
        <v>10085672826.227999</v>
      </c>
      <c r="I15" s="44"/>
      <c r="J15" s="77">
        <f>K15/E15</f>
        <v>4.6358362745098039E-2</v>
      </c>
      <c r="K15" s="47">
        <f>Support!R27</f>
        <v>472855300</v>
      </c>
      <c r="L15" s="64"/>
    </row>
    <row r="16" spans="1:12">
      <c r="A16" s="68"/>
      <c r="B16" s="55">
        <f>Support!M52</f>
        <v>5.0003311764705884E-2</v>
      </c>
      <c r="C16" s="56" t="s">
        <v>41</v>
      </c>
      <c r="D16" s="54"/>
      <c r="E16" s="56">
        <f>Support!E52</f>
        <v>10200000000</v>
      </c>
      <c r="F16" s="56">
        <f>-(Support!N52+Support!O52)</f>
        <v>-96486943.964000016</v>
      </c>
      <c r="G16" s="56">
        <f>-Support!P52</f>
        <v>-777229.80799999996</v>
      </c>
      <c r="H16" s="56">
        <f>SUM(E16:G16)</f>
        <v>10102735826.227999</v>
      </c>
      <c r="I16" s="57"/>
      <c r="J16" s="78">
        <f>K16/E16</f>
        <v>5.0694911764705884E-2</v>
      </c>
      <c r="K16" s="58">
        <f>Support!R52</f>
        <v>517088100</v>
      </c>
      <c r="L16" s="69"/>
    </row>
    <row r="17" spans="1:12">
      <c r="A17" s="65"/>
      <c r="B17" s="49">
        <f>(B14*E14-B15*E15+B16*E16)/E17</f>
        <v>5.0848290718368508E-2</v>
      </c>
      <c r="C17" s="50" t="s">
        <v>42</v>
      </c>
      <c r="D17" s="51"/>
      <c r="E17" s="50">
        <f>E14-E15+E16</f>
        <v>11284860000</v>
      </c>
      <c r="F17" s="50">
        <f>F14-F15+F16</f>
        <v>-112879401.50400002</v>
      </c>
      <c r="G17" s="50">
        <f>G14-G15+G16</f>
        <v>-4683563.148</v>
      </c>
      <c r="H17" s="50">
        <f>H14-H15+H16</f>
        <v>11167297035.348</v>
      </c>
      <c r="I17" s="52"/>
      <c r="J17" s="83">
        <f>K17/E17</f>
        <v>5.1612672486499617E-2</v>
      </c>
      <c r="K17" s="50">
        <f>K14-K15+K16</f>
        <v>582441783.23600006</v>
      </c>
      <c r="L17" s="66"/>
    </row>
    <row r="18" spans="1:12" ht="6.75" customHeight="1">
      <c r="A18" s="67"/>
      <c r="B18" s="32"/>
      <c r="E18" s="42"/>
      <c r="F18" s="43"/>
      <c r="H18" s="43"/>
      <c r="I18" s="44"/>
      <c r="J18" s="44"/>
      <c r="K18" s="43"/>
      <c r="L18" s="64"/>
    </row>
    <row r="19" spans="1:12">
      <c r="A19" s="70"/>
      <c r="B19" s="71"/>
      <c r="C19" s="71"/>
      <c r="D19" s="71"/>
      <c r="E19" s="72"/>
      <c r="F19" s="73"/>
      <c r="G19" s="71"/>
      <c r="H19" s="73"/>
      <c r="I19" s="74"/>
      <c r="J19" s="74"/>
      <c r="K19" s="73"/>
      <c r="L19" s="75"/>
    </row>
    <row r="20" spans="1:12">
      <c r="A20" s="32"/>
      <c r="B20" s="32"/>
      <c r="E20" s="42"/>
      <c r="F20" s="43"/>
      <c r="H20" s="43"/>
      <c r="I20" s="44"/>
      <c r="J20" s="44"/>
      <c r="K20" s="43"/>
    </row>
    <row r="21" spans="1:12">
      <c r="A21" s="32"/>
      <c r="B21" s="32"/>
      <c r="E21" s="42"/>
      <c r="F21" s="43"/>
      <c r="H21" s="43"/>
      <c r="I21" s="44"/>
      <c r="J21" s="44"/>
      <c r="K21" s="43"/>
    </row>
    <row r="22" spans="1:12">
      <c r="A22" s="32"/>
      <c r="B22" s="32"/>
      <c r="E22" s="42"/>
      <c r="F22" s="43"/>
      <c r="H22" s="43"/>
      <c r="I22" s="44"/>
      <c r="J22" s="44"/>
      <c r="K22" s="43"/>
    </row>
    <row r="23" spans="1:12">
      <c r="A23" s="32"/>
      <c r="B23" s="32"/>
      <c r="E23" s="42"/>
      <c r="F23" s="43"/>
      <c r="H23" s="43"/>
      <c r="I23" s="44"/>
      <c r="J23" s="44"/>
      <c r="K23" s="43"/>
    </row>
    <row r="24" spans="1:12">
      <c r="A24" s="32"/>
      <c r="B24" s="32"/>
      <c r="E24" s="42"/>
      <c r="F24" s="43"/>
      <c r="H24" s="43"/>
      <c r="I24" s="44"/>
      <c r="J24" s="44"/>
      <c r="K24" s="43"/>
    </row>
    <row r="25" spans="1:12">
      <c r="A25" s="32"/>
      <c r="B25" s="32"/>
      <c r="E25" s="42"/>
      <c r="F25" s="43"/>
      <c r="H25" s="43"/>
      <c r="I25" s="44"/>
      <c r="J25" s="44"/>
      <c r="K25" s="43"/>
    </row>
    <row r="26" spans="1:12">
      <c r="A26" s="32"/>
      <c r="B26" s="32"/>
      <c r="E26" s="42"/>
      <c r="F26" s="43"/>
      <c r="H26" s="43"/>
      <c r="I26" s="44"/>
      <c r="J26" s="44"/>
      <c r="K26" s="43"/>
    </row>
    <row r="27" spans="1:12">
      <c r="A27" s="32"/>
      <c r="B27" s="32"/>
      <c r="E27" s="42"/>
      <c r="F27" s="43"/>
      <c r="H27" s="43"/>
      <c r="I27" s="44"/>
      <c r="J27" s="76"/>
      <c r="K27" s="43"/>
    </row>
    <row r="28" spans="1:12">
      <c r="A28" s="32"/>
      <c r="B28" s="32"/>
      <c r="E28" s="42"/>
      <c r="F28" s="43"/>
      <c r="H28" s="43"/>
      <c r="I28" s="44"/>
      <c r="J28" s="44"/>
      <c r="K28" s="43"/>
    </row>
    <row r="29" spans="1:12">
      <c r="A29" s="32"/>
      <c r="B29" s="32"/>
      <c r="E29" s="42"/>
      <c r="F29" s="43"/>
      <c r="H29" s="43"/>
      <c r="I29" s="44"/>
      <c r="J29" s="44"/>
      <c r="K29" s="43"/>
    </row>
    <row r="30" spans="1:12">
      <c r="A30" s="32"/>
      <c r="B30" s="32"/>
      <c r="E30" s="42"/>
      <c r="F30" s="43"/>
      <c r="H30" s="43"/>
      <c r="I30" s="44"/>
      <c r="J30" s="44"/>
      <c r="K30" s="43"/>
    </row>
    <row r="31" spans="1:12">
      <c r="A31" s="32"/>
      <c r="B31" s="32"/>
      <c r="E31" s="42"/>
      <c r="F31" s="43"/>
      <c r="H31" s="43"/>
      <c r="I31" s="44"/>
      <c r="J31" s="44"/>
      <c r="K31" s="43"/>
    </row>
    <row r="32" spans="1:12">
      <c r="A32" s="32"/>
      <c r="B32" s="32"/>
      <c r="E32" s="42"/>
      <c r="F32" s="43"/>
      <c r="H32" s="43"/>
      <c r="I32" s="44"/>
      <c r="J32" s="44"/>
      <c r="K32" s="43"/>
    </row>
    <row r="33" spans="5:11" s="32" customFormat="1">
      <c r="E33" s="42"/>
      <c r="F33" s="43"/>
      <c r="H33" s="43"/>
      <c r="I33" s="44"/>
      <c r="J33" s="44"/>
      <c r="K33" s="43"/>
    </row>
    <row r="34" spans="5:11" s="32" customFormat="1">
      <c r="E34" s="42"/>
      <c r="F34" s="43"/>
      <c r="H34" s="43"/>
      <c r="I34" s="44"/>
      <c r="J34" s="44"/>
      <c r="K34" s="43"/>
    </row>
    <row r="35" spans="5:11" s="32" customFormat="1">
      <c r="E35" s="42"/>
      <c r="F35" s="43"/>
      <c r="H35" s="43"/>
      <c r="I35" s="44"/>
      <c r="J35" s="44"/>
      <c r="K35" s="43"/>
    </row>
    <row r="36" spans="5:11" s="32" customFormat="1">
      <c r="E36" s="42"/>
      <c r="F36" s="43"/>
      <c r="H36" s="43"/>
      <c r="I36" s="44"/>
      <c r="J36" s="44"/>
      <c r="K36" s="43"/>
    </row>
    <row r="37" spans="5:11" s="32" customFormat="1">
      <c r="E37" s="42"/>
      <c r="F37" s="43"/>
      <c r="H37" s="43"/>
      <c r="I37" s="44"/>
      <c r="J37" s="44"/>
      <c r="K37" s="43"/>
    </row>
    <row r="38" spans="5:11" s="32" customFormat="1">
      <c r="E38" s="42"/>
      <c r="F38" s="43"/>
      <c r="H38" s="43"/>
      <c r="I38" s="44"/>
      <c r="J38" s="44"/>
      <c r="K38" s="43"/>
    </row>
    <row r="39" spans="5:11" s="32" customFormat="1">
      <c r="E39" s="42"/>
      <c r="F39" s="43"/>
      <c r="H39" s="43"/>
      <c r="I39" s="44"/>
      <c r="J39" s="44"/>
      <c r="K39" s="43"/>
    </row>
    <row r="40" spans="5:11" s="32" customFormat="1">
      <c r="E40" s="42"/>
      <c r="F40" s="43"/>
      <c r="H40" s="43"/>
      <c r="I40" s="44"/>
      <c r="J40" s="44"/>
      <c r="K40" s="43"/>
    </row>
    <row r="41" spans="5:11" s="32" customFormat="1">
      <c r="E41" s="42"/>
      <c r="F41" s="43"/>
      <c r="H41" s="43"/>
      <c r="I41" s="44"/>
      <c r="J41" s="44"/>
      <c r="K41" s="43"/>
    </row>
    <row r="42" spans="5:11" s="32" customFormat="1">
      <c r="E42" s="42"/>
      <c r="F42" s="43"/>
      <c r="H42" s="43"/>
      <c r="I42" s="44"/>
      <c r="J42" s="44"/>
      <c r="K42" s="43"/>
    </row>
    <row r="43" spans="5:11" s="32" customFormat="1">
      <c r="E43" s="42"/>
      <c r="F43" s="43"/>
      <c r="H43" s="43"/>
      <c r="I43" s="44"/>
      <c r="J43" s="44"/>
      <c r="K43" s="43"/>
    </row>
    <row r="44" spans="5:11" s="32" customFormat="1">
      <c r="E44" s="42"/>
      <c r="F44" s="43"/>
      <c r="H44" s="43"/>
      <c r="I44" s="44"/>
      <c r="J44" s="44"/>
      <c r="K44" s="43"/>
    </row>
    <row r="45" spans="5:11" s="32" customFormat="1">
      <c r="E45" s="42"/>
      <c r="F45" s="43"/>
      <c r="H45" s="43"/>
      <c r="I45" s="44"/>
      <c r="J45" s="44"/>
      <c r="K45" s="43"/>
    </row>
    <row r="46" spans="5:11" s="32" customFormat="1">
      <c r="E46" s="42"/>
      <c r="F46" s="43"/>
      <c r="H46" s="43"/>
      <c r="I46" s="44"/>
      <c r="J46" s="44"/>
      <c r="K46" s="43"/>
    </row>
    <row r="47" spans="5:11" s="32" customFormat="1">
      <c r="E47" s="42"/>
      <c r="F47" s="43"/>
      <c r="H47" s="43"/>
      <c r="I47" s="44"/>
      <c r="J47" s="44"/>
      <c r="K47" s="43"/>
    </row>
    <row r="48" spans="5:11" s="32" customFormat="1">
      <c r="E48" s="42"/>
      <c r="F48" s="43"/>
      <c r="H48" s="43"/>
      <c r="I48" s="44"/>
      <c r="J48" s="44"/>
      <c r="K48" s="43"/>
    </row>
    <row r="49" spans="5:11" s="32" customFormat="1">
      <c r="E49" s="42"/>
      <c r="F49" s="43"/>
      <c r="H49" s="43"/>
      <c r="I49" s="44"/>
      <c r="J49" s="44"/>
      <c r="K49" s="43"/>
    </row>
    <row r="50" spans="5:11" s="32" customFormat="1">
      <c r="E50" s="42"/>
      <c r="F50" s="43"/>
      <c r="H50" s="43"/>
      <c r="I50" s="44"/>
      <c r="J50" s="44"/>
      <c r="K50" s="43"/>
    </row>
    <row r="51" spans="5:11" s="32" customFormat="1">
      <c r="E51" s="42"/>
      <c r="F51" s="43"/>
      <c r="H51" s="43"/>
      <c r="I51" s="44"/>
      <c r="J51" s="44"/>
      <c r="K51" s="43"/>
    </row>
    <row r="52" spans="5:11" s="32" customFormat="1">
      <c r="E52" s="42"/>
      <c r="F52" s="43"/>
      <c r="H52" s="43"/>
      <c r="I52" s="44"/>
      <c r="J52" s="44"/>
      <c r="K52" s="43"/>
    </row>
    <row r="53" spans="5:11" s="32" customFormat="1">
      <c r="E53" s="42"/>
      <c r="F53" s="43"/>
      <c r="H53" s="43"/>
      <c r="I53" s="44"/>
      <c r="J53" s="44"/>
      <c r="K53" s="43"/>
    </row>
    <row r="54" spans="5:11" s="32" customFormat="1">
      <c r="E54" s="42"/>
      <c r="F54" s="43"/>
      <c r="H54" s="43"/>
      <c r="I54" s="44"/>
      <c r="J54" s="44"/>
      <c r="K54" s="43"/>
    </row>
    <row r="55" spans="5:11" s="32" customFormat="1">
      <c r="E55" s="42"/>
      <c r="F55" s="43"/>
      <c r="H55" s="43"/>
      <c r="I55" s="44"/>
      <c r="J55" s="44"/>
      <c r="K55" s="43"/>
    </row>
    <row r="56" spans="5:11" s="32" customFormat="1">
      <c r="E56" s="42"/>
      <c r="F56" s="43"/>
      <c r="H56" s="43"/>
      <c r="I56" s="44"/>
      <c r="J56" s="44"/>
      <c r="K56" s="43"/>
    </row>
    <row r="57" spans="5:11" s="32" customFormat="1">
      <c r="E57" s="42"/>
      <c r="F57" s="43"/>
      <c r="H57" s="43"/>
      <c r="I57" s="44"/>
      <c r="J57" s="44"/>
      <c r="K57" s="43"/>
    </row>
    <row r="58" spans="5:11" s="32" customFormat="1">
      <c r="E58" s="42"/>
      <c r="F58" s="43"/>
      <c r="H58" s="43"/>
      <c r="I58" s="44"/>
      <c r="J58" s="44"/>
      <c r="K58" s="43"/>
    </row>
    <row r="59" spans="5:11" s="32" customFormat="1">
      <c r="E59" s="42"/>
      <c r="F59" s="43"/>
      <c r="H59" s="43"/>
      <c r="I59" s="44"/>
      <c r="J59" s="44"/>
      <c r="K59" s="43"/>
    </row>
    <row r="60" spans="5:11" s="32" customFormat="1">
      <c r="E60" s="42"/>
      <c r="F60" s="43"/>
      <c r="H60" s="43"/>
      <c r="I60" s="44"/>
      <c r="J60" s="44"/>
      <c r="K60" s="43"/>
    </row>
    <row r="61" spans="5:11" s="32" customFormat="1">
      <c r="E61" s="42"/>
      <c r="F61" s="43"/>
      <c r="H61" s="43"/>
      <c r="I61" s="44"/>
      <c r="J61" s="44"/>
      <c r="K61" s="43"/>
    </row>
    <row r="62" spans="5:11" s="32" customFormat="1">
      <c r="E62" s="42"/>
      <c r="F62" s="43"/>
      <c r="H62" s="43"/>
      <c r="I62" s="44"/>
      <c r="J62" s="44"/>
      <c r="K62" s="43"/>
    </row>
    <row r="63" spans="5:11" s="32" customFormat="1">
      <c r="E63" s="42"/>
      <c r="F63" s="43"/>
      <c r="H63" s="43"/>
      <c r="I63" s="44"/>
      <c r="J63" s="44"/>
      <c r="K63" s="43"/>
    </row>
    <row r="64" spans="5:11" s="32" customFormat="1">
      <c r="E64" s="42"/>
      <c r="F64" s="43"/>
      <c r="H64" s="43"/>
      <c r="I64" s="44"/>
      <c r="J64" s="44"/>
      <c r="K64" s="43"/>
    </row>
    <row r="65" spans="5:11" s="32" customFormat="1">
      <c r="E65" s="42"/>
      <c r="F65" s="43"/>
      <c r="H65" s="43"/>
      <c r="I65" s="44"/>
      <c r="J65" s="44"/>
      <c r="K65" s="43"/>
    </row>
    <row r="66" spans="5:11" s="32" customFormat="1">
      <c r="E66" s="42"/>
      <c r="F66" s="43"/>
      <c r="H66" s="43"/>
      <c r="I66" s="44"/>
      <c r="J66" s="44"/>
      <c r="K66" s="43"/>
    </row>
    <row r="67" spans="5:11" s="32" customFormat="1">
      <c r="E67" s="42"/>
      <c r="F67" s="43"/>
      <c r="H67" s="43"/>
      <c r="I67" s="44"/>
      <c r="J67" s="44"/>
      <c r="K67" s="43"/>
    </row>
    <row r="68" spans="5:11" s="32" customFormat="1">
      <c r="E68" s="42"/>
      <c r="F68" s="43"/>
      <c r="H68" s="43"/>
      <c r="I68" s="44"/>
      <c r="J68" s="44"/>
      <c r="K68" s="43"/>
    </row>
    <row r="69" spans="5:11" s="32" customFormat="1">
      <c r="E69" s="42"/>
      <c r="F69" s="43"/>
      <c r="H69" s="43"/>
      <c r="I69" s="44"/>
      <c r="J69" s="44"/>
      <c r="K69" s="43"/>
    </row>
    <row r="70" spans="5:11" s="32" customFormat="1">
      <c r="E70" s="42"/>
      <c r="F70" s="43"/>
      <c r="H70" s="43"/>
      <c r="I70" s="44"/>
      <c r="J70" s="44"/>
      <c r="K70" s="43"/>
    </row>
    <row r="71" spans="5:11" s="32" customFormat="1">
      <c r="E71" s="42"/>
      <c r="F71" s="43"/>
      <c r="H71" s="43"/>
      <c r="I71" s="44"/>
      <c r="J71" s="44"/>
      <c r="K71" s="43"/>
    </row>
    <row r="72" spans="5:11" s="32" customFormat="1">
      <c r="E72" s="42"/>
      <c r="F72" s="43"/>
      <c r="H72" s="43"/>
      <c r="I72" s="44"/>
      <c r="J72" s="44"/>
      <c r="K72" s="43"/>
    </row>
    <row r="73" spans="5:11" s="32" customFormat="1">
      <c r="E73" s="42"/>
      <c r="F73" s="43"/>
      <c r="H73" s="43"/>
      <c r="I73" s="44"/>
      <c r="J73" s="44"/>
      <c r="K73" s="43"/>
    </row>
    <row r="74" spans="5:11" s="32" customFormat="1">
      <c r="E74" s="42"/>
      <c r="F74" s="43"/>
      <c r="H74" s="43"/>
      <c r="I74" s="44"/>
      <c r="J74" s="44"/>
      <c r="K74" s="43"/>
    </row>
    <row r="75" spans="5:11" s="32" customFormat="1">
      <c r="E75" s="42"/>
      <c r="F75" s="43"/>
      <c r="H75" s="43"/>
      <c r="I75" s="44"/>
      <c r="J75" s="44"/>
      <c r="K75" s="43"/>
    </row>
    <row r="76" spans="5:11" s="32" customFormat="1">
      <c r="E76" s="42"/>
      <c r="F76" s="43"/>
      <c r="H76" s="43"/>
      <c r="I76" s="44"/>
      <c r="J76" s="44"/>
      <c r="K76" s="43"/>
    </row>
    <row r="77" spans="5:11" s="32" customFormat="1">
      <c r="E77" s="42"/>
      <c r="F77" s="43"/>
      <c r="H77" s="43"/>
      <c r="I77" s="44"/>
      <c r="J77" s="44"/>
      <c r="K77" s="43"/>
    </row>
    <row r="78" spans="5:11" s="32" customFormat="1">
      <c r="E78" s="42"/>
      <c r="F78" s="43"/>
      <c r="H78" s="43"/>
      <c r="I78" s="44"/>
      <c r="J78" s="44"/>
      <c r="K78" s="43"/>
    </row>
    <row r="79" spans="5:11" s="32" customFormat="1">
      <c r="E79" s="42"/>
      <c r="F79" s="43"/>
      <c r="H79" s="43"/>
      <c r="I79" s="44"/>
      <c r="J79" s="44"/>
      <c r="K79" s="43"/>
    </row>
    <row r="80" spans="5:11" s="32" customFormat="1">
      <c r="E80" s="42"/>
      <c r="F80" s="43"/>
      <c r="H80" s="43"/>
      <c r="I80" s="44"/>
      <c r="J80" s="44"/>
      <c r="K80" s="43"/>
    </row>
    <row r="81" spans="5:11" s="32" customFormat="1">
      <c r="E81" s="42"/>
      <c r="F81" s="43"/>
      <c r="H81" s="43"/>
      <c r="I81" s="44"/>
      <c r="J81" s="44"/>
      <c r="K81" s="43"/>
    </row>
    <row r="82" spans="5:11" s="32" customFormat="1">
      <c r="E82" s="42"/>
      <c r="F82" s="43"/>
      <c r="H82" s="43"/>
      <c r="I82" s="44"/>
      <c r="J82" s="44"/>
      <c r="K82" s="43"/>
    </row>
    <row r="83" spans="5:11" s="32" customFormat="1">
      <c r="E83" s="42"/>
      <c r="F83" s="43"/>
      <c r="H83" s="43"/>
      <c r="I83" s="44"/>
      <c r="J83" s="44"/>
      <c r="K83" s="43"/>
    </row>
    <row r="84" spans="5:11" s="32" customFormat="1">
      <c r="E84" s="42"/>
      <c r="F84" s="43"/>
      <c r="H84" s="43"/>
      <c r="I84" s="44"/>
      <c r="J84" s="44"/>
      <c r="K84" s="43"/>
    </row>
    <row r="85" spans="5:11" s="32" customFormat="1">
      <c r="E85" s="42"/>
      <c r="F85" s="43"/>
      <c r="H85" s="43"/>
      <c r="I85" s="44"/>
      <c r="J85" s="44"/>
      <c r="K85" s="43"/>
    </row>
    <row r="86" spans="5:11" s="32" customFormat="1">
      <c r="E86" s="42"/>
      <c r="F86" s="43"/>
      <c r="H86" s="43"/>
      <c r="I86" s="44"/>
      <c r="J86" s="44"/>
      <c r="K86" s="43"/>
    </row>
    <row r="87" spans="5:11" s="32" customFormat="1">
      <c r="E87" s="42"/>
      <c r="F87" s="43"/>
      <c r="H87" s="43"/>
      <c r="I87" s="44"/>
      <c r="J87" s="44"/>
      <c r="K87" s="43"/>
    </row>
    <row r="88" spans="5:11" s="32" customFormat="1">
      <c r="E88" s="42"/>
      <c r="F88" s="43"/>
      <c r="H88" s="43"/>
      <c r="I88" s="44"/>
      <c r="J88" s="44"/>
      <c r="K88" s="43"/>
    </row>
    <row r="89" spans="5:11" s="32" customFormat="1">
      <c r="E89" s="42"/>
      <c r="F89" s="43"/>
      <c r="H89" s="43"/>
      <c r="I89" s="44"/>
      <c r="J89" s="44"/>
      <c r="K89" s="43"/>
    </row>
    <row r="90" spans="5:11" s="32" customFormat="1">
      <c r="E90" s="42"/>
      <c r="F90" s="43"/>
      <c r="H90" s="43"/>
      <c r="I90" s="44"/>
      <c r="J90" s="44"/>
      <c r="K90" s="43"/>
    </row>
    <row r="91" spans="5:11" s="32" customFormat="1">
      <c r="E91" s="42"/>
      <c r="F91" s="43"/>
      <c r="H91" s="43"/>
      <c r="I91" s="44"/>
      <c r="J91" s="44"/>
      <c r="K91" s="43"/>
    </row>
    <row r="92" spans="5:11" s="32" customFormat="1">
      <c r="E92" s="42"/>
      <c r="F92" s="43"/>
      <c r="H92" s="43"/>
      <c r="I92" s="44"/>
      <c r="J92" s="44"/>
      <c r="K92" s="43"/>
    </row>
    <row r="93" spans="5:11" s="32" customFormat="1">
      <c r="E93" s="42"/>
      <c r="F93" s="43"/>
      <c r="H93" s="43"/>
      <c r="I93" s="44"/>
      <c r="J93" s="44"/>
      <c r="K93" s="43"/>
    </row>
    <row r="94" spans="5:11" s="32" customFormat="1">
      <c r="E94" s="42"/>
      <c r="F94" s="43"/>
      <c r="H94" s="43"/>
      <c r="I94" s="44"/>
      <c r="J94" s="44"/>
      <c r="K94" s="43"/>
    </row>
    <row r="95" spans="5:11" s="32" customFormat="1">
      <c r="E95" s="42"/>
      <c r="F95" s="43"/>
      <c r="H95" s="43"/>
      <c r="I95" s="44"/>
      <c r="J95" s="44"/>
      <c r="K95" s="43"/>
    </row>
    <row r="96" spans="5:11" s="32" customFormat="1">
      <c r="E96" s="42"/>
      <c r="F96" s="43"/>
      <c r="H96" s="43"/>
      <c r="I96" s="44"/>
      <c r="J96" s="44"/>
      <c r="K96" s="43"/>
    </row>
    <row r="97" spans="5:11" s="32" customFormat="1">
      <c r="E97" s="42"/>
      <c r="F97" s="43"/>
      <c r="H97" s="43"/>
      <c r="I97" s="44"/>
      <c r="J97" s="44"/>
      <c r="K97" s="43"/>
    </row>
    <row r="98" spans="5:11" s="32" customFormat="1">
      <c r="E98" s="42"/>
      <c r="F98" s="43"/>
      <c r="H98" s="43"/>
      <c r="I98" s="44"/>
      <c r="J98" s="44"/>
      <c r="K98" s="43"/>
    </row>
    <row r="99" spans="5:11" s="32" customFormat="1">
      <c r="E99" s="42"/>
      <c r="F99" s="43"/>
      <c r="H99" s="43"/>
      <c r="I99" s="44"/>
      <c r="J99" s="44"/>
      <c r="K99" s="43"/>
    </row>
    <row r="100" spans="5:11" s="32" customFormat="1">
      <c r="E100" s="42"/>
      <c r="F100" s="43"/>
      <c r="H100" s="43"/>
      <c r="I100" s="44"/>
      <c r="J100" s="44"/>
      <c r="K100" s="43"/>
    </row>
    <row r="101" spans="5:11" s="32" customFormat="1">
      <c r="E101" s="42"/>
      <c r="F101" s="43"/>
      <c r="H101" s="43"/>
      <c r="I101" s="44"/>
      <c r="J101" s="44"/>
      <c r="K101" s="43"/>
    </row>
    <row r="102" spans="5:11" s="32" customFormat="1">
      <c r="E102" s="42"/>
      <c r="F102" s="43"/>
      <c r="H102" s="43"/>
      <c r="I102" s="44"/>
      <c r="J102" s="44"/>
      <c r="K102" s="43"/>
    </row>
    <row r="103" spans="5:11" s="32" customFormat="1">
      <c r="E103" s="42"/>
      <c r="F103" s="43"/>
      <c r="H103" s="43"/>
      <c r="I103" s="44"/>
      <c r="J103" s="44"/>
      <c r="K103" s="43"/>
    </row>
    <row r="104" spans="5:11" s="32" customFormat="1">
      <c r="E104" s="42"/>
      <c r="F104" s="43"/>
      <c r="H104" s="43"/>
      <c r="I104" s="44"/>
      <c r="J104" s="44"/>
      <c r="K104" s="43"/>
    </row>
    <row r="105" spans="5:11" s="32" customFormat="1">
      <c r="E105" s="42"/>
      <c r="F105" s="43"/>
      <c r="H105" s="43"/>
      <c r="I105" s="44"/>
      <c r="J105" s="44"/>
      <c r="K105" s="43"/>
    </row>
    <row r="106" spans="5:11" s="32" customFormat="1">
      <c r="E106" s="42"/>
      <c r="F106" s="43"/>
      <c r="H106" s="43"/>
      <c r="I106" s="44"/>
      <c r="J106" s="44"/>
      <c r="K106" s="43"/>
    </row>
    <row r="107" spans="5:11" s="32" customFormat="1">
      <c r="E107" s="42"/>
      <c r="F107" s="43"/>
      <c r="H107" s="43"/>
      <c r="I107" s="44"/>
      <c r="J107" s="44"/>
      <c r="K107" s="43"/>
    </row>
    <row r="108" spans="5:11" s="32" customFormat="1">
      <c r="E108" s="42"/>
      <c r="F108" s="43"/>
      <c r="H108" s="43"/>
      <c r="I108" s="44"/>
      <c r="J108" s="44"/>
      <c r="K108" s="43"/>
    </row>
    <row r="109" spans="5:11" s="32" customFormat="1">
      <c r="E109" s="42"/>
      <c r="F109" s="43"/>
      <c r="H109" s="43"/>
      <c r="I109" s="44"/>
      <c r="J109" s="44"/>
      <c r="K109" s="43"/>
    </row>
    <row r="110" spans="5:11" s="32" customFormat="1">
      <c r="E110" s="42"/>
      <c r="F110" s="43"/>
      <c r="H110" s="43"/>
      <c r="I110" s="44"/>
      <c r="J110" s="44"/>
      <c r="K110" s="43"/>
    </row>
    <row r="111" spans="5:11" s="32" customFormat="1">
      <c r="E111" s="42"/>
      <c r="F111" s="43"/>
      <c r="H111" s="43"/>
      <c r="I111" s="44"/>
      <c r="J111" s="44"/>
      <c r="K111" s="43"/>
    </row>
    <row r="112" spans="5:11" s="32" customFormat="1">
      <c r="E112" s="42"/>
      <c r="F112" s="43"/>
      <c r="H112" s="43"/>
      <c r="I112" s="44"/>
      <c r="J112" s="44"/>
      <c r="K112" s="43"/>
    </row>
    <row r="113" spans="5:11" s="32" customFormat="1">
      <c r="E113" s="42"/>
      <c r="F113" s="43"/>
      <c r="H113" s="43"/>
      <c r="I113" s="44"/>
      <c r="J113" s="44"/>
      <c r="K113" s="43"/>
    </row>
    <row r="114" spans="5:11" s="32" customFormat="1">
      <c r="E114" s="42"/>
      <c r="F114" s="43"/>
      <c r="H114" s="43"/>
      <c r="I114" s="44"/>
      <c r="J114" s="44"/>
      <c r="K114" s="43"/>
    </row>
    <row r="115" spans="5:11" s="32" customFormat="1">
      <c r="E115" s="42"/>
      <c r="F115" s="43"/>
      <c r="H115" s="43"/>
      <c r="I115" s="44"/>
      <c r="J115" s="44"/>
      <c r="K115" s="43"/>
    </row>
    <row r="116" spans="5:11" s="32" customFormat="1">
      <c r="E116" s="42"/>
      <c r="F116" s="43"/>
      <c r="H116" s="43"/>
      <c r="I116" s="44"/>
      <c r="J116" s="44"/>
      <c r="K116" s="43"/>
    </row>
    <row r="117" spans="5:11" s="32" customFormat="1">
      <c r="E117" s="42"/>
      <c r="F117" s="43"/>
      <c r="H117" s="43"/>
      <c r="I117" s="44"/>
      <c r="J117" s="44"/>
      <c r="K117" s="43"/>
    </row>
    <row r="118" spans="5:11" s="32" customFormat="1">
      <c r="E118" s="42"/>
      <c r="F118" s="43"/>
      <c r="H118" s="43"/>
      <c r="I118" s="44"/>
      <c r="J118" s="44"/>
      <c r="K118" s="43"/>
    </row>
    <row r="119" spans="5:11" s="32" customFormat="1">
      <c r="E119" s="42"/>
      <c r="F119" s="43"/>
      <c r="H119" s="43"/>
      <c r="I119" s="44"/>
      <c r="J119" s="44"/>
      <c r="K119" s="43"/>
    </row>
    <row r="120" spans="5:11" s="32" customFormat="1">
      <c r="E120" s="42"/>
      <c r="F120" s="43"/>
      <c r="H120" s="43"/>
      <c r="I120" s="44"/>
      <c r="J120" s="44"/>
      <c r="K120" s="43"/>
    </row>
    <row r="121" spans="5:11" s="32" customFormat="1">
      <c r="E121" s="42"/>
      <c r="F121" s="43"/>
      <c r="H121" s="43"/>
      <c r="I121" s="44"/>
      <c r="J121" s="44"/>
      <c r="K121" s="43"/>
    </row>
    <row r="122" spans="5:11" s="32" customFormat="1">
      <c r="E122" s="42"/>
      <c r="F122" s="43"/>
      <c r="H122" s="43"/>
      <c r="I122" s="44"/>
      <c r="J122" s="44"/>
      <c r="K122" s="43"/>
    </row>
    <row r="123" spans="5:11" s="32" customFormat="1">
      <c r="E123" s="42"/>
      <c r="F123" s="43"/>
      <c r="H123" s="43"/>
      <c r="I123" s="44"/>
      <c r="J123" s="44"/>
      <c r="K123" s="43"/>
    </row>
    <row r="124" spans="5:11" s="32" customFormat="1">
      <c r="E124" s="42"/>
      <c r="F124" s="43"/>
      <c r="H124" s="43"/>
      <c r="I124" s="44"/>
      <c r="J124" s="44"/>
      <c r="K124" s="43"/>
    </row>
    <row r="125" spans="5:11" s="32" customFormat="1">
      <c r="E125" s="42"/>
      <c r="F125" s="43"/>
      <c r="H125" s="43"/>
      <c r="I125" s="44"/>
      <c r="J125" s="44"/>
      <c r="K125" s="43"/>
    </row>
    <row r="126" spans="5:11" s="32" customFormat="1">
      <c r="E126" s="42"/>
      <c r="F126" s="43"/>
      <c r="H126" s="43"/>
      <c r="I126" s="44"/>
      <c r="J126" s="44"/>
      <c r="K126" s="43"/>
    </row>
    <row r="127" spans="5:11" s="32" customFormat="1">
      <c r="E127" s="42"/>
      <c r="F127" s="43"/>
      <c r="H127" s="43"/>
      <c r="I127" s="44"/>
      <c r="J127" s="44"/>
      <c r="K127" s="43"/>
    </row>
    <row r="128" spans="5:11" s="32" customFormat="1">
      <c r="E128" s="42"/>
      <c r="F128" s="43"/>
      <c r="H128" s="43"/>
      <c r="I128" s="44"/>
      <c r="J128" s="44"/>
      <c r="K128" s="43"/>
    </row>
    <row r="129" spans="5:11" s="32" customFormat="1">
      <c r="E129" s="42"/>
      <c r="F129" s="43"/>
      <c r="H129" s="43"/>
      <c r="I129" s="44"/>
      <c r="J129" s="44"/>
      <c r="K129" s="43"/>
    </row>
    <row r="130" spans="5:11" s="32" customFormat="1">
      <c r="E130" s="42"/>
      <c r="F130" s="43"/>
      <c r="H130" s="43"/>
      <c r="I130" s="44"/>
      <c r="J130" s="44"/>
      <c r="K130" s="43"/>
    </row>
    <row r="131" spans="5:11" s="32" customFormat="1">
      <c r="E131" s="42"/>
      <c r="F131" s="43"/>
      <c r="H131" s="43"/>
      <c r="I131" s="44"/>
      <c r="J131" s="44"/>
      <c r="K131" s="43"/>
    </row>
    <row r="132" spans="5:11" s="32" customFormat="1">
      <c r="E132" s="42"/>
      <c r="F132" s="43"/>
      <c r="H132" s="43"/>
      <c r="I132" s="44"/>
      <c r="J132" s="44"/>
      <c r="K132" s="43"/>
    </row>
    <row r="133" spans="5:11" s="32" customFormat="1">
      <c r="E133" s="42"/>
      <c r="F133" s="43"/>
      <c r="H133" s="43"/>
      <c r="I133" s="44"/>
      <c r="J133" s="44"/>
      <c r="K133" s="43"/>
    </row>
    <row r="134" spans="5:11" s="32" customFormat="1">
      <c r="E134" s="42"/>
      <c r="F134" s="43"/>
      <c r="H134" s="43"/>
      <c r="I134" s="44"/>
      <c r="J134" s="44"/>
      <c r="K134" s="43"/>
    </row>
    <row r="135" spans="5:11" s="32" customFormat="1">
      <c r="E135" s="42"/>
      <c r="F135" s="43"/>
      <c r="H135" s="43"/>
      <c r="I135" s="44"/>
      <c r="J135" s="44"/>
      <c r="K135" s="43"/>
    </row>
    <row r="136" spans="5:11" s="32" customFormat="1">
      <c r="E136" s="42"/>
      <c r="F136" s="43"/>
      <c r="H136" s="43"/>
      <c r="I136" s="44"/>
      <c r="J136" s="44"/>
      <c r="K136" s="43"/>
    </row>
    <row r="137" spans="5:11" s="32" customFormat="1">
      <c r="E137" s="42"/>
      <c r="F137" s="43"/>
      <c r="H137" s="43"/>
      <c r="I137" s="44"/>
      <c r="J137" s="44"/>
      <c r="K137" s="43"/>
    </row>
    <row r="138" spans="5:11" s="32" customFormat="1">
      <c r="E138" s="42"/>
      <c r="F138" s="43"/>
      <c r="H138" s="43"/>
      <c r="I138" s="44"/>
      <c r="J138" s="44"/>
      <c r="K138" s="43"/>
    </row>
    <row r="139" spans="5:11" s="32" customFormat="1">
      <c r="E139" s="42"/>
      <c r="F139" s="43"/>
      <c r="H139" s="43"/>
      <c r="I139" s="44"/>
      <c r="J139" s="44"/>
      <c r="K139" s="43"/>
    </row>
    <row r="140" spans="5:11" s="32" customFormat="1">
      <c r="E140" s="42"/>
      <c r="F140" s="43"/>
      <c r="H140" s="43"/>
      <c r="I140" s="44"/>
      <c r="J140" s="44"/>
      <c r="K140" s="43"/>
    </row>
    <row r="141" spans="5:11" s="32" customFormat="1">
      <c r="E141" s="42"/>
      <c r="F141" s="43"/>
      <c r="H141" s="43"/>
      <c r="I141" s="44"/>
      <c r="J141" s="44"/>
      <c r="K141" s="43"/>
    </row>
    <row r="142" spans="5:11" s="32" customFormat="1">
      <c r="E142" s="42"/>
      <c r="F142" s="43"/>
      <c r="H142" s="43"/>
      <c r="I142" s="44"/>
      <c r="J142" s="44"/>
      <c r="K142" s="43"/>
    </row>
    <row r="143" spans="5:11" s="32" customFormat="1">
      <c r="E143" s="42"/>
      <c r="F143" s="43"/>
      <c r="H143" s="43"/>
      <c r="I143" s="44"/>
      <c r="J143" s="44"/>
      <c r="K143" s="43"/>
    </row>
    <row r="144" spans="5:11" s="32" customFormat="1">
      <c r="E144" s="42"/>
      <c r="F144" s="43"/>
      <c r="H144" s="43"/>
      <c r="I144" s="44"/>
      <c r="J144" s="44"/>
      <c r="K144" s="43"/>
    </row>
    <row r="145" spans="5:11" s="32" customFormat="1">
      <c r="E145" s="42"/>
      <c r="F145" s="43"/>
      <c r="H145" s="43"/>
      <c r="I145" s="44"/>
      <c r="J145" s="44"/>
      <c r="K145" s="43"/>
    </row>
    <row r="146" spans="5:11" s="32" customFormat="1">
      <c r="E146" s="42"/>
      <c r="F146" s="43"/>
      <c r="H146" s="43"/>
      <c r="I146" s="44"/>
      <c r="J146" s="44"/>
      <c r="K146" s="43"/>
    </row>
    <row r="147" spans="5:11" s="32" customFormat="1">
      <c r="E147" s="42"/>
      <c r="F147" s="43"/>
      <c r="H147" s="43"/>
      <c r="I147" s="44"/>
      <c r="J147" s="44"/>
      <c r="K147" s="43"/>
    </row>
    <row r="148" spans="5:11" s="32" customFormat="1">
      <c r="E148" s="42"/>
      <c r="F148" s="43"/>
      <c r="H148" s="43"/>
      <c r="I148" s="44"/>
      <c r="J148" s="44"/>
      <c r="K148" s="43"/>
    </row>
    <row r="149" spans="5:11" s="32" customFormat="1">
      <c r="E149" s="42"/>
      <c r="F149" s="43"/>
      <c r="H149" s="43"/>
      <c r="I149" s="44"/>
      <c r="J149" s="44"/>
      <c r="K149" s="43"/>
    </row>
    <row r="150" spans="5:11" s="32" customFormat="1">
      <c r="E150" s="42"/>
      <c r="F150" s="43"/>
      <c r="H150" s="43"/>
      <c r="I150" s="44"/>
      <c r="J150" s="44"/>
      <c r="K150" s="43"/>
    </row>
    <row r="151" spans="5:11" s="32" customFormat="1">
      <c r="E151" s="42"/>
      <c r="F151" s="43"/>
      <c r="H151" s="43"/>
      <c r="I151" s="44"/>
      <c r="J151" s="44"/>
      <c r="K151" s="43"/>
    </row>
    <row r="152" spans="5:11" s="32" customFormat="1">
      <c r="E152" s="42"/>
      <c r="F152" s="43"/>
      <c r="H152" s="43"/>
      <c r="I152" s="44"/>
      <c r="J152" s="44"/>
      <c r="K152" s="43"/>
    </row>
    <row r="153" spans="5:11" s="32" customFormat="1">
      <c r="E153" s="42"/>
      <c r="F153" s="43"/>
      <c r="H153" s="43"/>
      <c r="I153" s="44"/>
      <c r="J153" s="44"/>
      <c r="K153" s="43"/>
    </row>
    <row r="154" spans="5:11" s="32" customFormat="1">
      <c r="E154" s="42"/>
      <c r="F154" s="43"/>
      <c r="H154" s="43"/>
      <c r="I154" s="44"/>
      <c r="J154" s="44"/>
      <c r="K154" s="43"/>
    </row>
    <row r="155" spans="5:11" s="32" customFormat="1">
      <c r="E155" s="42"/>
      <c r="F155" s="43"/>
      <c r="H155" s="43"/>
      <c r="I155" s="44"/>
      <c r="J155" s="44"/>
      <c r="K155" s="43"/>
    </row>
    <row r="156" spans="5:11" s="32" customFormat="1">
      <c r="E156" s="42"/>
      <c r="F156" s="43"/>
      <c r="H156" s="43"/>
      <c r="I156" s="44"/>
      <c r="J156" s="44"/>
      <c r="K156" s="43"/>
    </row>
    <row r="157" spans="5:11" s="32" customFormat="1">
      <c r="E157" s="42"/>
      <c r="F157" s="43"/>
      <c r="H157" s="43"/>
      <c r="I157" s="44"/>
      <c r="J157" s="44"/>
      <c r="K157" s="43"/>
    </row>
    <row r="158" spans="5:11" s="32" customFormat="1">
      <c r="E158" s="42"/>
      <c r="F158" s="43"/>
      <c r="H158" s="43"/>
      <c r="I158" s="44"/>
      <c r="J158" s="44"/>
      <c r="K158" s="43"/>
    </row>
    <row r="159" spans="5:11" s="32" customFormat="1">
      <c r="E159" s="42"/>
      <c r="F159" s="43"/>
      <c r="H159" s="43"/>
      <c r="I159" s="44"/>
      <c r="J159" s="44"/>
      <c r="K159" s="43"/>
    </row>
    <row r="160" spans="5:11" s="32" customFormat="1">
      <c r="E160" s="42"/>
      <c r="F160" s="43"/>
      <c r="H160" s="43"/>
      <c r="I160" s="44"/>
      <c r="J160" s="44"/>
      <c r="K160" s="43"/>
    </row>
    <row r="161" spans="5:11" s="32" customFormat="1">
      <c r="E161" s="42"/>
      <c r="F161" s="43"/>
      <c r="H161" s="43"/>
      <c r="I161" s="44"/>
      <c r="J161" s="44"/>
      <c r="K161" s="43"/>
    </row>
    <row r="162" spans="5:11" s="32" customFormat="1">
      <c r="E162" s="42"/>
      <c r="F162" s="43"/>
      <c r="H162" s="43"/>
      <c r="I162" s="44"/>
      <c r="J162" s="44"/>
      <c r="K162" s="43"/>
    </row>
    <row r="163" spans="5:11" s="32" customFormat="1">
      <c r="E163" s="42"/>
      <c r="F163" s="43"/>
      <c r="H163" s="43"/>
      <c r="I163" s="44"/>
      <c r="J163" s="44"/>
      <c r="K163" s="43"/>
    </row>
    <row r="164" spans="5:11" s="32" customFormat="1">
      <c r="E164" s="42"/>
      <c r="F164" s="43"/>
      <c r="H164" s="43"/>
      <c r="I164" s="44"/>
      <c r="J164" s="44"/>
      <c r="K164" s="43"/>
    </row>
    <row r="165" spans="5:11" s="32" customFormat="1">
      <c r="E165" s="42"/>
      <c r="F165" s="43"/>
      <c r="H165" s="43"/>
      <c r="I165" s="44"/>
      <c r="J165" s="44"/>
      <c r="K165" s="43"/>
    </row>
    <row r="166" spans="5:11" s="32" customFormat="1">
      <c r="E166" s="42"/>
      <c r="F166" s="43"/>
      <c r="H166" s="43"/>
      <c r="I166" s="44"/>
      <c r="J166" s="44"/>
      <c r="K166" s="43"/>
    </row>
    <row r="167" spans="5:11" s="32" customFormat="1">
      <c r="E167" s="42"/>
      <c r="F167" s="43"/>
      <c r="H167" s="43"/>
      <c r="I167" s="44"/>
      <c r="J167" s="44"/>
      <c r="K167" s="43"/>
    </row>
    <row r="168" spans="5:11" s="32" customFormat="1">
      <c r="E168" s="42"/>
      <c r="F168" s="43"/>
      <c r="H168" s="43"/>
      <c r="I168" s="44"/>
      <c r="J168" s="44"/>
      <c r="K168" s="43"/>
    </row>
    <row r="169" spans="5:11" s="32" customFormat="1">
      <c r="E169" s="42"/>
      <c r="F169" s="43"/>
      <c r="H169" s="43"/>
      <c r="I169" s="44"/>
      <c r="J169" s="44"/>
      <c r="K169" s="43"/>
    </row>
    <row r="170" spans="5:11" s="32" customFormat="1">
      <c r="E170" s="42"/>
      <c r="F170" s="43"/>
      <c r="H170" s="43"/>
      <c r="I170" s="44"/>
      <c r="J170" s="44"/>
      <c r="K170" s="43"/>
    </row>
    <row r="171" spans="5:11" s="32" customFormat="1">
      <c r="E171" s="42"/>
      <c r="F171" s="43"/>
      <c r="H171" s="43"/>
      <c r="I171" s="44"/>
      <c r="J171" s="44"/>
      <c r="K171" s="43"/>
    </row>
    <row r="172" spans="5:11" s="32" customFormat="1">
      <c r="E172" s="42"/>
      <c r="F172" s="43"/>
      <c r="H172" s="43"/>
      <c r="I172" s="44"/>
      <c r="J172" s="44"/>
      <c r="K172" s="43"/>
    </row>
    <row r="173" spans="5:11" s="32" customFormat="1">
      <c r="E173" s="42"/>
      <c r="F173" s="43"/>
      <c r="H173" s="43"/>
      <c r="I173" s="44"/>
      <c r="J173" s="44"/>
      <c r="K173" s="43"/>
    </row>
    <row r="174" spans="5:11" s="32" customFormat="1">
      <c r="E174" s="42"/>
      <c r="F174" s="43"/>
      <c r="H174" s="43"/>
      <c r="I174" s="44"/>
      <c r="J174" s="44"/>
      <c r="K174" s="43"/>
    </row>
    <row r="175" spans="5:11" s="32" customFormat="1">
      <c r="E175" s="42"/>
      <c r="F175" s="43"/>
      <c r="H175" s="43"/>
      <c r="I175" s="44"/>
      <c r="J175" s="44"/>
      <c r="K175" s="43"/>
    </row>
    <row r="176" spans="5:11" s="32" customFormat="1">
      <c r="E176" s="42"/>
      <c r="F176" s="43"/>
      <c r="H176" s="43"/>
      <c r="I176" s="44"/>
      <c r="J176" s="44"/>
      <c r="K176" s="43"/>
    </row>
    <row r="177" spans="5:11" s="32" customFormat="1">
      <c r="E177" s="42"/>
      <c r="F177" s="43"/>
      <c r="H177" s="43"/>
      <c r="I177" s="44"/>
      <c r="J177" s="44"/>
      <c r="K177" s="43"/>
    </row>
    <row r="178" spans="5:11" s="32" customFormat="1">
      <c r="E178" s="42"/>
      <c r="F178" s="43"/>
      <c r="H178" s="43"/>
      <c r="I178" s="44"/>
      <c r="J178" s="44"/>
      <c r="K178" s="43"/>
    </row>
    <row r="179" spans="5:11" s="32" customFormat="1">
      <c r="E179" s="42"/>
      <c r="F179" s="43"/>
      <c r="H179" s="43"/>
      <c r="I179" s="44"/>
      <c r="J179" s="44"/>
      <c r="K179" s="43"/>
    </row>
    <row r="180" spans="5:11" s="32" customFormat="1">
      <c r="E180" s="42"/>
      <c r="F180" s="43"/>
      <c r="H180" s="43"/>
      <c r="I180" s="44"/>
      <c r="J180" s="44"/>
      <c r="K180" s="43"/>
    </row>
    <row r="181" spans="5:11" s="32" customFormat="1">
      <c r="E181" s="42"/>
      <c r="F181" s="43"/>
      <c r="H181" s="43"/>
      <c r="I181" s="44"/>
      <c r="J181" s="44"/>
      <c r="K181" s="43"/>
    </row>
    <row r="182" spans="5:11" s="32" customFormat="1">
      <c r="E182" s="42"/>
      <c r="F182" s="43"/>
      <c r="H182" s="43"/>
      <c r="I182" s="44"/>
      <c r="J182" s="44"/>
      <c r="K182" s="43"/>
    </row>
    <row r="183" spans="5:11" s="32" customFormat="1">
      <c r="E183" s="42"/>
      <c r="F183" s="43"/>
      <c r="H183" s="43"/>
      <c r="I183" s="44"/>
      <c r="J183" s="44"/>
      <c r="K183" s="43"/>
    </row>
    <row r="184" spans="5:11" s="32" customFormat="1">
      <c r="E184" s="42"/>
      <c r="F184" s="43"/>
      <c r="H184" s="43"/>
      <c r="I184" s="44"/>
      <c r="J184" s="44"/>
      <c r="K184" s="43"/>
    </row>
    <row r="185" spans="5:11" s="32" customFormat="1">
      <c r="E185" s="42"/>
      <c r="F185" s="43"/>
      <c r="H185" s="43"/>
      <c r="I185" s="44"/>
      <c r="J185" s="44"/>
      <c r="K185" s="43"/>
    </row>
    <row r="186" spans="5:11" s="32" customFormat="1">
      <c r="E186" s="42"/>
      <c r="F186" s="43"/>
      <c r="H186" s="43"/>
      <c r="I186" s="44"/>
      <c r="J186" s="44"/>
      <c r="K186" s="43"/>
    </row>
    <row r="187" spans="5:11" s="32" customFormat="1">
      <c r="E187" s="42"/>
      <c r="F187" s="43"/>
      <c r="H187" s="43"/>
      <c r="I187" s="44"/>
      <c r="J187" s="44"/>
      <c r="K187" s="43"/>
    </row>
    <row r="188" spans="5:11" s="32" customFormat="1">
      <c r="E188" s="42"/>
      <c r="F188" s="43"/>
      <c r="H188" s="43"/>
      <c r="I188" s="44"/>
      <c r="J188" s="44"/>
      <c r="K188" s="43"/>
    </row>
    <row r="189" spans="5:11" s="32" customFormat="1">
      <c r="E189" s="42"/>
      <c r="F189" s="43"/>
      <c r="H189" s="43"/>
      <c r="I189" s="44"/>
      <c r="J189" s="44"/>
      <c r="K189" s="43"/>
    </row>
    <row r="190" spans="5:11" s="32" customFormat="1">
      <c r="E190" s="42"/>
      <c r="F190" s="43"/>
      <c r="H190" s="43"/>
      <c r="I190" s="44"/>
      <c r="J190" s="44"/>
      <c r="K190" s="43"/>
    </row>
    <row r="191" spans="5:11" s="32" customFormat="1">
      <c r="E191" s="42"/>
      <c r="F191" s="43"/>
      <c r="H191" s="43"/>
      <c r="I191" s="44"/>
      <c r="J191" s="44"/>
      <c r="K191" s="43"/>
    </row>
    <row r="192" spans="5:11" s="32" customFormat="1">
      <c r="E192" s="42"/>
      <c r="F192" s="43"/>
      <c r="H192" s="43"/>
      <c r="I192" s="44"/>
      <c r="J192" s="44"/>
      <c r="K192" s="43"/>
    </row>
    <row r="193" spans="5:11" s="32" customFormat="1">
      <c r="E193" s="42"/>
      <c r="F193" s="43"/>
      <c r="H193" s="43"/>
      <c r="I193" s="44"/>
      <c r="J193" s="44"/>
      <c r="K193" s="43"/>
    </row>
    <row r="194" spans="5:11" s="32" customFormat="1">
      <c r="E194" s="42"/>
      <c r="F194" s="43"/>
      <c r="H194" s="43"/>
      <c r="I194" s="44"/>
      <c r="J194" s="44"/>
      <c r="K194" s="43"/>
    </row>
    <row r="195" spans="5:11" s="32" customFormat="1">
      <c r="E195" s="42"/>
      <c r="F195" s="43"/>
      <c r="H195" s="43"/>
      <c r="I195" s="44"/>
      <c r="J195" s="44"/>
      <c r="K195" s="43"/>
    </row>
    <row r="196" spans="5:11" s="32" customFormat="1">
      <c r="E196" s="42"/>
      <c r="F196" s="43"/>
      <c r="H196" s="43"/>
      <c r="I196" s="44"/>
      <c r="J196" s="44"/>
      <c r="K196" s="43"/>
    </row>
    <row r="197" spans="5:11" s="32" customFormat="1">
      <c r="E197" s="42"/>
      <c r="F197" s="43"/>
      <c r="H197" s="43"/>
      <c r="I197" s="44"/>
      <c r="J197" s="44"/>
      <c r="K197" s="43"/>
    </row>
    <row r="198" spans="5:11" s="32" customFormat="1">
      <c r="E198" s="42"/>
      <c r="F198" s="43"/>
      <c r="H198" s="43"/>
      <c r="I198" s="44"/>
      <c r="J198" s="44"/>
      <c r="K198" s="43"/>
    </row>
    <row r="199" spans="5:11" s="32" customFormat="1">
      <c r="E199" s="42"/>
      <c r="F199" s="43"/>
      <c r="H199" s="43"/>
      <c r="I199" s="44"/>
      <c r="J199" s="44"/>
      <c r="K199" s="43"/>
    </row>
    <row r="200" spans="5:11" s="32" customFormat="1">
      <c r="E200" s="42"/>
      <c r="F200" s="43"/>
      <c r="H200" s="43"/>
      <c r="I200" s="44"/>
      <c r="J200" s="44"/>
      <c r="K200" s="43"/>
    </row>
    <row r="201" spans="5:11" s="32" customFormat="1">
      <c r="E201" s="42"/>
      <c r="F201" s="43"/>
      <c r="H201" s="43"/>
      <c r="I201" s="44"/>
      <c r="J201" s="44"/>
      <c r="K201" s="43"/>
    </row>
    <row r="202" spans="5:11" s="32" customFormat="1">
      <c r="E202" s="42"/>
      <c r="F202" s="43"/>
      <c r="H202" s="43"/>
      <c r="I202" s="44"/>
      <c r="J202" s="44"/>
      <c r="K202" s="43"/>
    </row>
    <row r="203" spans="5:11" s="32" customFormat="1">
      <c r="E203" s="42"/>
      <c r="F203" s="43"/>
      <c r="H203" s="43"/>
      <c r="I203" s="44"/>
      <c r="J203" s="44"/>
      <c r="K203" s="43"/>
    </row>
    <row r="204" spans="5:11" s="32" customFormat="1">
      <c r="E204" s="42"/>
      <c r="F204" s="43"/>
      <c r="H204" s="43"/>
      <c r="I204" s="44"/>
      <c r="J204" s="44"/>
      <c r="K204" s="43"/>
    </row>
    <row r="205" spans="5:11" s="32" customFormat="1">
      <c r="E205" s="42"/>
      <c r="F205" s="43"/>
      <c r="H205" s="43"/>
      <c r="I205" s="44"/>
      <c r="J205" s="44"/>
      <c r="K205" s="43"/>
    </row>
    <row r="206" spans="5:11" s="32" customFormat="1">
      <c r="E206" s="42"/>
      <c r="F206" s="43"/>
      <c r="H206" s="43"/>
      <c r="I206" s="44"/>
      <c r="J206" s="44"/>
      <c r="K206" s="43"/>
    </row>
    <row r="207" spans="5:11" s="32" customFormat="1">
      <c r="E207" s="42"/>
      <c r="F207" s="43"/>
      <c r="H207" s="43"/>
      <c r="I207" s="44"/>
      <c r="J207" s="44"/>
      <c r="K207" s="43"/>
    </row>
    <row r="208" spans="5:11" s="32" customFormat="1">
      <c r="E208" s="42"/>
      <c r="F208" s="43"/>
      <c r="H208" s="43"/>
      <c r="I208" s="44"/>
      <c r="J208" s="44"/>
      <c r="K208" s="43"/>
    </row>
    <row r="209" spans="5:11" s="32" customFormat="1">
      <c r="E209" s="42"/>
      <c r="F209" s="43"/>
      <c r="H209" s="43"/>
      <c r="I209" s="44"/>
      <c r="J209" s="44"/>
      <c r="K209" s="43"/>
    </row>
    <row r="210" spans="5:11" s="32" customFormat="1">
      <c r="E210" s="42"/>
      <c r="F210" s="43"/>
      <c r="H210" s="43"/>
      <c r="I210" s="44"/>
      <c r="J210" s="44"/>
      <c r="K210" s="43"/>
    </row>
    <row r="211" spans="5:11" s="32" customFormat="1">
      <c r="E211" s="42"/>
      <c r="F211" s="43"/>
      <c r="H211" s="43"/>
      <c r="I211" s="44"/>
      <c r="J211" s="44"/>
      <c r="K211" s="43"/>
    </row>
    <row r="212" spans="5:11" s="32" customFormat="1">
      <c r="E212" s="42"/>
      <c r="F212" s="43"/>
      <c r="H212" s="43"/>
      <c r="I212" s="44"/>
      <c r="J212" s="44"/>
      <c r="K212" s="43"/>
    </row>
    <row r="213" spans="5:11" s="32" customFormat="1">
      <c r="E213" s="42"/>
      <c r="F213" s="43"/>
      <c r="H213" s="43"/>
      <c r="I213" s="44"/>
      <c r="J213" s="44"/>
      <c r="K213" s="43"/>
    </row>
    <row r="214" spans="5:11" s="32" customFormat="1">
      <c r="E214" s="42"/>
      <c r="F214" s="43"/>
      <c r="H214" s="43"/>
      <c r="I214" s="44"/>
      <c r="J214" s="44"/>
      <c r="K214" s="43"/>
    </row>
    <row r="215" spans="5:11" s="32" customFormat="1">
      <c r="E215" s="42"/>
      <c r="F215" s="43"/>
      <c r="H215" s="43"/>
      <c r="I215" s="44"/>
      <c r="J215" s="44"/>
      <c r="K215" s="43"/>
    </row>
    <row r="216" spans="5:11" s="32" customFormat="1">
      <c r="E216" s="42"/>
      <c r="F216" s="43"/>
      <c r="H216" s="43"/>
      <c r="I216" s="44"/>
      <c r="J216" s="44"/>
      <c r="K216" s="43"/>
    </row>
    <row r="217" spans="5:11" s="32" customFormat="1">
      <c r="E217" s="42"/>
      <c r="F217" s="43"/>
      <c r="H217" s="43"/>
      <c r="I217" s="44"/>
      <c r="J217" s="44"/>
      <c r="K217" s="43"/>
    </row>
    <row r="218" spans="5:11" s="32" customFormat="1">
      <c r="E218" s="42"/>
      <c r="F218" s="43"/>
      <c r="H218" s="43"/>
      <c r="I218" s="44"/>
      <c r="J218" s="44"/>
      <c r="K218" s="43"/>
    </row>
    <row r="219" spans="5:11" s="32" customFormat="1">
      <c r="E219" s="42"/>
      <c r="F219" s="43"/>
      <c r="H219" s="43"/>
      <c r="I219" s="44"/>
      <c r="J219" s="44"/>
      <c r="K219" s="43"/>
    </row>
    <row r="220" spans="5:11" s="32" customFormat="1">
      <c r="E220" s="42"/>
      <c r="F220" s="43"/>
      <c r="H220" s="43"/>
      <c r="I220" s="44"/>
      <c r="J220" s="44"/>
      <c r="K220" s="43"/>
    </row>
    <row r="221" spans="5:11" s="32" customFormat="1">
      <c r="E221" s="42"/>
      <c r="F221" s="43"/>
      <c r="H221" s="43"/>
      <c r="I221" s="44"/>
      <c r="J221" s="44"/>
      <c r="K221" s="43"/>
    </row>
    <row r="222" spans="5:11" s="32" customFormat="1">
      <c r="E222" s="42"/>
      <c r="F222" s="43"/>
      <c r="H222" s="43"/>
      <c r="I222" s="44"/>
      <c r="J222" s="44"/>
      <c r="K222" s="43"/>
    </row>
    <row r="223" spans="5:11" s="32" customFormat="1">
      <c r="E223" s="42"/>
      <c r="F223" s="43"/>
      <c r="H223" s="43"/>
      <c r="I223" s="44"/>
      <c r="J223" s="44"/>
      <c r="K223" s="43"/>
    </row>
    <row r="224" spans="5:11" s="32" customFormat="1">
      <c r="E224" s="42"/>
      <c r="F224" s="43"/>
      <c r="H224" s="43"/>
      <c r="I224" s="44"/>
      <c r="J224" s="44"/>
      <c r="K224" s="43"/>
    </row>
    <row r="225" spans="5:11" s="32" customFormat="1">
      <c r="E225" s="42"/>
      <c r="F225" s="43"/>
      <c r="H225" s="43"/>
      <c r="I225" s="44"/>
      <c r="J225" s="44"/>
      <c r="K225" s="43"/>
    </row>
    <row r="226" spans="5:11" s="32" customFormat="1">
      <c r="E226" s="42"/>
      <c r="F226" s="43"/>
      <c r="H226" s="43"/>
      <c r="I226" s="44"/>
      <c r="J226" s="44"/>
      <c r="K226" s="43"/>
    </row>
    <row r="227" spans="5:11" s="32" customFormat="1">
      <c r="E227" s="42"/>
      <c r="F227" s="43"/>
      <c r="H227" s="43"/>
      <c r="I227" s="44"/>
      <c r="J227" s="44"/>
      <c r="K227" s="43"/>
    </row>
    <row r="228" spans="5:11" s="32" customFormat="1">
      <c r="E228" s="42"/>
      <c r="F228" s="43"/>
      <c r="H228" s="43"/>
      <c r="I228" s="44"/>
      <c r="J228" s="44"/>
      <c r="K228" s="43"/>
    </row>
    <row r="229" spans="5:11" s="32" customFormat="1">
      <c r="E229" s="42"/>
      <c r="F229" s="43"/>
      <c r="H229" s="43"/>
      <c r="I229" s="44"/>
      <c r="J229" s="44"/>
      <c r="K229" s="43"/>
    </row>
    <row r="230" spans="5:11" s="32" customFormat="1">
      <c r="E230" s="42"/>
      <c r="F230" s="43"/>
      <c r="H230" s="43"/>
      <c r="I230" s="44"/>
      <c r="J230" s="44"/>
      <c r="K230" s="43"/>
    </row>
    <row r="231" spans="5:11" s="32" customFormat="1">
      <c r="E231" s="42"/>
      <c r="F231" s="43"/>
      <c r="H231" s="43"/>
      <c r="I231" s="44"/>
      <c r="J231" s="44"/>
      <c r="K231" s="43"/>
    </row>
    <row r="232" spans="5:11" s="32" customFormat="1">
      <c r="E232" s="42"/>
      <c r="F232" s="43"/>
      <c r="H232" s="43"/>
      <c r="I232" s="44"/>
      <c r="J232" s="44"/>
      <c r="K232" s="43"/>
    </row>
    <row r="233" spans="5:11" s="32" customFormat="1">
      <c r="E233" s="42"/>
      <c r="F233" s="43"/>
      <c r="H233" s="43"/>
      <c r="I233" s="44"/>
      <c r="J233" s="44"/>
      <c r="K233" s="43"/>
    </row>
    <row r="234" spans="5:11" s="32" customFormat="1">
      <c r="E234" s="42"/>
      <c r="F234" s="43"/>
      <c r="H234" s="43"/>
      <c r="I234" s="44"/>
      <c r="J234" s="44"/>
      <c r="K234" s="43"/>
    </row>
    <row r="235" spans="5:11" s="32" customFormat="1">
      <c r="E235" s="42"/>
      <c r="F235" s="43"/>
      <c r="H235" s="43"/>
      <c r="I235" s="44"/>
      <c r="J235" s="44"/>
      <c r="K235" s="43"/>
    </row>
    <row r="236" spans="5:11" s="32" customFormat="1">
      <c r="E236" s="42"/>
      <c r="F236" s="43"/>
      <c r="H236" s="43"/>
      <c r="I236" s="44"/>
      <c r="J236" s="44"/>
      <c r="K236" s="43"/>
    </row>
    <row r="237" spans="5:11" s="32" customFormat="1">
      <c r="E237" s="42"/>
      <c r="F237" s="43"/>
      <c r="H237" s="43"/>
      <c r="I237" s="44"/>
      <c r="J237" s="44"/>
      <c r="K237" s="43"/>
    </row>
    <row r="238" spans="5:11" s="32" customFormat="1">
      <c r="E238" s="42"/>
      <c r="F238" s="43"/>
      <c r="H238" s="43"/>
      <c r="I238" s="44"/>
      <c r="J238" s="44"/>
      <c r="K238" s="43"/>
    </row>
    <row r="239" spans="5:11" s="32" customFormat="1">
      <c r="E239" s="42"/>
      <c r="F239" s="43"/>
      <c r="H239" s="43"/>
      <c r="I239" s="44"/>
      <c r="J239" s="44"/>
      <c r="K239" s="43"/>
    </row>
    <row r="240" spans="5:11" s="32" customFormat="1">
      <c r="E240" s="42"/>
      <c r="F240" s="43"/>
      <c r="H240" s="43"/>
      <c r="I240" s="44"/>
      <c r="J240" s="44"/>
      <c r="K240" s="43"/>
    </row>
    <row r="241" spans="5:11" s="32" customFormat="1">
      <c r="E241" s="42"/>
      <c r="F241" s="43"/>
      <c r="H241" s="43"/>
      <c r="I241" s="44"/>
      <c r="J241" s="44"/>
      <c r="K241" s="43"/>
    </row>
    <row r="242" spans="5:11" s="32" customFormat="1">
      <c r="E242" s="42"/>
      <c r="F242" s="43"/>
      <c r="H242" s="43"/>
      <c r="I242" s="44"/>
      <c r="J242" s="44"/>
      <c r="K242" s="43"/>
    </row>
    <row r="243" spans="5:11" s="32" customFormat="1">
      <c r="E243" s="42"/>
      <c r="F243" s="43"/>
      <c r="H243" s="43"/>
      <c r="I243" s="44"/>
      <c r="J243" s="44"/>
      <c r="K243" s="43"/>
    </row>
    <row r="244" spans="5:11" s="32" customFormat="1">
      <c r="E244" s="42"/>
      <c r="F244" s="43"/>
      <c r="H244" s="43"/>
      <c r="I244" s="44"/>
      <c r="J244" s="44"/>
      <c r="K244" s="43"/>
    </row>
    <row r="245" spans="5:11" s="32" customFormat="1">
      <c r="E245" s="42"/>
      <c r="F245" s="43"/>
      <c r="H245" s="43"/>
      <c r="I245" s="44"/>
      <c r="J245" s="44"/>
      <c r="K245" s="43"/>
    </row>
    <row r="246" spans="5:11" s="32" customFormat="1">
      <c r="E246" s="42"/>
      <c r="F246" s="43"/>
      <c r="H246" s="43"/>
      <c r="I246" s="44"/>
      <c r="J246" s="44"/>
      <c r="K246" s="43"/>
    </row>
    <row r="247" spans="5:11" s="32" customFormat="1">
      <c r="E247" s="42"/>
      <c r="F247" s="43"/>
      <c r="H247" s="43"/>
      <c r="I247" s="44"/>
      <c r="J247" s="44"/>
      <c r="K247" s="43"/>
    </row>
    <row r="248" spans="5:11" s="32" customFormat="1">
      <c r="E248" s="42"/>
      <c r="F248" s="43"/>
      <c r="H248" s="43"/>
      <c r="I248" s="44"/>
      <c r="J248" s="44"/>
      <c r="K248" s="43"/>
    </row>
    <row r="249" spans="5:11" s="32" customFormat="1">
      <c r="E249" s="42"/>
      <c r="F249" s="43"/>
      <c r="H249" s="43"/>
      <c r="I249" s="44"/>
      <c r="J249" s="44"/>
      <c r="K249" s="43"/>
    </row>
    <row r="250" spans="5:11" s="32" customFormat="1">
      <c r="E250" s="42"/>
      <c r="F250" s="43"/>
      <c r="H250" s="43"/>
      <c r="I250" s="44"/>
      <c r="J250" s="44"/>
      <c r="K250" s="43"/>
    </row>
    <row r="251" spans="5:11" s="32" customFormat="1">
      <c r="E251" s="42"/>
      <c r="F251" s="43"/>
      <c r="H251" s="43"/>
      <c r="I251" s="44"/>
      <c r="J251" s="44"/>
      <c r="K251" s="43"/>
    </row>
    <row r="252" spans="5:11" s="32" customFormat="1">
      <c r="E252" s="42"/>
      <c r="F252" s="43"/>
      <c r="H252" s="43"/>
      <c r="I252" s="44"/>
      <c r="J252" s="44"/>
      <c r="K252" s="43"/>
    </row>
    <row r="253" spans="5:11" s="32" customFormat="1">
      <c r="E253" s="42"/>
      <c r="F253" s="43"/>
      <c r="H253" s="43"/>
      <c r="I253" s="44"/>
      <c r="J253" s="44"/>
      <c r="K253" s="43"/>
    </row>
    <row r="254" spans="5:11" s="32" customFormat="1">
      <c r="E254" s="42"/>
      <c r="F254" s="43"/>
      <c r="H254" s="43"/>
      <c r="I254" s="44"/>
      <c r="J254" s="44"/>
      <c r="K254" s="43"/>
    </row>
    <row r="255" spans="5:11" s="32" customFormat="1">
      <c r="E255" s="42"/>
      <c r="F255" s="43"/>
      <c r="H255" s="43"/>
      <c r="I255" s="44"/>
      <c r="J255" s="44"/>
      <c r="K255" s="43"/>
    </row>
    <row r="256" spans="5:11" s="32" customFormat="1">
      <c r="E256" s="42"/>
      <c r="F256" s="43"/>
      <c r="H256" s="43"/>
      <c r="I256" s="44"/>
      <c r="J256" s="44"/>
      <c r="K256" s="43"/>
    </row>
    <row r="257" spans="5:11" s="32" customFormat="1">
      <c r="E257" s="42"/>
      <c r="F257" s="43"/>
      <c r="H257" s="43"/>
      <c r="I257" s="44"/>
      <c r="J257" s="44"/>
      <c r="K257" s="43"/>
    </row>
    <row r="258" spans="5:11" s="32" customFormat="1">
      <c r="E258" s="42"/>
      <c r="F258" s="43"/>
      <c r="H258" s="43"/>
      <c r="I258" s="44"/>
      <c r="J258" s="44"/>
      <c r="K258" s="43"/>
    </row>
    <row r="259" spans="5:11" s="32" customFormat="1">
      <c r="E259" s="42"/>
      <c r="F259" s="43"/>
      <c r="H259" s="43"/>
      <c r="I259" s="44"/>
      <c r="J259" s="44"/>
      <c r="K259" s="43"/>
    </row>
    <row r="260" spans="5:11" s="32" customFormat="1">
      <c r="E260" s="42"/>
      <c r="F260" s="43"/>
      <c r="H260" s="43"/>
      <c r="I260" s="44"/>
      <c r="J260" s="44"/>
      <c r="K260" s="43"/>
    </row>
    <row r="261" spans="5:11" s="32" customFormat="1">
      <c r="E261" s="42"/>
      <c r="F261" s="43"/>
      <c r="H261" s="43"/>
      <c r="I261" s="44"/>
      <c r="J261" s="44"/>
      <c r="K261" s="43"/>
    </row>
    <row r="262" spans="5:11" s="32" customFormat="1">
      <c r="E262" s="42"/>
      <c r="F262" s="43"/>
      <c r="H262" s="43"/>
      <c r="I262" s="44"/>
      <c r="J262" s="44"/>
      <c r="K262" s="43"/>
    </row>
    <row r="263" spans="5:11" s="32" customFormat="1">
      <c r="E263" s="42"/>
      <c r="F263" s="43"/>
      <c r="H263" s="43"/>
      <c r="I263" s="44"/>
      <c r="J263" s="44"/>
      <c r="K263" s="43"/>
    </row>
    <row r="264" spans="5:11" s="32" customFormat="1">
      <c r="E264" s="42"/>
      <c r="F264" s="43"/>
      <c r="H264" s="43"/>
      <c r="I264" s="44"/>
      <c r="J264" s="44"/>
      <c r="K264" s="43"/>
    </row>
    <row r="265" spans="5:11" s="32" customFormat="1">
      <c r="E265" s="42"/>
      <c r="F265" s="43"/>
      <c r="H265" s="43"/>
      <c r="I265" s="44"/>
      <c r="J265" s="44"/>
      <c r="K265" s="43"/>
    </row>
    <row r="266" spans="5:11" s="32" customFormat="1">
      <c r="E266" s="42"/>
      <c r="F266" s="43"/>
      <c r="H266" s="43"/>
      <c r="I266" s="44"/>
      <c r="J266" s="44"/>
      <c r="K266" s="43"/>
    </row>
    <row r="267" spans="5:11" s="32" customFormat="1">
      <c r="E267" s="42"/>
      <c r="F267" s="43"/>
      <c r="H267" s="43"/>
      <c r="I267" s="44"/>
      <c r="J267" s="44"/>
      <c r="K267" s="43"/>
    </row>
    <row r="268" spans="5:11" s="32" customFormat="1">
      <c r="E268" s="42"/>
      <c r="F268" s="43"/>
      <c r="H268" s="43"/>
      <c r="I268" s="44"/>
      <c r="J268" s="44"/>
      <c r="K268" s="43"/>
    </row>
    <row r="269" spans="5:11" s="32" customFormat="1">
      <c r="E269" s="42"/>
      <c r="F269" s="43"/>
      <c r="H269" s="43"/>
      <c r="I269" s="44"/>
      <c r="J269" s="44"/>
      <c r="K269" s="43"/>
    </row>
    <row r="270" spans="5:11" s="32" customFormat="1">
      <c r="E270" s="42"/>
      <c r="F270" s="43"/>
      <c r="H270" s="43"/>
      <c r="I270" s="44"/>
      <c r="J270" s="44"/>
      <c r="K270" s="43"/>
    </row>
    <row r="271" spans="5:11" s="32" customFormat="1">
      <c r="E271" s="42"/>
      <c r="F271" s="43"/>
      <c r="H271" s="43"/>
      <c r="I271" s="44"/>
      <c r="J271" s="44"/>
      <c r="K271" s="43"/>
    </row>
    <row r="272" spans="5:11" s="32" customFormat="1">
      <c r="E272" s="42"/>
      <c r="F272" s="43"/>
      <c r="H272" s="43"/>
      <c r="I272" s="44"/>
      <c r="J272" s="44"/>
      <c r="K272" s="43"/>
    </row>
    <row r="273" spans="5:11" s="32" customFormat="1">
      <c r="E273" s="42"/>
      <c r="F273" s="43"/>
      <c r="H273" s="43"/>
      <c r="I273" s="44"/>
      <c r="J273" s="44"/>
      <c r="K273" s="43"/>
    </row>
    <row r="274" spans="5:11" s="32" customFormat="1">
      <c r="E274" s="42"/>
      <c r="F274" s="43"/>
      <c r="H274" s="43"/>
      <c r="I274" s="44"/>
      <c r="J274" s="44"/>
      <c r="K274" s="43"/>
    </row>
    <row r="275" spans="5:11" s="32" customFormat="1">
      <c r="E275" s="42"/>
      <c r="F275" s="43"/>
      <c r="H275" s="43"/>
      <c r="I275" s="44"/>
      <c r="J275" s="44"/>
      <c r="K275" s="43"/>
    </row>
    <row r="276" spans="5:11" s="32" customFormat="1">
      <c r="E276" s="42"/>
      <c r="F276" s="43"/>
      <c r="H276" s="43"/>
      <c r="I276" s="44"/>
      <c r="J276" s="44"/>
      <c r="K276" s="43"/>
    </row>
    <row r="277" spans="5:11" s="32" customFormat="1">
      <c r="E277" s="42"/>
      <c r="F277" s="43"/>
      <c r="H277" s="43"/>
      <c r="I277" s="44"/>
      <c r="J277" s="44"/>
      <c r="K277" s="43"/>
    </row>
    <row r="278" spans="5:11" s="32" customFormat="1">
      <c r="E278" s="42"/>
      <c r="F278" s="43"/>
      <c r="H278" s="43"/>
      <c r="I278" s="44"/>
      <c r="J278" s="44"/>
      <c r="K278" s="43"/>
    </row>
    <row r="279" spans="5:11" s="32" customFormat="1">
      <c r="E279" s="42"/>
      <c r="F279" s="43"/>
      <c r="H279" s="43"/>
      <c r="I279" s="44"/>
      <c r="J279" s="44"/>
      <c r="K279" s="43"/>
    </row>
    <row r="280" spans="5:11" s="32" customFormat="1">
      <c r="E280" s="42"/>
      <c r="F280" s="43"/>
      <c r="H280" s="43"/>
      <c r="I280" s="44"/>
      <c r="J280" s="44"/>
      <c r="K280" s="43"/>
    </row>
    <row r="281" spans="5:11" s="32" customFormat="1">
      <c r="E281" s="42"/>
      <c r="F281" s="43"/>
      <c r="H281" s="43"/>
      <c r="I281" s="44"/>
      <c r="J281" s="44"/>
      <c r="K281" s="43"/>
    </row>
    <row r="282" spans="5:11" s="32" customFormat="1">
      <c r="E282" s="42"/>
      <c r="F282" s="43"/>
      <c r="H282" s="43"/>
      <c r="I282" s="44"/>
      <c r="J282" s="44"/>
      <c r="K282" s="43"/>
    </row>
    <row r="283" spans="5:11" s="32" customFormat="1">
      <c r="E283" s="42"/>
      <c r="F283" s="43"/>
      <c r="H283" s="43"/>
      <c r="I283" s="44"/>
      <c r="J283" s="44"/>
      <c r="K283" s="43"/>
    </row>
    <row r="284" spans="5:11" s="32" customFormat="1">
      <c r="E284" s="42"/>
      <c r="F284" s="43"/>
      <c r="H284" s="43"/>
      <c r="I284" s="44"/>
      <c r="J284" s="44"/>
      <c r="K284" s="43"/>
    </row>
    <row r="285" spans="5:11" s="32" customFormat="1">
      <c r="E285" s="42"/>
      <c r="F285" s="43"/>
      <c r="H285" s="43"/>
      <c r="I285" s="44"/>
      <c r="J285" s="44"/>
      <c r="K285" s="43"/>
    </row>
    <row r="286" spans="5:11" s="32" customFormat="1">
      <c r="E286" s="42"/>
      <c r="F286" s="43"/>
      <c r="H286" s="43"/>
      <c r="I286" s="44"/>
      <c r="J286" s="44"/>
      <c r="K286" s="43"/>
    </row>
    <row r="287" spans="5:11" s="32" customFormat="1">
      <c r="E287" s="42"/>
      <c r="F287" s="43"/>
      <c r="H287" s="43"/>
      <c r="I287" s="44"/>
      <c r="J287" s="44"/>
      <c r="K287" s="43"/>
    </row>
    <row r="288" spans="5:11" s="32" customFormat="1">
      <c r="E288" s="42"/>
      <c r="F288" s="43"/>
      <c r="H288" s="43"/>
      <c r="I288" s="44"/>
      <c r="J288" s="44"/>
      <c r="K288" s="43"/>
    </row>
    <row r="289" spans="5:11" s="32" customFormat="1">
      <c r="E289" s="42"/>
      <c r="F289" s="43"/>
      <c r="H289" s="43"/>
      <c r="I289" s="44"/>
      <c r="J289" s="44"/>
      <c r="K289" s="43"/>
    </row>
    <row r="290" spans="5:11" s="32" customFormat="1">
      <c r="E290" s="42"/>
      <c r="F290" s="43"/>
      <c r="H290" s="43"/>
      <c r="I290" s="44"/>
      <c r="J290" s="44"/>
      <c r="K290" s="43"/>
    </row>
    <row r="291" spans="5:11" s="32" customFormat="1">
      <c r="E291" s="42"/>
      <c r="F291" s="43"/>
      <c r="H291" s="43"/>
      <c r="I291" s="44"/>
      <c r="J291" s="44"/>
      <c r="K291" s="43"/>
    </row>
    <row r="292" spans="5:11" s="32" customFormat="1">
      <c r="E292" s="42"/>
      <c r="F292" s="43"/>
      <c r="H292" s="43"/>
      <c r="I292" s="44"/>
      <c r="J292" s="44"/>
      <c r="K292" s="43"/>
    </row>
    <row r="293" spans="5:11" s="32" customFormat="1">
      <c r="E293" s="42"/>
      <c r="F293" s="43"/>
      <c r="H293" s="43"/>
      <c r="I293" s="44"/>
      <c r="J293" s="44"/>
      <c r="K293" s="43"/>
    </row>
    <row r="294" spans="5:11" s="32" customFormat="1">
      <c r="E294" s="42"/>
      <c r="F294" s="43"/>
      <c r="H294" s="43"/>
      <c r="I294" s="44"/>
      <c r="J294" s="44"/>
      <c r="K294" s="43"/>
    </row>
    <row r="295" spans="5:11" s="32" customFormat="1">
      <c r="E295" s="42"/>
      <c r="F295" s="43"/>
      <c r="H295" s="43"/>
      <c r="I295" s="44"/>
      <c r="J295" s="44"/>
      <c r="K295" s="43"/>
    </row>
    <row r="296" spans="5:11" s="32" customFormat="1">
      <c r="E296" s="42"/>
      <c r="F296" s="43"/>
      <c r="H296" s="43"/>
      <c r="I296" s="44"/>
      <c r="J296" s="44"/>
      <c r="K296" s="43"/>
    </row>
    <row r="297" spans="5:11" s="32" customFormat="1">
      <c r="E297" s="42"/>
      <c r="F297" s="43"/>
      <c r="H297" s="43"/>
      <c r="I297" s="44"/>
      <c r="J297" s="44"/>
      <c r="K297" s="43"/>
    </row>
    <row r="298" spans="5:11" s="32" customFormat="1">
      <c r="E298" s="42"/>
      <c r="F298" s="43"/>
      <c r="H298" s="43"/>
      <c r="I298" s="44"/>
      <c r="J298" s="44"/>
      <c r="K298" s="43"/>
    </row>
    <row r="299" spans="5:11" s="32" customFormat="1">
      <c r="E299" s="42"/>
      <c r="F299" s="43"/>
      <c r="H299" s="43"/>
      <c r="I299" s="44"/>
      <c r="J299" s="44"/>
      <c r="K299" s="43"/>
    </row>
    <row r="300" spans="5:11" s="32" customFormat="1">
      <c r="E300" s="42"/>
      <c r="F300" s="43"/>
      <c r="H300" s="43"/>
      <c r="I300" s="44"/>
      <c r="J300" s="44"/>
      <c r="K300" s="43"/>
    </row>
    <row r="301" spans="5:11" s="32" customFormat="1">
      <c r="E301" s="42"/>
      <c r="F301" s="43"/>
      <c r="H301" s="43"/>
      <c r="I301" s="44"/>
      <c r="J301" s="44"/>
      <c r="K301" s="43"/>
    </row>
    <row r="302" spans="5:11" s="32" customFormat="1">
      <c r="E302" s="42"/>
      <c r="F302" s="43"/>
      <c r="H302" s="43"/>
      <c r="I302" s="44"/>
      <c r="J302" s="44"/>
      <c r="K302" s="43"/>
    </row>
    <row r="303" spans="5:11" s="32" customFormat="1">
      <c r="E303" s="42"/>
      <c r="F303" s="43"/>
      <c r="H303" s="43"/>
      <c r="I303" s="44"/>
      <c r="J303" s="44"/>
      <c r="K303" s="43"/>
    </row>
    <row r="304" spans="5:11" s="32" customFormat="1">
      <c r="E304" s="42"/>
      <c r="F304" s="43"/>
      <c r="H304" s="43"/>
      <c r="I304" s="44"/>
      <c r="J304" s="44"/>
      <c r="K304" s="43"/>
    </row>
    <row r="305" spans="5:11" s="32" customFormat="1">
      <c r="E305" s="42"/>
      <c r="F305" s="43"/>
      <c r="H305" s="43"/>
      <c r="I305" s="44"/>
      <c r="J305" s="44"/>
      <c r="K305" s="43"/>
    </row>
    <row r="306" spans="5:11" s="32" customFormat="1">
      <c r="E306" s="42"/>
      <c r="F306" s="43"/>
      <c r="H306" s="43"/>
      <c r="I306" s="44"/>
      <c r="J306" s="44"/>
      <c r="K306" s="43"/>
    </row>
    <row r="307" spans="5:11" s="32" customFormat="1">
      <c r="E307" s="42"/>
      <c r="F307" s="43"/>
      <c r="H307" s="43"/>
      <c r="I307" s="44"/>
      <c r="J307" s="44"/>
      <c r="K307" s="43"/>
    </row>
    <row r="308" spans="5:11" s="32" customFormat="1">
      <c r="E308" s="42"/>
      <c r="F308" s="43"/>
      <c r="H308" s="43"/>
      <c r="I308" s="44"/>
      <c r="J308" s="44"/>
      <c r="K308" s="43"/>
    </row>
    <row r="309" spans="5:11" s="32" customFormat="1">
      <c r="E309" s="42"/>
      <c r="F309" s="43"/>
      <c r="H309" s="43"/>
      <c r="I309" s="44"/>
      <c r="J309" s="44"/>
      <c r="K309" s="43"/>
    </row>
    <row r="310" spans="5:11" s="32" customFormat="1">
      <c r="E310" s="42"/>
      <c r="F310" s="43"/>
      <c r="H310" s="43"/>
      <c r="I310" s="44"/>
      <c r="J310" s="44"/>
      <c r="K310" s="43"/>
    </row>
    <row r="311" spans="5:11" s="32" customFormat="1">
      <c r="E311" s="42"/>
      <c r="F311" s="43"/>
      <c r="H311" s="43"/>
      <c r="I311" s="44"/>
      <c r="J311" s="44"/>
      <c r="K311" s="43"/>
    </row>
    <row r="312" spans="5:11" s="32" customFormat="1">
      <c r="E312" s="42"/>
      <c r="F312" s="43"/>
      <c r="H312" s="43"/>
      <c r="I312" s="44"/>
      <c r="J312" s="44"/>
      <c r="K312" s="43"/>
    </row>
    <row r="313" spans="5:11" s="32" customFormat="1">
      <c r="E313" s="42"/>
      <c r="F313" s="43"/>
      <c r="H313" s="43"/>
      <c r="I313" s="44"/>
      <c r="J313" s="44"/>
      <c r="K313" s="43"/>
    </row>
    <row r="314" spans="5:11" s="32" customFormat="1">
      <c r="E314" s="42"/>
      <c r="F314" s="43"/>
      <c r="H314" s="43"/>
      <c r="I314" s="44"/>
      <c r="J314" s="44"/>
      <c r="K314" s="43"/>
    </row>
    <row r="315" spans="5:11" s="32" customFormat="1">
      <c r="E315" s="42"/>
      <c r="F315" s="43"/>
      <c r="H315" s="43"/>
      <c r="I315" s="44"/>
      <c r="J315" s="44"/>
      <c r="K315" s="43"/>
    </row>
    <row r="316" spans="5:11" s="32" customFormat="1">
      <c r="E316" s="42"/>
      <c r="F316" s="43"/>
      <c r="H316" s="43"/>
      <c r="I316" s="44"/>
      <c r="J316" s="44"/>
      <c r="K316" s="43"/>
    </row>
    <row r="317" spans="5:11" s="32" customFormat="1">
      <c r="E317" s="42"/>
      <c r="F317" s="43"/>
      <c r="H317" s="43"/>
      <c r="I317" s="44"/>
      <c r="J317" s="44"/>
      <c r="K317" s="43"/>
    </row>
    <row r="318" spans="5:11" s="32" customFormat="1">
      <c r="E318" s="42"/>
      <c r="F318" s="43"/>
      <c r="H318" s="43"/>
      <c r="I318" s="44"/>
      <c r="J318" s="44"/>
      <c r="K318" s="43"/>
    </row>
    <row r="319" spans="5:11" s="32" customFormat="1">
      <c r="E319" s="42"/>
      <c r="F319" s="43"/>
      <c r="H319" s="43"/>
      <c r="I319" s="44"/>
      <c r="J319" s="44"/>
      <c r="K319" s="43"/>
    </row>
    <row r="320" spans="5:11" s="32" customFormat="1">
      <c r="E320" s="42"/>
      <c r="F320" s="43"/>
      <c r="H320" s="43"/>
      <c r="I320" s="44"/>
      <c r="J320" s="44"/>
      <c r="K320" s="43"/>
    </row>
    <row r="321" spans="5:11" s="32" customFormat="1">
      <c r="E321" s="42"/>
      <c r="F321" s="43"/>
      <c r="H321" s="43"/>
      <c r="I321" s="44"/>
      <c r="J321" s="44"/>
      <c r="K321" s="43"/>
    </row>
    <row r="322" spans="5:11" s="32" customFormat="1">
      <c r="E322" s="42"/>
      <c r="F322" s="43"/>
      <c r="H322" s="43"/>
      <c r="I322" s="44"/>
      <c r="J322" s="44"/>
      <c r="K322" s="43"/>
    </row>
    <row r="323" spans="5:11" s="32" customFormat="1">
      <c r="E323" s="42"/>
      <c r="F323" s="43"/>
      <c r="H323" s="43"/>
      <c r="I323" s="44"/>
      <c r="J323" s="44"/>
      <c r="K323" s="43"/>
    </row>
    <row r="324" spans="5:11" s="32" customFormat="1">
      <c r="E324" s="42"/>
      <c r="F324" s="43"/>
      <c r="H324" s="43"/>
      <c r="I324" s="44"/>
      <c r="J324" s="44"/>
      <c r="K324" s="43"/>
    </row>
    <row r="325" spans="5:11" s="32" customFormat="1">
      <c r="E325" s="42"/>
      <c r="F325" s="43"/>
      <c r="H325" s="43"/>
      <c r="I325" s="44"/>
      <c r="J325" s="44"/>
      <c r="K325" s="43"/>
    </row>
    <row r="326" spans="5:11" s="32" customFormat="1">
      <c r="E326" s="42"/>
      <c r="F326" s="43"/>
      <c r="H326" s="43"/>
      <c r="I326" s="44"/>
      <c r="J326" s="44"/>
      <c r="K326" s="43"/>
    </row>
    <row r="327" spans="5:11" s="32" customFormat="1">
      <c r="E327" s="42"/>
      <c r="F327" s="43"/>
      <c r="H327" s="43"/>
      <c r="I327" s="44"/>
      <c r="J327" s="44"/>
      <c r="K327" s="43"/>
    </row>
    <row r="328" spans="5:11" s="32" customFormat="1">
      <c r="E328" s="42"/>
      <c r="F328" s="43"/>
      <c r="H328" s="43"/>
      <c r="I328" s="44"/>
      <c r="J328" s="44"/>
      <c r="K328" s="43"/>
    </row>
    <row r="329" spans="5:11" s="32" customFormat="1">
      <c r="E329" s="42"/>
      <c r="F329" s="43"/>
      <c r="H329" s="43"/>
      <c r="I329" s="44"/>
      <c r="J329" s="44"/>
      <c r="K329" s="43"/>
    </row>
    <row r="330" spans="5:11" s="32" customFormat="1">
      <c r="E330" s="42"/>
      <c r="F330" s="43"/>
      <c r="H330" s="43"/>
      <c r="I330" s="44"/>
      <c r="J330" s="44"/>
      <c r="K330" s="43"/>
    </row>
    <row r="331" spans="5:11" s="32" customFormat="1">
      <c r="E331" s="42"/>
      <c r="F331" s="43"/>
      <c r="H331" s="43"/>
      <c r="I331" s="44"/>
      <c r="J331" s="44"/>
      <c r="K331" s="43"/>
    </row>
    <row r="332" spans="5:11" s="32" customFormat="1">
      <c r="E332" s="42"/>
      <c r="F332" s="43"/>
      <c r="H332" s="43"/>
      <c r="I332" s="44"/>
      <c r="J332" s="44"/>
      <c r="K332" s="43"/>
    </row>
    <row r="333" spans="5:11" s="32" customFormat="1">
      <c r="E333" s="42"/>
      <c r="F333" s="43"/>
      <c r="H333" s="43"/>
      <c r="I333" s="44"/>
      <c r="J333" s="44"/>
      <c r="K333" s="43"/>
    </row>
    <row r="334" spans="5:11" s="32" customFormat="1">
      <c r="E334" s="42"/>
      <c r="F334" s="43"/>
      <c r="H334" s="43"/>
      <c r="I334" s="44"/>
      <c r="J334" s="44"/>
      <c r="K334" s="43"/>
    </row>
    <row r="335" spans="5:11" s="32" customFormat="1">
      <c r="E335" s="42"/>
      <c r="F335" s="43"/>
      <c r="H335" s="43"/>
      <c r="I335" s="44"/>
      <c r="J335" s="44"/>
      <c r="K335" s="43"/>
    </row>
    <row r="336" spans="5:11" s="32" customFormat="1">
      <c r="E336" s="42"/>
      <c r="F336" s="43"/>
      <c r="H336" s="43"/>
      <c r="I336" s="44"/>
      <c r="J336" s="44"/>
      <c r="K336" s="43"/>
    </row>
    <row r="337" spans="5:11" s="32" customFormat="1">
      <c r="E337" s="42"/>
      <c r="F337" s="43"/>
      <c r="H337" s="43"/>
      <c r="I337" s="44"/>
      <c r="J337" s="44"/>
      <c r="K337" s="43"/>
    </row>
    <row r="338" spans="5:11" s="32" customFormat="1">
      <c r="E338" s="42"/>
      <c r="F338" s="43"/>
      <c r="H338" s="43"/>
      <c r="I338" s="44"/>
      <c r="J338" s="44"/>
      <c r="K338" s="43"/>
    </row>
    <row r="339" spans="5:11" s="32" customFormat="1">
      <c r="E339" s="42"/>
      <c r="F339" s="43"/>
      <c r="H339" s="43"/>
      <c r="I339" s="44"/>
      <c r="J339" s="44"/>
      <c r="K339" s="43"/>
    </row>
    <row r="340" spans="5:11" s="32" customFormat="1">
      <c r="E340" s="42"/>
      <c r="F340" s="43"/>
      <c r="H340" s="43"/>
      <c r="I340" s="44"/>
      <c r="J340" s="44"/>
      <c r="K340" s="43"/>
    </row>
    <row r="341" spans="5:11" s="32" customFormat="1">
      <c r="E341" s="42"/>
      <c r="F341" s="43"/>
      <c r="H341" s="43"/>
      <c r="I341" s="44"/>
      <c r="J341" s="44"/>
      <c r="K341" s="43"/>
    </row>
    <row r="342" spans="5:11" s="32" customFormat="1">
      <c r="E342" s="42"/>
      <c r="F342" s="43"/>
      <c r="H342" s="43"/>
      <c r="I342" s="44"/>
      <c r="J342" s="44"/>
      <c r="K342" s="43"/>
    </row>
    <row r="343" spans="5:11" s="32" customFormat="1">
      <c r="E343" s="42"/>
      <c r="F343" s="43"/>
      <c r="H343" s="43"/>
      <c r="I343" s="44"/>
      <c r="J343" s="44"/>
      <c r="K343" s="43"/>
    </row>
    <row r="344" spans="5:11" s="32" customFormat="1">
      <c r="E344" s="42"/>
      <c r="F344" s="43"/>
      <c r="H344" s="43"/>
      <c r="I344" s="44"/>
      <c r="J344" s="44"/>
      <c r="K344" s="43"/>
    </row>
    <row r="345" spans="5:11" s="32" customFormat="1">
      <c r="E345" s="42"/>
      <c r="F345" s="43"/>
      <c r="H345" s="43"/>
      <c r="I345" s="44"/>
      <c r="J345" s="44"/>
      <c r="K345" s="43"/>
    </row>
    <row r="346" spans="5:11" s="32" customFormat="1">
      <c r="E346" s="42"/>
      <c r="F346" s="43"/>
      <c r="H346" s="43"/>
      <c r="I346" s="44"/>
      <c r="J346" s="44"/>
      <c r="K346" s="43"/>
    </row>
    <row r="347" spans="5:11" s="32" customFormat="1">
      <c r="E347" s="42"/>
      <c r="F347" s="43"/>
      <c r="H347" s="43"/>
      <c r="I347" s="44"/>
      <c r="J347" s="44"/>
      <c r="K347" s="43"/>
    </row>
    <row r="348" spans="5:11" s="32" customFormat="1">
      <c r="E348" s="42"/>
      <c r="F348" s="43"/>
      <c r="H348" s="43"/>
      <c r="I348" s="44"/>
      <c r="J348" s="44"/>
      <c r="K348" s="43"/>
    </row>
    <row r="349" spans="5:11" s="32" customFormat="1">
      <c r="E349" s="42"/>
      <c r="F349" s="43"/>
      <c r="H349" s="43"/>
      <c r="I349" s="44"/>
      <c r="J349" s="44"/>
      <c r="K349" s="43"/>
    </row>
    <row r="350" spans="5:11" s="32" customFormat="1">
      <c r="E350" s="42"/>
      <c r="F350" s="43"/>
      <c r="H350" s="43"/>
      <c r="I350" s="44"/>
      <c r="J350" s="44"/>
      <c r="K350" s="43"/>
    </row>
    <row r="351" spans="5:11" s="32" customFormat="1">
      <c r="E351" s="42"/>
      <c r="F351" s="43"/>
      <c r="H351" s="43"/>
      <c r="I351" s="44"/>
      <c r="J351" s="44"/>
      <c r="K351" s="43"/>
    </row>
    <row r="352" spans="5:11" s="32" customFormat="1">
      <c r="E352" s="42"/>
      <c r="F352" s="43"/>
      <c r="H352" s="43"/>
      <c r="I352" s="44"/>
      <c r="J352" s="44"/>
      <c r="K352" s="43"/>
    </row>
    <row r="353" spans="5:11" s="32" customFormat="1">
      <c r="E353" s="42"/>
      <c r="F353" s="43"/>
      <c r="H353" s="43"/>
      <c r="I353" s="44"/>
      <c r="J353" s="44"/>
      <c r="K353" s="43"/>
    </row>
    <row r="354" spans="5:11" s="32" customFormat="1">
      <c r="E354" s="42"/>
      <c r="F354" s="43"/>
      <c r="H354" s="43"/>
      <c r="I354" s="44"/>
      <c r="J354" s="44"/>
      <c r="K354" s="43"/>
    </row>
    <row r="355" spans="5:11" s="32" customFormat="1">
      <c r="E355" s="42"/>
      <c r="F355" s="43"/>
      <c r="H355" s="43"/>
      <c r="I355" s="44"/>
      <c r="J355" s="44"/>
      <c r="K355" s="43"/>
    </row>
    <row r="356" spans="5:11" s="32" customFormat="1">
      <c r="E356" s="42"/>
      <c r="F356" s="43"/>
      <c r="H356" s="43"/>
      <c r="I356" s="44"/>
      <c r="J356" s="44"/>
      <c r="K356" s="43"/>
    </row>
    <row r="357" spans="5:11" s="32" customFormat="1">
      <c r="E357" s="42"/>
      <c r="F357" s="43"/>
      <c r="H357" s="43"/>
      <c r="I357" s="44"/>
      <c r="J357" s="44"/>
      <c r="K357" s="43"/>
    </row>
    <row r="358" spans="5:11" s="32" customFormat="1">
      <c r="E358" s="42"/>
      <c r="F358" s="43"/>
      <c r="H358" s="43"/>
      <c r="I358" s="44"/>
      <c r="J358" s="44"/>
      <c r="K358" s="43"/>
    </row>
    <row r="359" spans="5:11" s="32" customFormat="1">
      <c r="E359" s="42"/>
      <c r="F359" s="43"/>
      <c r="H359" s="43"/>
      <c r="I359" s="44"/>
      <c r="J359" s="44"/>
      <c r="K359" s="43"/>
    </row>
    <row r="360" spans="5:11" s="32" customFormat="1">
      <c r="E360" s="42"/>
      <c r="F360" s="43"/>
      <c r="H360" s="43"/>
      <c r="I360" s="44"/>
      <c r="J360" s="44"/>
      <c r="K360" s="43"/>
    </row>
    <row r="361" spans="5:11" s="32" customFormat="1">
      <c r="E361" s="42"/>
      <c r="F361" s="43"/>
      <c r="H361" s="43"/>
      <c r="I361" s="44"/>
      <c r="J361" s="44"/>
      <c r="K361" s="43"/>
    </row>
    <row r="362" spans="5:11" s="32" customFormat="1">
      <c r="E362" s="42"/>
      <c r="F362" s="43"/>
      <c r="H362" s="43"/>
      <c r="I362" s="44"/>
      <c r="J362" s="44"/>
      <c r="K362" s="43"/>
    </row>
    <row r="363" spans="5:11" s="32" customFormat="1">
      <c r="E363" s="42"/>
      <c r="F363" s="43"/>
      <c r="H363" s="43"/>
      <c r="I363" s="44"/>
      <c r="J363" s="44"/>
      <c r="K363" s="43"/>
    </row>
    <row r="364" spans="5:11" s="32" customFormat="1">
      <c r="E364" s="42"/>
      <c r="F364" s="43"/>
      <c r="H364" s="43"/>
      <c r="I364" s="44"/>
      <c r="J364" s="44"/>
      <c r="K364" s="43"/>
    </row>
    <row r="365" spans="5:11" s="32" customFormat="1">
      <c r="E365" s="42"/>
      <c r="F365" s="43"/>
      <c r="H365" s="43"/>
      <c r="I365" s="44"/>
      <c r="J365" s="44"/>
      <c r="K365" s="43"/>
    </row>
    <row r="366" spans="5:11" s="32" customFormat="1">
      <c r="E366" s="42"/>
      <c r="F366" s="43"/>
      <c r="H366" s="43"/>
      <c r="I366" s="44"/>
      <c r="J366" s="44"/>
      <c r="K366" s="43"/>
    </row>
    <row r="367" spans="5:11" s="32" customFormat="1">
      <c r="E367" s="42"/>
      <c r="F367" s="43"/>
      <c r="H367" s="43"/>
      <c r="I367" s="44"/>
      <c r="J367" s="44"/>
      <c r="K367" s="43"/>
    </row>
    <row r="368" spans="5:11" s="32" customFormat="1">
      <c r="E368" s="42"/>
      <c r="F368" s="43"/>
      <c r="H368" s="43"/>
      <c r="I368" s="44"/>
      <c r="J368" s="44"/>
      <c r="K368" s="43"/>
    </row>
    <row r="369" spans="5:11" s="32" customFormat="1">
      <c r="E369" s="42"/>
      <c r="F369" s="43"/>
      <c r="H369" s="43"/>
      <c r="I369" s="44"/>
      <c r="J369" s="44"/>
      <c r="K369" s="43"/>
    </row>
    <row r="370" spans="5:11" s="32" customFormat="1">
      <c r="E370" s="42"/>
      <c r="F370" s="43"/>
      <c r="H370" s="43"/>
      <c r="I370" s="44"/>
      <c r="J370" s="44"/>
      <c r="K370" s="43"/>
    </row>
    <row r="371" spans="5:11" s="32" customFormat="1">
      <c r="E371" s="42"/>
      <c r="F371" s="43"/>
      <c r="H371" s="43"/>
      <c r="I371" s="44"/>
      <c r="J371" s="44"/>
      <c r="K371" s="43"/>
    </row>
    <row r="372" spans="5:11" s="32" customFormat="1">
      <c r="E372" s="42"/>
      <c r="F372" s="43"/>
      <c r="H372" s="43"/>
      <c r="I372" s="44"/>
      <c r="J372" s="44"/>
      <c r="K372" s="43"/>
    </row>
    <row r="373" spans="5:11" s="32" customFormat="1">
      <c r="E373" s="42"/>
      <c r="F373" s="43"/>
      <c r="H373" s="43"/>
      <c r="I373" s="44"/>
      <c r="J373" s="44"/>
      <c r="K373" s="43"/>
    </row>
    <row r="374" spans="5:11" s="32" customFormat="1">
      <c r="E374" s="42"/>
      <c r="F374" s="43"/>
      <c r="H374" s="43"/>
      <c r="I374" s="44"/>
      <c r="J374" s="44"/>
      <c r="K374" s="43"/>
    </row>
    <row r="375" spans="5:11" s="32" customFormat="1">
      <c r="E375" s="42"/>
      <c r="F375" s="43"/>
      <c r="H375" s="43"/>
      <c r="I375" s="44"/>
      <c r="J375" s="44"/>
      <c r="K375" s="43"/>
    </row>
    <row r="376" spans="5:11" s="32" customFormat="1">
      <c r="E376" s="42"/>
      <c r="F376" s="43"/>
      <c r="H376" s="43"/>
      <c r="I376" s="44"/>
      <c r="J376" s="44"/>
      <c r="K376" s="43"/>
    </row>
    <row r="377" spans="5:11" s="32" customFormat="1">
      <c r="E377" s="42"/>
      <c r="F377" s="43"/>
      <c r="H377" s="43"/>
      <c r="I377" s="44"/>
      <c r="J377" s="44"/>
      <c r="K377" s="43"/>
    </row>
    <row r="378" spans="5:11" s="32" customFormat="1">
      <c r="E378" s="42"/>
      <c r="F378" s="43"/>
      <c r="H378" s="43"/>
      <c r="I378" s="44"/>
      <c r="J378" s="44"/>
      <c r="K378" s="43"/>
    </row>
    <row r="379" spans="5:11" s="32" customFormat="1">
      <c r="E379" s="42"/>
      <c r="F379" s="43"/>
      <c r="H379" s="43"/>
      <c r="I379" s="44"/>
      <c r="J379" s="44"/>
      <c r="K379" s="43"/>
    </row>
    <row r="380" spans="5:11" s="32" customFormat="1">
      <c r="E380" s="42"/>
      <c r="F380" s="43"/>
      <c r="H380" s="43"/>
      <c r="I380" s="44"/>
      <c r="J380" s="44"/>
      <c r="K380" s="43"/>
    </row>
    <row r="381" spans="5:11" s="32" customFormat="1">
      <c r="E381" s="42"/>
      <c r="F381" s="43"/>
      <c r="H381" s="43"/>
      <c r="I381" s="44"/>
      <c r="J381" s="44"/>
      <c r="K381" s="43"/>
    </row>
    <row r="382" spans="5:11" s="32" customFormat="1">
      <c r="E382" s="42"/>
      <c r="F382" s="43"/>
      <c r="H382" s="43"/>
      <c r="I382" s="44"/>
      <c r="J382" s="44"/>
      <c r="K382" s="43"/>
    </row>
    <row r="383" spans="5:11" s="32" customFormat="1">
      <c r="E383" s="42"/>
      <c r="F383" s="43"/>
      <c r="H383" s="43"/>
      <c r="I383" s="44"/>
      <c r="J383" s="44"/>
      <c r="K383" s="43"/>
    </row>
    <row r="384" spans="5:11" s="32" customFormat="1">
      <c r="E384" s="42"/>
      <c r="F384" s="43"/>
      <c r="H384" s="43"/>
      <c r="I384" s="44"/>
      <c r="J384" s="44"/>
      <c r="K384" s="43"/>
    </row>
    <row r="385" spans="5:11" s="32" customFormat="1">
      <c r="E385" s="42"/>
      <c r="F385" s="43"/>
      <c r="H385" s="43"/>
      <c r="I385" s="44"/>
      <c r="J385" s="44"/>
      <c r="K385" s="43"/>
    </row>
    <row r="386" spans="5:11" s="32" customFormat="1">
      <c r="E386" s="42"/>
      <c r="F386" s="43"/>
      <c r="H386" s="43"/>
      <c r="I386" s="44"/>
      <c r="J386" s="44"/>
      <c r="K386" s="43"/>
    </row>
    <row r="387" spans="5:11" s="32" customFormat="1">
      <c r="E387" s="42"/>
      <c r="F387" s="43"/>
      <c r="H387" s="43"/>
      <c r="I387" s="44"/>
      <c r="J387" s="44"/>
      <c r="K387" s="43"/>
    </row>
    <row r="388" spans="5:11" s="32" customFormat="1">
      <c r="E388" s="42"/>
      <c r="F388" s="43"/>
      <c r="H388" s="43"/>
      <c r="I388" s="44"/>
      <c r="J388" s="44"/>
      <c r="K388" s="43"/>
    </row>
    <row r="389" spans="5:11" s="32" customFormat="1">
      <c r="E389" s="42"/>
      <c r="F389" s="43"/>
      <c r="H389" s="43"/>
      <c r="I389" s="44"/>
      <c r="J389" s="44"/>
      <c r="K389" s="43"/>
    </row>
    <row r="390" spans="5:11" s="32" customFormat="1">
      <c r="E390" s="42"/>
      <c r="F390" s="43"/>
      <c r="H390" s="43"/>
      <c r="I390" s="44"/>
      <c r="J390" s="44"/>
      <c r="K390" s="43"/>
    </row>
    <row r="391" spans="5:11" s="32" customFormat="1">
      <c r="E391" s="42"/>
      <c r="F391" s="43"/>
      <c r="H391" s="43"/>
      <c r="I391" s="44"/>
      <c r="J391" s="44"/>
      <c r="K391" s="43"/>
    </row>
    <row r="392" spans="5:11" s="32" customFormat="1">
      <c r="E392" s="42"/>
      <c r="F392" s="43"/>
      <c r="H392" s="43"/>
      <c r="I392" s="44"/>
      <c r="J392" s="44"/>
      <c r="K392" s="43"/>
    </row>
    <row r="393" spans="5:11" s="32" customFormat="1">
      <c r="E393" s="42"/>
      <c r="F393" s="43"/>
      <c r="H393" s="43"/>
      <c r="I393" s="44"/>
      <c r="J393" s="44"/>
      <c r="K393" s="43"/>
    </row>
    <row r="394" spans="5:11" s="32" customFormat="1">
      <c r="E394" s="42"/>
      <c r="F394" s="43"/>
      <c r="H394" s="43"/>
      <c r="I394" s="44"/>
      <c r="J394" s="44"/>
      <c r="K394" s="43"/>
    </row>
    <row r="395" spans="5:11" s="32" customFormat="1">
      <c r="E395" s="42"/>
      <c r="F395" s="43"/>
      <c r="H395" s="43"/>
      <c r="I395" s="44"/>
      <c r="J395" s="44"/>
      <c r="K395" s="43"/>
    </row>
    <row r="396" spans="5:11" s="32" customFormat="1">
      <c r="E396" s="42"/>
      <c r="F396" s="43"/>
      <c r="H396" s="43"/>
      <c r="I396" s="44"/>
      <c r="J396" s="44"/>
      <c r="K396" s="43"/>
    </row>
    <row r="397" spans="5:11" s="32" customFormat="1">
      <c r="E397" s="42"/>
      <c r="F397" s="43"/>
      <c r="H397" s="43"/>
      <c r="I397" s="44"/>
      <c r="J397" s="44"/>
      <c r="K397" s="43"/>
    </row>
    <row r="398" spans="5:11" s="32" customFormat="1">
      <c r="E398" s="42"/>
      <c r="F398" s="43"/>
      <c r="H398" s="43"/>
      <c r="I398" s="44"/>
      <c r="J398" s="44"/>
      <c r="K398" s="43"/>
    </row>
    <row r="399" spans="5:11" s="32" customFormat="1">
      <c r="E399" s="42"/>
      <c r="F399" s="43"/>
      <c r="H399" s="43"/>
      <c r="I399" s="44"/>
      <c r="J399" s="44"/>
      <c r="K399" s="43"/>
    </row>
    <row r="400" spans="5:11" s="32" customFormat="1">
      <c r="E400" s="42"/>
      <c r="F400" s="43"/>
      <c r="H400" s="43"/>
      <c r="I400" s="44"/>
      <c r="J400" s="44"/>
      <c r="K400" s="43"/>
    </row>
    <row r="401" spans="5:11" s="32" customFormat="1">
      <c r="E401" s="42"/>
      <c r="F401" s="43"/>
      <c r="H401" s="43"/>
      <c r="I401" s="44"/>
      <c r="J401" s="44"/>
      <c r="K401" s="43"/>
    </row>
    <row r="402" spans="5:11" s="32" customFormat="1">
      <c r="E402" s="42"/>
      <c r="F402" s="43"/>
      <c r="H402" s="43"/>
      <c r="I402" s="44"/>
      <c r="J402" s="44"/>
      <c r="K402" s="43"/>
    </row>
    <row r="403" spans="5:11" s="32" customFormat="1">
      <c r="E403" s="42"/>
      <c r="F403" s="43"/>
      <c r="H403" s="43"/>
      <c r="I403" s="44"/>
      <c r="J403" s="44"/>
      <c r="K403" s="43"/>
    </row>
    <row r="404" spans="5:11" s="32" customFormat="1">
      <c r="E404" s="42"/>
      <c r="F404" s="43"/>
      <c r="H404" s="43"/>
      <c r="I404" s="44"/>
      <c r="J404" s="44"/>
      <c r="K404" s="43"/>
    </row>
    <row r="405" spans="5:11" s="32" customFormat="1">
      <c r="E405" s="42"/>
      <c r="F405" s="43"/>
      <c r="H405" s="43"/>
      <c r="I405" s="44"/>
      <c r="J405" s="44"/>
      <c r="K405" s="43"/>
    </row>
    <row r="406" spans="5:11" s="32" customFormat="1">
      <c r="E406" s="42"/>
      <c r="F406" s="43"/>
      <c r="H406" s="43"/>
      <c r="I406" s="44"/>
      <c r="J406" s="44"/>
      <c r="K406" s="43"/>
    </row>
    <row r="407" spans="5:11" s="32" customFormat="1">
      <c r="E407" s="42"/>
      <c r="F407" s="43"/>
      <c r="H407" s="43"/>
      <c r="I407" s="44"/>
      <c r="J407" s="44"/>
      <c r="K407" s="43"/>
    </row>
    <row r="408" spans="5:11" s="32" customFormat="1">
      <c r="E408" s="42"/>
      <c r="F408" s="43"/>
      <c r="H408" s="43"/>
      <c r="I408" s="44"/>
      <c r="J408" s="44"/>
      <c r="K408" s="43"/>
    </row>
    <row r="409" spans="5:11" s="32" customFormat="1">
      <c r="E409" s="42"/>
      <c r="F409" s="43"/>
      <c r="H409" s="43"/>
      <c r="I409" s="44"/>
      <c r="J409" s="44"/>
      <c r="K409" s="43"/>
    </row>
    <row r="410" spans="5:11" s="32" customFormat="1">
      <c r="E410" s="42"/>
      <c r="F410" s="43"/>
      <c r="H410" s="43"/>
      <c r="I410" s="44"/>
      <c r="J410" s="44"/>
      <c r="K410" s="43"/>
    </row>
    <row r="411" spans="5:11" s="32" customFormat="1">
      <c r="E411" s="42"/>
      <c r="F411" s="43"/>
      <c r="H411" s="43"/>
      <c r="I411" s="44"/>
      <c r="J411" s="44"/>
      <c r="K411" s="43"/>
    </row>
    <row r="412" spans="5:11" s="32" customFormat="1">
      <c r="E412" s="42"/>
      <c r="F412" s="43"/>
      <c r="H412" s="43"/>
      <c r="I412" s="44"/>
      <c r="J412" s="44"/>
      <c r="K412" s="43"/>
    </row>
    <row r="413" spans="5:11" s="32" customFormat="1">
      <c r="E413" s="42"/>
      <c r="F413" s="43"/>
      <c r="H413" s="43"/>
      <c r="I413" s="44"/>
      <c r="J413" s="44"/>
      <c r="K413" s="43"/>
    </row>
    <row r="414" spans="5:11" s="32" customFormat="1">
      <c r="E414" s="42"/>
      <c r="F414" s="43"/>
      <c r="H414" s="43"/>
      <c r="I414" s="44"/>
      <c r="J414" s="44"/>
      <c r="K414" s="43"/>
    </row>
    <row r="415" spans="5:11" s="32" customFormat="1">
      <c r="E415" s="42"/>
      <c r="F415" s="43"/>
      <c r="H415" s="43"/>
      <c r="I415" s="44"/>
      <c r="J415" s="44"/>
      <c r="K415" s="43"/>
    </row>
    <row r="416" spans="5:11" s="32" customFormat="1">
      <c r="E416" s="42"/>
      <c r="F416" s="43"/>
      <c r="H416" s="43"/>
      <c r="I416" s="44"/>
      <c r="J416" s="44"/>
      <c r="K416" s="43"/>
    </row>
    <row r="417" spans="5:11" s="32" customFormat="1">
      <c r="E417" s="42"/>
      <c r="F417" s="43"/>
      <c r="H417" s="43"/>
      <c r="I417" s="44"/>
      <c r="J417" s="44"/>
      <c r="K417" s="43"/>
    </row>
    <row r="418" spans="5:11" s="32" customFormat="1">
      <c r="E418" s="42"/>
      <c r="F418" s="43"/>
      <c r="H418" s="43"/>
      <c r="I418" s="44"/>
      <c r="J418" s="44"/>
      <c r="K418" s="43"/>
    </row>
    <row r="419" spans="5:11" s="32" customFormat="1">
      <c r="E419" s="42"/>
      <c r="F419" s="43"/>
      <c r="H419" s="43"/>
      <c r="I419" s="44"/>
      <c r="J419" s="44"/>
      <c r="K419" s="43"/>
    </row>
    <row r="420" spans="5:11" s="32" customFormat="1">
      <c r="E420" s="42"/>
      <c r="F420" s="43"/>
      <c r="H420" s="43"/>
      <c r="I420" s="44"/>
      <c r="J420" s="44"/>
      <c r="K420" s="43"/>
    </row>
    <row r="421" spans="5:11" s="32" customFormat="1">
      <c r="E421" s="42"/>
      <c r="F421" s="43"/>
      <c r="H421" s="43"/>
      <c r="I421" s="44"/>
      <c r="J421" s="44"/>
      <c r="K421" s="43"/>
    </row>
    <row r="422" spans="5:11" s="32" customFormat="1">
      <c r="E422" s="42"/>
      <c r="F422" s="43"/>
      <c r="H422" s="43"/>
      <c r="I422" s="44"/>
      <c r="J422" s="44"/>
      <c r="K422" s="43"/>
    </row>
    <row r="423" spans="5:11" s="32" customFormat="1">
      <c r="E423" s="42"/>
      <c r="F423" s="43"/>
      <c r="H423" s="43"/>
      <c r="I423" s="44"/>
      <c r="J423" s="44"/>
      <c r="K423" s="43"/>
    </row>
    <row r="424" spans="5:11" s="32" customFormat="1">
      <c r="E424" s="42"/>
      <c r="F424" s="43"/>
      <c r="H424" s="43"/>
      <c r="I424" s="44"/>
      <c r="J424" s="44"/>
      <c r="K424" s="43"/>
    </row>
    <row r="425" spans="5:11" s="32" customFormat="1">
      <c r="E425" s="42"/>
      <c r="F425" s="43"/>
      <c r="H425" s="43"/>
      <c r="I425" s="44"/>
      <c r="J425" s="44"/>
      <c r="K425" s="43"/>
    </row>
    <row r="426" spans="5:11" s="32" customFormat="1">
      <c r="E426" s="42"/>
      <c r="F426" s="43"/>
      <c r="H426" s="43"/>
      <c r="I426" s="44"/>
      <c r="J426" s="44"/>
      <c r="K426" s="43"/>
    </row>
    <row r="427" spans="5:11" s="32" customFormat="1">
      <c r="E427" s="42"/>
      <c r="F427" s="43"/>
      <c r="H427" s="43"/>
      <c r="I427" s="44"/>
      <c r="J427" s="44"/>
      <c r="K427" s="43"/>
    </row>
    <row r="428" spans="5:11" s="32" customFormat="1">
      <c r="E428" s="42"/>
      <c r="F428" s="43"/>
      <c r="H428" s="43"/>
      <c r="I428" s="44"/>
      <c r="J428" s="44"/>
      <c r="K428" s="43"/>
    </row>
    <row r="429" spans="5:11" s="32" customFormat="1">
      <c r="E429" s="42"/>
      <c r="F429" s="43"/>
      <c r="H429" s="43"/>
      <c r="I429" s="44"/>
      <c r="J429" s="44"/>
      <c r="K429" s="43"/>
    </row>
    <row r="430" spans="5:11" s="32" customFormat="1">
      <c r="E430" s="42"/>
      <c r="F430" s="43"/>
      <c r="H430" s="43"/>
      <c r="I430" s="44"/>
      <c r="J430" s="44"/>
      <c r="K430" s="43"/>
    </row>
    <row r="431" spans="5:11" s="32" customFormat="1">
      <c r="E431" s="42"/>
      <c r="F431" s="43"/>
      <c r="H431" s="43"/>
      <c r="I431" s="44"/>
      <c r="J431" s="44"/>
      <c r="K431" s="43"/>
    </row>
    <row r="432" spans="5:11" s="32" customFormat="1">
      <c r="E432" s="42"/>
      <c r="F432" s="43"/>
      <c r="H432" s="43"/>
      <c r="I432" s="44"/>
      <c r="J432" s="44"/>
      <c r="K432" s="43"/>
    </row>
    <row r="433" spans="5:11" s="32" customFormat="1">
      <c r="E433" s="42"/>
      <c r="F433" s="43"/>
      <c r="H433" s="43"/>
      <c r="I433" s="44"/>
      <c r="J433" s="44"/>
      <c r="K433" s="43"/>
    </row>
    <row r="434" spans="5:11" s="32" customFormat="1">
      <c r="E434" s="42"/>
      <c r="F434" s="43"/>
      <c r="H434" s="43"/>
      <c r="I434" s="44"/>
      <c r="J434" s="44"/>
      <c r="K434" s="43"/>
    </row>
    <row r="435" spans="5:11" s="32" customFormat="1">
      <c r="E435" s="42"/>
      <c r="F435" s="43"/>
      <c r="H435" s="43"/>
      <c r="I435" s="44"/>
      <c r="J435" s="44"/>
      <c r="K435" s="43"/>
    </row>
    <row r="436" spans="5:11" s="32" customFormat="1">
      <c r="E436" s="42"/>
      <c r="F436" s="43"/>
      <c r="H436" s="43"/>
      <c r="I436" s="44"/>
      <c r="J436" s="44"/>
      <c r="K436" s="43"/>
    </row>
    <row r="437" spans="5:11" s="32" customFormat="1">
      <c r="E437" s="42"/>
      <c r="F437" s="43"/>
      <c r="H437" s="43"/>
      <c r="I437" s="44"/>
      <c r="J437" s="44"/>
      <c r="K437" s="43"/>
    </row>
    <row r="438" spans="5:11" s="32" customFormat="1">
      <c r="E438" s="42"/>
      <c r="F438" s="43"/>
      <c r="H438" s="43"/>
      <c r="I438" s="44"/>
      <c r="J438" s="44"/>
      <c r="K438" s="43"/>
    </row>
    <row r="439" spans="5:11" s="32" customFormat="1">
      <c r="E439" s="42"/>
      <c r="F439" s="43"/>
      <c r="H439" s="43"/>
      <c r="I439" s="44"/>
      <c r="J439" s="44"/>
      <c r="K439" s="43"/>
    </row>
    <row r="440" spans="5:11" s="32" customFormat="1">
      <c r="E440" s="42"/>
      <c r="F440" s="43"/>
      <c r="H440" s="43"/>
      <c r="I440" s="44"/>
      <c r="J440" s="44"/>
      <c r="K440" s="43"/>
    </row>
    <row r="441" spans="5:11" s="32" customFormat="1">
      <c r="E441" s="42"/>
      <c r="F441" s="43"/>
      <c r="H441" s="43"/>
      <c r="I441" s="44"/>
      <c r="J441" s="44"/>
      <c r="K441" s="43"/>
    </row>
    <row r="442" spans="5:11" s="32" customFormat="1">
      <c r="E442" s="42"/>
      <c r="F442" s="43"/>
      <c r="H442" s="43"/>
      <c r="I442" s="44"/>
      <c r="J442" s="44"/>
      <c r="K442" s="43"/>
    </row>
    <row r="443" spans="5:11" s="32" customFormat="1">
      <c r="E443" s="42"/>
      <c r="F443" s="43"/>
      <c r="H443" s="43"/>
      <c r="I443" s="44"/>
      <c r="J443" s="44"/>
      <c r="K443" s="43"/>
    </row>
    <row r="444" spans="5:11" s="32" customFormat="1">
      <c r="E444" s="42"/>
      <c r="F444" s="43"/>
      <c r="H444" s="43"/>
      <c r="I444" s="44"/>
      <c r="J444" s="44"/>
      <c r="K444" s="43"/>
    </row>
    <row r="445" spans="5:11" s="32" customFormat="1">
      <c r="E445" s="42"/>
      <c r="F445" s="43"/>
      <c r="H445" s="43"/>
      <c r="I445" s="44"/>
      <c r="J445" s="44"/>
      <c r="K445" s="43"/>
    </row>
    <row r="446" spans="5:11" s="32" customFormat="1">
      <c r="E446" s="42"/>
      <c r="F446" s="43"/>
      <c r="H446" s="43"/>
      <c r="I446" s="44"/>
      <c r="J446" s="44"/>
      <c r="K446" s="43"/>
    </row>
    <row r="447" spans="5:11" s="32" customFormat="1">
      <c r="E447" s="42"/>
      <c r="F447" s="43"/>
      <c r="H447" s="43"/>
      <c r="I447" s="44"/>
      <c r="J447" s="44"/>
      <c r="K447" s="43"/>
    </row>
    <row r="448" spans="5:11" s="32" customFormat="1">
      <c r="E448" s="42"/>
      <c r="F448" s="43"/>
      <c r="H448" s="43"/>
      <c r="I448" s="44"/>
      <c r="J448" s="44"/>
      <c r="K448" s="43"/>
    </row>
    <row r="449" spans="5:11" s="32" customFormat="1">
      <c r="E449" s="42"/>
      <c r="F449" s="43"/>
      <c r="H449" s="43"/>
      <c r="I449" s="44"/>
      <c r="J449" s="44"/>
      <c r="K449" s="43"/>
    </row>
    <row r="450" spans="5:11" s="32" customFormat="1">
      <c r="E450" s="42"/>
      <c r="F450" s="43"/>
      <c r="H450" s="43"/>
      <c r="I450" s="44"/>
      <c r="J450" s="44"/>
      <c r="K450" s="43"/>
    </row>
    <row r="451" spans="5:11" s="32" customFormat="1">
      <c r="E451" s="42"/>
      <c r="F451" s="43"/>
      <c r="H451" s="43"/>
      <c r="I451" s="44"/>
      <c r="J451" s="44"/>
      <c r="K451" s="43"/>
    </row>
    <row r="452" spans="5:11" s="32" customFormat="1">
      <c r="E452" s="42"/>
      <c r="F452" s="43"/>
      <c r="H452" s="43"/>
      <c r="I452" s="44"/>
      <c r="J452" s="44"/>
      <c r="K452" s="43"/>
    </row>
    <row r="453" spans="5:11" s="32" customFormat="1">
      <c r="E453" s="42"/>
      <c r="F453" s="43"/>
      <c r="H453" s="43"/>
      <c r="I453" s="44"/>
      <c r="J453" s="44"/>
      <c r="K453" s="43"/>
    </row>
    <row r="454" spans="5:11" s="32" customFormat="1">
      <c r="E454" s="42"/>
      <c r="F454" s="43"/>
      <c r="H454" s="43"/>
      <c r="I454" s="44"/>
      <c r="J454" s="44"/>
      <c r="K454" s="43"/>
    </row>
    <row r="455" spans="5:11" s="32" customFormat="1">
      <c r="E455" s="42"/>
      <c r="F455" s="43"/>
      <c r="H455" s="43"/>
      <c r="I455" s="44"/>
      <c r="J455" s="44"/>
      <c r="K455" s="43"/>
    </row>
    <row r="456" spans="5:11" s="32" customFormat="1">
      <c r="E456" s="42"/>
      <c r="F456" s="43"/>
      <c r="H456" s="43"/>
      <c r="I456" s="44"/>
      <c r="J456" s="44"/>
      <c r="K456" s="43"/>
    </row>
    <row r="457" spans="5:11" s="32" customFormat="1">
      <c r="E457" s="42"/>
      <c r="F457" s="43"/>
      <c r="H457" s="43"/>
      <c r="I457" s="44"/>
      <c r="J457" s="44"/>
      <c r="K457" s="43"/>
    </row>
    <row r="458" spans="5:11" s="32" customFormat="1">
      <c r="E458" s="42"/>
      <c r="F458" s="43"/>
      <c r="H458" s="43"/>
      <c r="I458" s="44"/>
      <c r="J458" s="44"/>
      <c r="K458" s="43"/>
    </row>
    <row r="459" spans="5:11" s="32" customFormat="1">
      <c r="E459" s="42"/>
      <c r="F459" s="43"/>
      <c r="H459" s="43"/>
      <c r="I459" s="44"/>
      <c r="J459" s="44"/>
      <c r="K459" s="43"/>
    </row>
    <row r="460" spans="5:11" s="32" customFormat="1">
      <c r="E460" s="42"/>
      <c r="F460" s="43"/>
      <c r="H460" s="43"/>
      <c r="I460" s="44"/>
      <c r="J460" s="44"/>
      <c r="K460" s="43"/>
    </row>
    <row r="461" spans="5:11" s="32" customFormat="1">
      <c r="E461" s="42"/>
      <c r="F461" s="43"/>
      <c r="H461" s="43"/>
      <c r="I461" s="44"/>
      <c r="J461" s="44"/>
      <c r="K461" s="43"/>
    </row>
    <row r="462" spans="5:11" s="32" customFormat="1">
      <c r="E462" s="42"/>
      <c r="F462" s="43"/>
      <c r="H462" s="43"/>
      <c r="I462" s="44"/>
      <c r="J462" s="44"/>
      <c r="K462" s="43"/>
    </row>
    <row r="463" spans="5:11" s="32" customFormat="1">
      <c r="E463" s="42"/>
      <c r="F463" s="43"/>
      <c r="H463" s="43"/>
      <c r="I463" s="44"/>
      <c r="J463" s="44"/>
      <c r="K463" s="43"/>
    </row>
    <row r="464" spans="5:11" s="32" customFormat="1">
      <c r="E464" s="42"/>
      <c r="F464" s="43"/>
      <c r="H464" s="43"/>
      <c r="I464" s="44"/>
      <c r="J464" s="44"/>
      <c r="K464" s="43"/>
    </row>
    <row r="465" spans="1:11">
      <c r="A465" s="32"/>
      <c r="B465" s="32"/>
      <c r="E465" s="42"/>
      <c r="F465" s="43"/>
      <c r="H465" s="43"/>
      <c r="I465" s="44"/>
      <c r="J465" s="44"/>
      <c r="K465" s="43"/>
    </row>
    <row r="466" spans="1:11">
      <c r="A466" s="32"/>
      <c r="B466" s="32"/>
      <c r="E466" s="42"/>
      <c r="F466" s="43"/>
      <c r="H466" s="43"/>
      <c r="I466" s="44"/>
      <c r="J466" s="44"/>
      <c r="K466" s="43"/>
    </row>
    <row r="467" spans="1:11">
      <c r="A467" s="32"/>
      <c r="B467" s="32"/>
      <c r="E467" s="42"/>
      <c r="F467" s="43"/>
      <c r="H467" s="43"/>
      <c r="I467" s="44"/>
      <c r="J467" s="44"/>
      <c r="K467" s="43"/>
    </row>
    <row r="468" spans="1:11">
      <c r="A468" s="32"/>
      <c r="B468" s="32"/>
      <c r="E468" s="42"/>
      <c r="F468" s="43"/>
      <c r="H468" s="43"/>
      <c r="I468" s="44"/>
      <c r="J468" s="44"/>
      <c r="K468" s="43"/>
    </row>
    <row r="469" spans="1:11">
      <c r="A469" s="32"/>
      <c r="B469" s="32"/>
      <c r="E469" s="42"/>
      <c r="F469" s="43"/>
      <c r="H469" s="43"/>
      <c r="I469" s="44"/>
      <c r="J469" s="44"/>
      <c r="K469" s="43"/>
    </row>
    <row r="470" spans="1:11">
      <c r="A470" s="32"/>
      <c r="B470" s="32"/>
      <c r="E470" s="42"/>
      <c r="F470" s="43"/>
      <c r="H470" s="43"/>
      <c r="I470" s="44"/>
      <c r="J470" s="44"/>
      <c r="K470" s="43"/>
    </row>
    <row r="471" spans="1:11">
      <c r="A471" s="32"/>
      <c r="B471" s="32"/>
      <c r="E471" s="42"/>
      <c r="F471" s="43"/>
      <c r="H471" s="43"/>
      <c r="I471" s="44"/>
      <c r="J471" s="44"/>
      <c r="K471" s="43"/>
    </row>
    <row r="472" spans="1:11">
      <c r="A472" s="32"/>
      <c r="B472" s="32"/>
      <c r="E472" s="42"/>
      <c r="F472" s="43"/>
      <c r="H472" s="43"/>
      <c r="I472" s="44"/>
      <c r="J472" s="44"/>
      <c r="K472" s="43"/>
    </row>
    <row r="473" spans="1:11">
      <c r="A473" s="32"/>
      <c r="B473" s="32"/>
      <c r="E473" s="42"/>
      <c r="F473" s="43"/>
      <c r="H473" s="43"/>
      <c r="I473" s="44"/>
      <c r="J473" s="44"/>
      <c r="K473" s="43"/>
    </row>
    <row r="474" spans="1:11">
      <c r="A474" s="32"/>
      <c r="B474" s="32"/>
      <c r="E474" s="42"/>
      <c r="F474" s="43"/>
      <c r="H474" s="43"/>
      <c r="I474" s="44"/>
      <c r="J474" s="44"/>
      <c r="K474" s="43"/>
    </row>
    <row r="475" spans="1:11">
      <c r="A475" s="32"/>
      <c r="B475" s="32"/>
      <c r="E475" s="42"/>
      <c r="F475" s="43"/>
      <c r="H475" s="43"/>
      <c r="I475" s="44"/>
      <c r="J475" s="44"/>
      <c r="K475" s="43"/>
    </row>
    <row r="476" spans="1:11">
      <c r="A476" s="32"/>
      <c r="B476" s="32"/>
      <c r="E476" s="42"/>
      <c r="F476" s="43"/>
      <c r="H476" s="43"/>
      <c r="I476" s="44"/>
      <c r="J476" s="44"/>
      <c r="K476" s="43"/>
    </row>
    <row r="477" spans="1:11">
      <c r="A477" s="32"/>
      <c r="B477" s="32"/>
      <c r="E477" s="42"/>
      <c r="F477" s="43"/>
      <c r="H477" s="43"/>
      <c r="I477" s="44"/>
      <c r="J477" s="44"/>
      <c r="K477" s="43"/>
    </row>
    <row r="478" spans="1:11">
      <c r="A478" s="32"/>
      <c r="B478" s="32"/>
      <c r="E478" s="42"/>
      <c r="F478" s="43"/>
      <c r="H478" s="43"/>
      <c r="I478" s="44"/>
      <c r="J478" s="44"/>
      <c r="K478" s="43"/>
    </row>
    <row r="479" spans="1:11">
      <c r="A479" s="32"/>
      <c r="B479" s="32"/>
      <c r="E479" s="42"/>
      <c r="F479" s="43"/>
      <c r="H479" s="43"/>
      <c r="I479" s="44"/>
      <c r="J479" s="44"/>
      <c r="K479" s="43"/>
    </row>
    <row r="480" spans="1:11">
      <c r="A480" s="32"/>
      <c r="B480" s="32"/>
      <c r="E480" s="42"/>
      <c r="F480" s="43"/>
      <c r="H480" s="43"/>
      <c r="I480" s="44"/>
      <c r="J480" s="44"/>
      <c r="K480" s="43"/>
    </row>
    <row r="481" spans="1:11">
      <c r="A481" s="32"/>
      <c r="B481" s="32"/>
      <c r="E481" s="42"/>
      <c r="F481" s="43"/>
      <c r="H481" s="43"/>
      <c r="I481" s="44"/>
      <c r="J481" s="44"/>
      <c r="K481" s="43"/>
    </row>
    <row r="482" spans="1:11">
      <c r="A482" s="32"/>
      <c r="B482" s="32"/>
      <c r="E482" s="42"/>
      <c r="F482" s="43"/>
      <c r="H482" s="43"/>
      <c r="I482" s="44"/>
      <c r="J482" s="44"/>
      <c r="K482" s="43"/>
    </row>
    <row r="483" spans="1:11">
      <c r="A483" s="32"/>
      <c r="B483" s="32"/>
      <c r="E483" s="42"/>
      <c r="F483" s="43"/>
      <c r="H483" s="43"/>
      <c r="I483" s="44"/>
      <c r="J483" s="44"/>
      <c r="K483" s="43"/>
    </row>
    <row r="484" spans="1:11">
      <c r="A484" s="32"/>
      <c r="B484" s="32"/>
      <c r="E484" s="42"/>
      <c r="F484" s="43"/>
      <c r="H484" s="43"/>
      <c r="I484" s="44"/>
      <c r="J484" s="44"/>
      <c r="K484" s="43"/>
    </row>
    <row r="485" spans="1:11">
      <c r="A485" s="32"/>
      <c r="B485" s="32"/>
      <c r="E485" s="42"/>
      <c r="F485" s="43"/>
      <c r="H485" s="43"/>
      <c r="I485" s="44"/>
      <c r="J485" s="44"/>
      <c r="K485" s="43"/>
    </row>
    <row r="486" spans="1:11">
      <c r="A486" s="32"/>
      <c r="B486" s="32"/>
      <c r="E486" s="42"/>
      <c r="F486" s="43"/>
      <c r="H486" s="43"/>
      <c r="I486" s="44"/>
      <c r="J486" s="44"/>
      <c r="K486" s="43"/>
    </row>
    <row r="487" spans="1:11">
      <c r="A487" s="32"/>
      <c r="B487" s="32"/>
      <c r="E487" s="42"/>
      <c r="F487" s="43"/>
      <c r="H487" s="43"/>
      <c r="I487" s="44"/>
      <c r="J487" s="44"/>
      <c r="K487" s="43"/>
    </row>
    <row r="488" spans="1:11">
      <c r="A488" s="32"/>
      <c r="B488" s="32"/>
      <c r="E488" s="42"/>
      <c r="F488" s="43"/>
      <c r="H488" s="43"/>
      <c r="I488" s="44"/>
      <c r="J488" s="44"/>
      <c r="K488" s="43"/>
    </row>
    <row r="489" spans="1:11">
      <c r="A489" s="32"/>
      <c r="B489" s="32"/>
      <c r="E489" s="42"/>
      <c r="F489" s="43"/>
      <c r="H489" s="43"/>
      <c r="I489" s="44"/>
      <c r="J489" s="44"/>
      <c r="K489" s="43"/>
    </row>
    <row r="490" spans="1:11">
      <c r="A490" s="32"/>
      <c r="B490" s="32"/>
      <c r="E490" s="42"/>
      <c r="F490" s="43"/>
      <c r="H490" s="43"/>
      <c r="I490" s="44"/>
      <c r="J490" s="44"/>
      <c r="K490" s="43"/>
    </row>
    <row r="491" spans="1:11">
      <c r="A491" s="32"/>
      <c r="B491" s="32"/>
      <c r="E491" s="42"/>
      <c r="F491" s="43"/>
      <c r="H491" s="43"/>
      <c r="I491" s="44"/>
      <c r="J491" s="44"/>
      <c r="K491" s="43"/>
    </row>
    <row r="492" spans="1:11">
      <c r="A492" s="32"/>
      <c r="B492" s="32"/>
      <c r="E492" s="42"/>
      <c r="F492" s="43"/>
      <c r="H492" s="43"/>
      <c r="I492" s="44"/>
      <c r="J492" s="44"/>
      <c r="K492" s="43"/>
    </row>
    <row r="493" spans="1:11">
      <c r="A493" s="32"/>
      <c r="B493" s="32"/>
      <c r="E493" s="42"/>
      <c r="F493" s="43"/>
      <c r="H493" s="43"/>
      <c r="I493" s="44"/>
      <c r="J493" s="44"/>
      <c r="K493" s="43"/>
    </row>
    <row r="494" spans="1:11">
      <c r="A494" s="32"/>
      <c r="B494" s="32"/>
      <c r="E494" s="42"/>
      <c r="F494" s="43"/>
      <c r="H494" s="43"/>
      <c r="I494" s="44"/>
      <c r="J494" s="44"/>
      <c r="K494" s="43"/>
    </row>
    <row r="495" spans="1:11">
      <c r="A495" s="32"/>
      <c r="B495" s="32"/>
      <c r="E495" s="42"/>
      <c r="F495" s="43"/>
      <c r="H495" s="43"/>
      <c r="I495" s="44"/>
      <c r="J495" s="44"/>
      <c r="K495" s="43"/>
    </row>
    <row r="496" spans="1:11">
      <c r="A496" s="32"/>
      <c r="B496" s="32"/>
      <c r="E496" s="42"/>
      <c r="F496" s="43"/>
      <c r="H496" s="43"/>
      <c r="I496" s="44"/>
      <c r="J496" s="44"/>
      <c r="K496" s="43"/>
    </row>
    <row r="497" spans="1:11">
      <c r="A497" s="32"/>
      <c r="B497" s="32"/>
      <c r="E497" s="42"/>
      <c r="F497" s="43"/>
      <c r="H497" s="43"/>
      <c r="I497" s="44"/>
      <c r="J497" s="44"/>
      <c r="K497" s="43"/>
    </row>
    <row r="498" spans="1:11">
      <c r="A498" s="32"/>
      <c r="B498" s="32"/>
      <c r="E498" s="42"/>
      <c r="F498" s="43"/>
      <c r="H498" s="43"/>
      <c r="I498" s="44"/>
      <c r="J498" s="44"/>
      <c r="K498" s="43"/>
    </row>
    <row r="499" spans="1:11">
      <c r="A499" s="32"/>
      <c r="B499" s="32"/>
      <c r="E499" s="42"/>
      <c r="F499" s="43"/>
      <c r="H499" s="43"/>
      <c r="I499" s="44"/>
      <c r="J499" s="44"/>
      <c r="K499" s="43"/>
    </row>
    <row r="500" spans="1:11">
      <c r="A500" s="32"/>
      <c r="B500" s="32"/>
      <c r="E500" s="42"/>
      <c r="F500" s="43"/>
      <c r="H500" s="43"/>
      <c r="I500" s="44"/>
      <c r="J500" s="44"/>
      <c r="K500" s="43"/>
    </row>
    <row r="501" spans="1:11">
      <c r="A501" s="32"/>
      <c r="B501" s="32"/>
      <c r="E501" s="42"/>
      <c r="F501" s="43"/>
      <c r="H501" s="43"/>
      <c r="I501" s="44"/>
      <c r="J501" s="44"/>
      <c r="K501" s="43"/>
    </row>
    <row r="502" spans="1:11">
      <c r="A502" s="32"/>
      <c r="B502" s="32"/>
      <c r="E502" s="42"/>
      <c r="F502" s="43"/>
      <c r="H502" s="43"/>
      <c r="I502" s="44"/>
      <c r="J502" s="44"/>
      <c r="K502" s="43"/>
    </row>
    <row r="503" spans="1:11">
      <c r="A503" s="32"/>
      <c r="B503" s="32"/>
      <c r="E503" s="42"/>
      <c r="F503" s="43"/>
      <c r="H503" s="43"/>
      <c r="I503" s="44"/>
      <c r="J503" s="44"/>
      <c r="K503" s="43"/>
    </row>
    <row r="504" spans="1:11">
      <c r="A504" s="32"/>
      <c r="B504" s="32"/>
      <c r="E504" s="42"/>
      <c r="F504" s="43"/>
      <c r="H504" s="43"/>
      <c r="I504" s="44"/>
      <c r="J504" s="44"/>
      <c r="K504" s="43"/>
    </row>
    <row r="505" spans="1:11">
      <c r="A505" s="32"/>
      <c r="B505" s="32"/>
      <c r="E505" s="42"/>
      <c r="F505" s="43"/>
      <c r="H505" s="43"/>
      <c r="I505" s="44"/>
      <c r="J505" s="44"/>
      <c r="K505" s="43"/>
    </row>
    <row r="506" spans="1:11">
      <c r="A506" s="32"/>
      <c r="B506" s="32"/>
      <c r="E506" s="42"/>
      <c r="F506" s="43"/>
      <c r="H506" s="43"/>
      <c r="I506" s="44"/>
      <c r="J506" s="44"/>
      <c r="K506" s="43"/>
    </row>
    <row r="507" spans="1:11">
      <c r="A507" s="32"/>
      <c r="B507" s="32"/>
      <c r="E507" s="42"/>
      <c r="F507" s="43"/>
      <c r="H507" s="43"/>
      <c r="I507" s="44"/>
      <c r="J507" s="44"/>
      <c r="K507" s="43"/>
    </row>
    <row r="508" spans="1:11">
      <c r="A508" s="32"/>
      <c r="B508" s="32"/>
      <c r="E508" s="42"/>
      <c r="F508" s="43"/>
      <c r="H508" s="43"/>
      <c r="I508" s="44"/>
      <c r="J508" s="44"/>
      <c r="K508" s="43"/>
    </row>
    <row r="509" spans="1:11">
      <c r="A509" s="32"/>
      <c r="B509" s="32"/>
      <c r="E509" s="42"/>
      <c r="F509" s="43"/>
      <c r="H509" s="43"/>
      <c r="I509" s="44"/>
      <c r="J509" s="44"/>
      <c r="K509" s="43"/>
    </row>
    <row r="510" spans="1:11">
      <c r="A510" s="32"/>
      <c r="B510" s="32"/>
      <c r="E510" s="42"/>
      <c r="F510" s="43"/>
      <c r="H510" s="43"/>
      <c r="I510" s="44"/>
      <c r="J510" s="44"/>
      <c r="K510" s="43"/>
    </row>
    <row r="511" spans="1:11">
      <c r="A511" s="32"/>
      <c r="B511" s="32"/>
      <c r="E511" s="42"/>
      <c r="F511" s="43"/>
      <c r="H511" s="43"/>
      <c r="I511" s="44"/>
      <c r="J511" s="44"/>
      <c r="K511" s="43"/>
    </row>
    <row r="512" spans="1:11">
      <c r="A512" s="32"/>
      <c r="B512" s="32"/>
      <c r="E512" s="42"/>
      <c r="F512" s="43"/>
      <c r="H512" s="43"/>
      <c r="I512" s="44"/>
      <c r="J512" s="44"/>
      <c r="K512" s="43"/>
    </row>
    <row r="513" spans="1:11">
      <c r="A513" s="32"/>
      <c r="B513" s="32"/>
      <c r="E513" s="42"/>
      <c r="F513" s="43"/>
      <c r="H513" s="43"/>
      <c r="I513" s="44"/>
      <c r="J513" s="44"/>
      <c r="K513" s="43"/>
    </row>
  </sheetData>
  <mergeCells count="6">
    <mergeCell ref="D7:E7"/>
    <mergeCell ref="A1:L1"/>
    <mergeCell ref="A2:L2"/>
    <mergeCell ref="A3:L3"/>
    <mergeCell ref="A4:L4"/>
    <mergeCell ref="H6:I6"/>
  </mergeCells>
  <printOptions horizontalCentered="1"/>
  <pageMargins left="0.5" right="0.5" top="0.7" bottom="0.55000000000000004" header="0.5" footer="0.5"/>
  <pageSetup scale="72" fitToHeight="3" orientation="landscape" horizontalDpi="300" verticalDpi="300" r:id="rId1"/>
  <headerFooter alignWithMargins="0">
    <oddHeader>&amp;RPage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2"/>
  <sheetViews>
    <sheetView tabSelected="1" view="pageLayout" zoomScaleNormal="100" workbookViewId="0">
      <selection activeCell="B1" sqref="B1"/>
    </sheetView>
  </sheetViews>
  <sheetFormatPr defaultColWidth="9.140625" defaultRowHeight="12.75"/>
  <cols>
    <col min="1" max="1" width="3" style="4" customWidth="1"/>
    <col min="2" max="2" width="5.5703125" style="4" bestFit="1" customWidth="1"/>
    <col min="3" max="3" width="29.140625" style="4" bestFit="1" customWidth="1"/>
    <col min="4" max="4" width="15.140625" style="4" customWidth="1"/>
    <col min="5" max="5" width="13.85546875" style="4" bestFit="1" customWidth="1"/>
    <col min="6" max="6" width="9" style="4" bestFit="1" customWidth="1"/>
    <col min="7" max="7" width="9.7109375" style="5" customWidth="1"/>
    <col min="8" max="8" width="5.42578125" style="4" bestFit="1" customWidth="1"/>
    <col min="9" max="10" width="7.85546875" style="4" bestFit="1" customWidth="1"/>
    <col min="11" max="11" width="2" style="4" bestFit="1" customWidth="1"/>
    <col min="12" max="12" width="7.5703125" style="4" customWidth="1"/>
    <col min="13" max="13" width="9.140625" style="4"/>
    <col min="14" max="14" width="11.5703125" style="4" customWidth="1"/>
    <col min="15" max="16" width="11.42578125" style="4" bestFit="1" customWidth="1"/>
    <col min="17" max="17" width="8.42578125" style="4" bestFit="1" customWidth="1"/>
    <col min="18" max="18" width="11.7109375" style="4" customWidth="1"/>
    <col min="19" max="19" width="1.42578125" style="4" customWidth="1"/>
    <col min="20" max="20" width="8" style="5" customWidth="1"/>
    <col min="21" max="21" width="9.140625" style="4"/>
    <col min="22" max="22" width="11.140625" style="4" bestFit="1" customWidth="1"/>
    <col min="23" max="23" width="12" style="4" bestFit="1" customWidth="1"/>
    <col min="24" max="16384" width="9.140625" style="4"/>
  </cols>
  <sheetData>
    <row r="1" spans="1:20" s="21" customFormat="1" ht="15.75">
      <c r="A1" s="20" t="s">
        <v>43</v>
      </c>
      <c r="B1" s="20"/>
      <c r="G1" s="26"/>
      <c r="T1" s="26"/>
    </row>
    <row r="2" spans="1:20" s="21" customFormat="1" ht="15.75">
      <c r="A2" s="20" t="s">
        <v>44</v>
      </c>
      <c r="B2" s="20"/>
      <c r="G2" s="26"/>
      <c r="T2" s="26"/>
    </row>
    <row r="4" spans="1:20">
      <c r="B4" s="5" t="s">
        <v>45</v>
      </c>
      <c r="N4" s="5"/>
    </row>
    <row r="5" spans="1:20">
      <c r="B5" s="5" t="s">
        <v>46</v>
      </c>
      <c r="C5" s="5" t="s">
        <v>47</v>
      </c>
      <c r="E5" s="5" t="s">
        <v>48</v>
      </c>
      <c r="F5" s="5" t="s">
        <v>49</v>
      </c>
      <c r="G5" s="5" t="s">
        <v>50</v>
      </c>
      <c r="I5" s="5" t="s">
        <v>51</v>
      </c>
      <c r="J5" s="5" t="s">
        <v>51</v>
      </c>
      <c r="K5" s="5"/>
      <c r="L5" s="5" t="s">
        <v>52</v>
      </c>
      <c r="M5" s="5" t="s">
        <v>53</v>
      </c>
      <c r="N5" s="5" t="s">
        <v>54</v>
      </c>
      <c r="O5" s="5" t="s">
        <v>55</v>
      </c>
      <c r="P5" s="5" t="s">
        <v>56</v>
      </c>
      <c r="Q5" s="5" t="s">
        <v>57</v>
      </c>
      <c r="R5" s="5" t="s">
        <v>58</v>
      </c>
    </row>
    <row r="6" spans="1:20">
      <c r="A6" s="15"/>
      <c r="B6" s="14" t="s">
        <v>59</v>
      </c>
      <c r="C6" s="14" t="s">
        <v>60</v>
      </c>
      <c r="D6" s="14" t="s">
        <v>61</v>
      </c>
      <c r="E6" s="14" t="s">
        <v>62</v>
      </c>
      <c r="F6" s="14" t="s">
        <v>63</v>
      </c>
      <c r="G6" s="14" t="s">
        <v>63</v>
      </c>
      <c r="H6" s="14" t="s">
        <v>64</v>
      </c>
      <c r="I6" s="14" t="s">
        <v>65</v>
      </c>
      <c r="J6" s="14" t="s">
        <v>66</v>
      </c>
      <c r="K6" s="14"/>
      <c r="L6" s="14" t="s">
        <v>54</v>
      </c>
      <c r="M6" s="14" t="s">
        <v>67</v>
      </c>
      <c r="N6" s="14" t="s">
        <v>68</v>
      </c>
      <c r="O6" s="14" t="s">
        <v>69</v>
      </c>
      <c r="P6" s="14" t="s">
        <v>69</v>
      </c>
      <c r="Q6" s="14" t="s">
        <v>70</v>
      </c>
      <c r="R6" s="14" t="s">
        <v>71</v>
      </c>
      <c r="T6" s="14" t="s">
        <v>72</v>
      </c>
    </row>
    <row r="7" spans="1:20">
      <c r="A7" s="5">
        <v>1</v>
      </c>
      <c r="B7" s="5">
        <v>12</v>
      </c>
      <c r="C7" s="16" t="s">
        <v>73</v>
      </c>
      <c r="D7" s="12">
        <v>350000000</v>
      </c>
      <c r="E7" s="12">
        <f>D7</f>
        <v>350000000</v>
      </c>
      <c r="F7" s="2">
        <f>DATE(2006,8,10)</f>
        <v>38939</v>
      </c>
      <c r="G7" s="2">
        <f>DATE(2036,8,1)</f>
        <v>49888</v>
      </c>
      <c r="H7" s="3">
        <f t="shared" ref="H7:H11" si="0">YEARFRAC(F7,G7)</f>
        <v>29.975000000000001</v>
      </c>
      <c r="I7" s="11">
        <v>5.0639999999999998E-2</v>
      </c>
      <c r="J7" s="11">
        <v>1.06E-2</v>
      </c>
      <c r="K7" s="11"/>
      <c r="L7" s="7">
        <f>I7+J7</f>
        <v>6.1239999999999996E-2</v>
      </c>
      <c r="M7" s="31">
        <v>6.0999999999999999E-2</v>
      </c>
      <c r="N7" s="10">
        <v>1141000</v>
      </c>
      <c r="O7" s="10">
        <v>2907880.81</v>
      </c>
      <c r="P7" s="29">
        <v>0</v>
      </c>
      <c r="Q7" s="9">
        <f t="shared" ref="Q7:Q13" si="1">ROUND(YIELD(F7,G7,M7,(E7-N7-O7-P7)/E7*100,100,2,0),5)</f>
        <v>6.1850000000000002E-2</v>
      </c>
      <c r="R7" s="12">
        <f>E7*Q7</f>
        <v>21647500</v>
      </c>
      <c r="T7" s="13">
        <v>7.0000000000000001E-3</v>
      </c>
    </row>
    <row r="8" spans="1:20">
      <c r="A8" s="5">
        <f>A7+1</f>
        <v>2</v>
      </c>
      <c r="B8" s="5">
        <v>13</v>
      </c>
      <c r="C8" s="1" t="s">
        <v>74</v>
      </c>
      <c r="D8" s="12">
        <v>600000000</v>
      </c>
      <c r="E8" s="12">
        <f>D8</f>
        <v>600000000</v>
      </c>
      <c r="F8" s="2">
        <f>DATE(2007,3,14)</f>
        <v>39155</v>
      </c>
      <c r="G8" s="2">
        <f>DATE(2037,4,1)</f>
        <v>50131</v>
      </c>
      <c r="H8" s="3">
        <f t="shared" si="0"/>
        <v>30.047222222222221</v>
      </c>
      <c r="I8" s="11">
        <v>4.7500000000000001E-2</v>
      </c>
      <c r="J8" s="11">
        <v>0.01</v>
      </c>
      <c r="K8" s="11"/>
      <c r="L8" s="7">
        <f t="shared" ref="L8:L11" si="2">I8+J8</f>
        <v>5.7500000000000002E-2</v>
      </c>
      <c r="M8" s="31">
        <v>5.7500000000000002E-2</v>
      </c>
      <c r="N8" s="10">
        <v>24000</v>
      </c>
      <c r="O8" s="10">
        <v>589216.14</v>
      </c>
      <c r="P8" s="29">
        <v>0</v>
      </c>
      <c r="Q8" s="9">
        <f t="shared" si="1"/>
        <v>5.7570000000000003E-2</v>
      </c>
      <c r="R8" s="12">
        <f>E8*Q8</f>
        <v>34542000</v>
      </c>
      <c r="T8" s="13">
        <v>0</v>
      </c>
    </row>
    <row r="9" spans="1:20">
      <c r="A9" s="5">
        <f t="shared" ref="A9:A17" si="3">A8+1</f>
        <v>3</v>
      </c>
      <c r="B9" s="5">
        <v>14</v>
      </c>
      <c r="C9" s="1" t="s">
        <v>75</v>
      </c>
      <c r="D9" s="12">
        <v>600000000</v>
      </c>
      <c r="E9" s="12">
        <f>D9</f>
        <v>600000000</v>
      </c>
      <c r="F9" s="2">
        <f>DATE(2007,10,3)</f>
        <v>39358</v>
      </c>
      <c r="G9" s="2">
        <f>DATE(2037,10,15)</f>
        <v>50328</v>
      </c>
      <c r="H9" s="3">
        <f t="shared" si="0"/>
        <v>30.033333333333335</v>
      </c>
      <c r="I9" s="11">
        <v>4.8590000000000001E-2</v>
      </c>
      <c r="J9" s="11">
        <v>1.4E-2</v>
      </c>
      <c r="K9" s="11"/>
      <c r="L9" s="7">
        <f t="shared" si="2"/>
        <v>6.2590000000000007E-2</v>
      </c>
      <c r="M9" s="31">
        <v>6.25E-2</v>
      </c>
      <c r="N9" s="10">
        <v>750000</v>
      </c>
      <c r="O9" s="10">
        <v>5127281.03</v>
      </c>
      <c r="P9" s="29">
        <v>0</v>
      </c>
      <c r="Q9" s="9">
        <f t="shared" si="1"/>
        <v>6.3229999999999995E-2</v>
      </c>
      <c r="R9" s="12">
        <f>E9*Q9</f>
        <v>37938000</v>
      </c>
      <c r="T9" s="13">
        <v>7.7499999999999999E-3</v>
      </c>
    </row>
    <row r="10" spans="1:20">
      <c r="A10" s="5">
        <f t="shared" si="3"/>
        <v>4</v>
      </c>
      <c r="B10" s="5">
        <v>15</v>
      </c>
      <c r="C10" s="1" t="s">
        <v>76</v>
      </c>
      <c r="D10" s="12">
        <v>300000000</v>
      </c>
      <c r="E10" s="12">
        <f>D10</f>
        <v>300000000</v>
      </c>
      <c r="F10" s="2">
        <f>DATE(2008,7,17)</f>
        <v>39646</v>
      </c>
      <c r="G10" s="2">
        <f>DATE(2038,7,15)</f>
        <v>50601</v>
      </c>
      <c r="H10" s="3">
        <f t="shared" si="0"/>
        <v>29.994444444444444</v>
      </c>
      <c r="I10" s="11">
        <v>4.4720000000000003E-2</v>
      </c>
      <c r="J10" s="11">
        <v>1.9199999999999998E-2</v>
      </c>
      <c r="K10" s="11"/>
      <c r="L10" s="7">
        <f t="shared" si="2"/>
        <v>6.3920000000000005E-2</v>
      </c>
      <c r="M10" s="31">
        <v>6.3500000000000001E-2</v>
      </c>
      <c r="N10" s="10">
        <v>1671000</v>
      </c>
      <c r="O10" s="10">
        <f>2289957.54+375</f>
        <v>2290332.54</v>
      </c>
      <c r="P10" s="29">
        <v>0</v>
      </c>
      <c r="Q10" s="9">
        <f t="shared" si="1"/>
        <v>6.4500000000000002E-2</v>
      </c>
      <c r="R10" s="12">
        <f>E10*Q10</f>
        <v>19350000</v>
      </c>
      <c r="T10" s="13">
        <v>7.0000000000000001E-3</v>
      </c>
    </row>
    <row r="11" spans="1:20">
      <c r="A11" s="5">
        <f t="shared" si="3"/>
        <v>5</v>
      </c>
      <c r="B11" s="5">
        <v>16</v>
      </c>
      <c r="C11" s="1" t="s">
        <v>77</v>
      </c>
      <c r="D11" s="12">
        <v>650000000</v>
      </c>
      <c r="E11" s="12">
        <f>D11</f>
        <v>650000000</v>
      </c>
      <c r="F11" s="2">
        <f>DATE(2009,1,8)</f>
        <v>39821</v>
      </c>
      <c r="G11" s="2">
        <f>DATE(2039,1,15)</f>
        <v>50785</v>
      </c>
      <c r="H11" s="3">
        <f t="shared" si="0"/>
        <v>30.019444444444446</v>
      </c>
      <c r="I11" s="22">
        <v>2.9690000000000001E-2</v>
      </c>
      <c r="J11" s="22">
        <v>3.1E-2</v>
      </c>
      <c r="K11" s="22"/>
      <c r="L11" s="7">
        <f t="shared" si="2"/>
        <v>6.0690000000000001E-2</v>
      </c>
      <c r="M11" s="31">
        <v>0.06</v>
      </c>
      <c r="N11" s="10">
        <v>6175000.0000000009</v>
      </c>
      <c r="O11" s="10">
        <v>6134686.8199999994</v>
      </c>
      <c r="P11" s="29">
        <v>0</v>
      </c>
      <c r="Q11" s="9">
        <f t="shared" si="1"/>
        <v>6.139E-2</v>
      </c>
      <c r="R11" s="12">
        <f t="shared" ref="R11:R16" si="4">E11*Q11</f>
        <v>39903500</v>
      </c>
      <c r="T11" s="59">
        <v>8.7500000000000008E-3</v>
      </c>
    </row>
    <row r="12" spans="1:20">
      <c r="A12" s="5">
        <f t="shared" si="3"/>
        <v>6</v>
      </c>
      <c r="B12" s="5">
        <v>17</v>
      </c>
      <c r="C12" s="1" t="s">
        <v>78</v>
      </c>
      <c r="D12" s="12">
        <v>300000000</v>
      </c>
      <c r="E12" s="12">
        <f t="shared" ref="E12" si="5">D12</f>
        <v>300000000</v>
      </c>
      <c r="F12" s="2">
        <f>DATE(2012,1,6)</f>
        <v>40914</v>
      </c>
      <c r="G12" s="2">
        <f>DATE(2042,2,1)</f>
        <v>51898</v>
      </c>
      <c r="H12" s="3">
        <f t="shared" ref="H12" si="6">YEARFRAC(F12,G12)</f>
        <v>30.069444444444443</v>
      </c>
      <c r="I12" s="22">
        <v>2.9690000000000001E-2</v>
      </c>
      <c r="J12" s="22">
        <v>1.15E-2</v>
      </c>
      <c r="K12" s="22"/>
      <c r="L12" s="7">
        <f t="shared" ref="L12:L13" si="7">I12+J12</f>
        <v>4.1190000000000004E-2</v>
      </c>
      <c r="M12" s="31">
        <v>4.1000000000000002E-2</v>
      </c>
      <c r="N12" s="10">
        <f>987000</f>
        <v>987000</v>
      </c>
      <c r="O12" s="10">
        <v>2737910.9299999997</v>
      </c>
      <c r="P12" s="29">
        <v>0</v>
      </c>
      <c r="Q12" s="9">
        <f t="shared" si="1"/>
        <v>4.1730000000000003E-2</v>
      </c>
      <c r="R12" s="12">
        <f t="shared" si="4"/>
        <v>12519000.000000002</v>
      </c>
      <c r="T12" s="13">
        <v>8.0000000000000002E-3</v>
      </c>
    </row>
    <row r="13" spans="1:20">
      <c r="A13" s="5">
        <f t="shared" si="3"/>
        <v>7</v>
      </c>
      <c r="B13" s="5">
        <v>3</v>
      </c>
      <c r="C13" s="1" t="s">
        <v>79</v>
      </c>
      <c r="D13" s="12">
        <v>425000000</v>
      </c>
      <c r="E13" s="12">
        <f>D13*2/5</f>
        <v>170000000</v>
      </c>
      <c r="F13" s="2">
        <f>DATE(2014,3,13)</f>
        <v>41711</v>
      </c>
      <c r="G13" s="2">
        <f>DATE(2024,4,1)</f>
        <v>45383</v>
      </c>
      <c r="H13" s="3">
        <f t="shared" ref="H13" si="8">YEARFRAC(F13,G13)</f>
        <v>10.050000000000001</v>
      </c>
      <c r="I13" s="22">
        <v>2.777E-2</v>
      </c>
      <c r="J13" s="22">
        <v>8.3000000000000001E-3</v>
      </c>
      <c r="K13" s="22"/>
      <c r="L13" s="7">
        <f t="shared" si="7"/>
        <v>3.6069999999999998E-2</v>
      </c>
      <c r="M13" s="31">
        <v>3.5999999999999997E-2</v>
      </c>
      <c r="N13" s="10">
        <f>(255000)*2/5</f>
        <v>102000</v>
      </c>
      <c r="O13" s="10">
        <f>(3345164.21)*2/5</f>
        <v>1338065.6839999999</v>
      </c>
      <c r="P13" s="10">
        <f>(1943074.52)*2/5</f>
        <v>777229.80799999996</v>
      </c>
      <c r="Q13" s="9">
        <f t="shared" si="1"/>
        <v>3.7569999999999999E-2</v>
      </c>
      <c r="R13" s="12">
        <f t="shared" si="4"/>
        <v>6386900</v>
      </c>
      <c r="T13" s="13">
        <v>6.1999999999999998E-3</v>
      </c>
    </row>
    <row r="14" spans="1:20">
      <c r="A14" s="5">
        <f t="shared" si="3"/>
        <v>8</v>
      </c>
      <c r="B14" s="5">
        <v>4</v>
      </c>
      <c r="C14" s="1" t="s">
        <v>80</v>
      </c>
      <c r="D14" s="12">
        <v>250000000</v>
      </c>
      <c r="E14" s="12">
        <f t="shared" ref="E14:E21" si="9">D14</f>
        <v>250000000</v>
      </c>
      <c r="F14" s="2">
        <f>DATE(2015,6,19)</f>
        <v>42174</v>
      </c>
      <c r="G14" s="2">
        <f>DATE(2025,7,1)</f>
        <v>45839</v>
      </c>
      <c r="H14" s="3">
        <f t="shared" ref="H14:H25" si="10">YEARFRAC(F14,G14)</f>
        <v>10.033333333333333</v>
      </c>
      <c r="I14" s="22">
        <v>2.315E-2</v>
      </c>
      <c r="J14" s="22">
        <v>1.0500000000000001E-2</v>
      </c>
      <c r="K14" s="22"/>
      <c r="L14" s="7">
        <f t="shared" ref="L14:L19" si="11">I14+J14</f>
        <v>3.3649999999999999E-2</v>
      </c>
      <c r="M14" s="31">
        <v>3.3500000000000002E-2</v>
      </c>
      <c r="N14" s="10">
        <v>320000</v>
      </c>
      <c r="O14" s="10">
        <v>2121421.02</v>
      </c>
      <c r="P14" s="10">
        <v>0</v>
      </c>
      <c r="Q14" s="9">
        <f t="shared" ref="Q14:Q25" si="12">ROUND(YIELD(F14,G14,M14,(E14-N14-O14-P14)/E14*100,100,2,0),5)</f>
        <v>3.4660000000000003E-2</v>
      </c>
      <c r="R14" s="12">
        <f t="shared" si="4"/>
        <v>8665000</v>
      </c>
      <c r="T14" s="13">
        <v>6.4999999999999997E-3</v>
      </c>
    </row>
    <row r="15" spans="1:20">
      <c r="A15" s="5">
        <f t="shared" si="3"/>
        <v>9</v>
      </c>
      <c r="B15" s="5">
        <v>18</v>
      </c>
      <c r="C15" s="1" t="s">
        <v>81</v>
      </c>
      <c r="D15" s="12">
        <v>600000000</v>
      </c>
      <c r="E15" s="12">
        <f t="shared" si="9"/>
        <v>600000000</v>
      </c>
      <c r="F15" s="2">
        <f>DATE(2018,7,13)</f>
        <v>43294</v>
      </c>
      <c r="G15" s="2">
        <f>DATE(2049,1,15)</f>
        <v>54438</v>
      </c>
      <c r="H15" s="3">
        <f t="shared" si="10"/>
        <v>30.505555555555556</v>
      </c>
      <c r="I15" s="22">
        <v>2.9680000000000002E-2</v>
      </c>
      <c r="J15" s="22">
        <v>1.17E-2</v>
      </c>
      <c r="K15" s="22"/>
      <c r="L15" s="7">
        <f t="shared" si="11"/>
        <v>4.138E-2</v>
      </c>
      <c r="M15" s="31">
        <v>4.1250000000000002E-2</v>
      </c>
      <c r="N15" s="10">
        <v>1344000</v>
      </c>
      <c r="O15" s="10">
        <v>5640084.5899999999</v>
      </c>
      <c r="P15" s="10">
        <v>0</v>
      </c>
      <c r="Q15" s="9">
        <f t="shared" si="12"/>
        <v>4.1930000000000002E-2</v>
      </c>
      <c r="R15" s="12">
        <f t="shared" si="4"/>
        <v>25158000</v>
      </c>
      <c r="T15" s="13">
        <v>8.0000000000000002E-3</v>
      </c>
    </row>
    <row r="16" spans="1:20">
      <c r="A16" s="5">
        <f t="shared" si="3"/>
        <v>10</v>
      </c>
      <c r="B16" s="5">
        <v>5</v>
      </c>
      <c r="C16" s="1" t="s">
        <v>82</v>
      </c>
      <c r="D16" s="12">
        <v>400000000</v>
      </c>
      <c r="E16" s="12">
        <f t="shared" si="9"/>
        <v>400000000</v>
      </c>
      <c r="F16" s="2">
        <f>DATE(2019,3,1)</f>
        <v>43525</v>
      </c>
      <c r="G16" s="2">
        <f>DATE(2029,6,15)</f>
        <v>47284</v>
      </c>
      <c r="H16" s="3">
        <f t="shared" si="10"/>
        <v>10.28888888888889</v>
      </c>
      <c r="I16" s="22">
        <v>2.6720000000000001E-2</v>
      </c>
      <c r="J16" s="22">
        <v>8.5000000000000006E-3</v>
      </c>
      <c r="K16" s="22"/>
      <c r="L16" s="7">
        <f t="shared" si="11"/>
        <v>3.5220000000000001E-2</v>
      </c>
      <c r="M16" s="31">
        <v>3.5000000000000003E-2</v>
      </c>
      <c r="N16" s="10">
        <v>740000</v>
      </c>
      <c r="O16" s="10">
        <v>2134051.12</v>
      </c>
      <c r="P16" s="10">
        <v>0</v>
      </c>
      <c r="Q16" s="9">
        <f t="shared" si="12"/>
        <v>3.5839999999999997E-2</v>
      </c>
      <c r="R16" s="12">
        <f t="shared" si="4"/>
        <v>14335999.999999998</v>
      </c>
      <c r="T16" s="13">
        <v>4.2500000000000003E-3</v>
      </c>
    </row>
    <row r="17" spans="1:22">
      <c r="A17" s="5">
        <f t="shared" si="3"/>
        <v>11</v>
      </c>
      <c r="B17" s="5">
        <v>19</v>
      </c>
      <c r="C17" s="1" t="s">
        <v>83</v>
      </c>
      <c r="D17" s="60">
        <v>600000000</v>
      </c>
      <c r="E17" s="12">
        <f t="shared" si="9"/>
        <v>600000000</v>
      </c>
      <c r="F17" s="2">
        <f>DATE(2019,3,1)</f>
        <v>43525</v>
      </c>
      <c r="G17" s="2">
        <f>DATE(2050,2,15)</f>
        <v>54834</v>
      </c>
      <c r="H17" s="3">
        <f t="shared" si="10"/>
        <v>30.955555555555556</v>
      </c>
      <c r="I17" s="22">
        <v>3.0269999999999998E-2</v>
      </c>
      <c r="J17" s="22">
        <v>1.15E-2</v>
      </c>
      <c r="K17" s="22"/>
      <c r="L17" s="7">
        <f t="shared" si="11"/>
        <v>4.1770000000000002E-2</v>
      </c>
      <c r="M17" s="31">
        <v>4.1500000000000002E-2</v>
      </c>
      <c r="N17" s="10">
        <v>2790000</v>
      </c>
      <c r="O17" s="10">
        <v>5148771.34</v>
      </c>
      <c r="P17" s="10">
        <v>0</v>
      </c>
      <c r="Q17" s="9">
        <f t="shared" si="12"/>
        <v>4.2270000000000002E-2</v>
      </c>
      <c r="R17" s="12">
        <f t="shared" ref="R17:R18" si="13">E17*Q17</f>
        <v>25362000</v>
      </c>
      <c r="T17" s="13">
        <v>7.4999999999999997E-3</v>
      </c>
    </row>
    <row r="18" spans="1:22">
      <c r="A18" s="5">
        <v>12</v>
      </c>
      <c r="B18" s="5">
        <v>6</v>
      </c>
      <c r="C18" s="1" t="s">
        <v>84</v>
      </c>
      <c r="D18" s="12">
        <v>400000000</v>
      </c>
      <c r="E18" s="12">
        <f t="shared" si="9"/>
        <v>400000000</v>
      </c>
      <c r="F18" s="2">
        <f>DATE(2020,4,8)</f>
        <v>43929</v>
      </c>
      <c r="G18" s="2">
        <f>DATE(2030,9,15)</f>
        <v>47741</v>
      </c>
      <c r="H18" s="3">
        <f t="shared" si="10"/>
        <v>10.436111111111112</v>
      </c>
      <c r="I18" s="22">
        <v>6.7000000000000002E-3</v>
      </c>
      <c r="J18" s="81">
        <v>2.0500000000000001E-2</v>
      </c>
      <c r="K18" s="22"/>
      <c r="L18" s="7">
        <f t="shared" si="11"/>
        <v>2.7200000000000002E-2</v>
      </c>
      <c r="M18" s="31">
        <v>2.7E-2</v>
      </c>
      <c r="N18" s="10">
        <v>720000</v>
      </c>
      <c r="O18" s="10">
        <v>2156791.17</v>
      </c>
      <c r="P18" s="10">
        <v>0</v>
      </c>
      <c r="Q18" s="9">
        <f t="shared" si="12"/>
        <v>2.7799999999999998E-2</v>
      </c>
      <c r="R18" s="12">
        <f t="shared" si="13"/>
        <v>11120000</v>
      </c>
      <c r="T18" s="13">
        <v>4.2500000000000003E-3</v>
      </c>
    </row>
    <row r="19" spans="1:22">
      <c r="A19" s="5">
        <v>13</v>
      </c>
      <c r="B19" s="5">
        <v>20</v>
      </c>
      <c r="C19" s="1" t="s">
        <v>85</v>
      </c>
      <c r="D19" s="60">
        <v>600000000</v>
      </c>
      <c r="E19" s="12">
        <f t="shared" si="9"/>
        <v>600000000</v>
      </c>
      <c r="F19" s="2">
        <f>DATE(2020,4,8)</f>
        <v>43929</v>
      </c>
      <c r="G19" s="2">
        <f>DATE(2051,3,15)</f>
        <v>55227</v>
      </c>
      <c r="H19" s="3">
        <f t="shared" si="10"/>
        <v>30.93611111111111</v>
      </c>
      <c r="I19" s="22">
        <v>1.2930000000000001E-2</v>
      </c>
      <c r="J19" s="81">
        <v>2.0500000000000001E-2</v>
      </c>
      <c r="K19" s="22"/>
      <c r="L19" s="7">
        <f t="shared" si="11"/>
        <v>3.3430000000000001E-2</v>
      </c>
      <c r="M19" s="31">
        <v>3.3000000000000002E-2</v>
      </c>
      <c r="N19" s="10">
        <v>4944000</v>
      </c>
      <c r="O19" s="10">
        <v>5183936.7699999996</v>
      </c>
      <c r="P19" s="10">
        <v>0</v>
      </c>
      <c r="Q19" s="9">
        <f t="shared" si="12"/>
        <v>3.388E-2</v>
      </c>
      <c r="R19" s="12">
        <f t="shared" ref="R19:R25" si="14">E19*Q19</f>
        <v>20328000</v>
      </c>
      <c r="T19" s="13">
        <v>7.4999999999999997E-3</v>
      </c>
    </row>
    <row r="20" spans="1:22">
      <c r="A20" s="5">
        <v>14</v>
      </c>
      <c r="B20" s="5">
        <v>21</v>
      </c>
      <c r="C20" s="1" t="s">
        <v>86</v>
      </c>
      <c r="D20" s="60">
        <v>1000000000</v>
      </c>
      <c r="E20" s="12">
        <f t="shared" si="9"/>
        <v>1000000000</v>
      </c>
      <c r="F20" s="2">
        <f>DATE(2021,7,9)</f>
        <v>44386</v>
      </c>
      <c r="G20" s="2">
        <f>DATE(2052,6,15)</f>
        <v>55685</v>
      </c>
      <c r="H20" s="3">
        <f t="shared" si="10"/>
        <v>30.933333333333334</v>
      </c>
      <c r="I20" s="22">
        <v>1.958E-2</v>
      </c>
      <c r="J20" s="81">
        <v>9.7999999999999997E-3</v>
      </c>
      <c r="K20" s="22"/>
      <c r="L20" s="7">
        <f t="shared" ref="L20:L22" si="15">I20+J20</f>
        <v>2.938E-2</v>
      </c>
      <c r="M20" s="31">
        <v>2.9000000000000001E-2</v>
      </c>
      <c r="N20" s="10">
        <v>7670000</v>
      </c>
      <c r="O20" s="10">
        <v>8927874</v>
      </c>
      <c r="P20" s="10">
        <v>0</v>
      </c>
      <c r="Q20" s="9">
        <f t="shared" si="12"/>
        <v>2.9819999999999999E-2</v>
      </c>
      <c r="R20" s="12">
        <f t="shared" si="14"/>
        <v>29820000</v>
      </c>
      <c r="T20" s="13">
        <v>7.4999999999999997E-3</v>
      </c>
    </row>
    <row r="21" spans="1:22">
      <c r="A21" s="5">
        <v>15</v>
      </c>
      <c r="B21" s="5">
        <v>22</v>
      </c>
      <c r="C21" s="1" t="s">
        <v>87</v>
      </c>
      <c r="D21" s="60">
        <v>1100000000</v>
      </c>
      <c r="E21" s="12">
        <f t="shared" si="9"/>
        <v>1100000000</v>
      </c>
      <c r="F21" s="2">
        <f>DATE(2022,12,1)</f>
        <v>44896</v>
      </c>
      <c r="G21" s="2">
        <f>DATE(2053,12,1)</f>
        <v>56219</v>
      </c>
      <c r="H21" s="3">
        <f t="shared" si="10"/>
        <v>31</v>
      </c>
      <c r="I21" s="22">
        <v>3.8399999999999997E-2</v>
      </c>
      <c r="J21" s="81">
        <v>1.5299999999999999E-2</v>
      </c>
      <c r="K21" s="22"/>
      <c r="L21" s="7">
        <f t="shared" si="15"/>
        <v>5.3699999999999998E-2</v>
      </c>
      <c r="M21" s="31">
        <v>5.3499999999999999E-2</v>
      </c>
      <c r="N21" s="10">
        <v>3300000</v>
      </c>
      <c r="O21" s="10">
        <f>8250000+1715000</f>
        <v>9965000</v>
      </c>
      <c r="P21" s="10">
        <v>0</v>
      </c>
      <c r="Q21" s="9">
        <f t="shared" si="12"/>
        <v>5.4309999999999997E-2</v>
      </c>
      <c r="R21" s="12">
        <f t="shared" ref="R21" si="16">E21*Q21</f>
        <v>59741000</v>
      </c>
      <c r="T21" s="13">
        <v>7.4999999999999997E-3</v>
      </c>
    </row>
    <row r="22" spans="1:22">
      <c r="A22" s="5">
        <v>16</v>
      </c>
      <c r="B22" s="5">
        <v>8</v>
      </c>
      <c r="C22" s="1" t="s">
        <v>88</v>
      </c>
      <c r="D22" s="60">
        <v>600000000</v>
      </c>
      <c r="E22" s="12">
        <f>D22</f>
        <v>600000000</v>
      </c>
      <c r="F22" s="2">
        <f>DATE(2023,6,15)</f>
        <v>45092</v>
      </c>
      <c r="G22" s="2">
        <f>DATE(2033,6,15)</f>
        <v>48745</v>
      </c>
      <c r="H22" s="3">
        <f t="shared" si="10"/>
        <v>10</v>
      </c>
      <c r="I22" s="22">
        <v>3.3274999999999999E-2</v>
      </c>
      <c r="J22" s="81">
        <v>1.0500000000000001E-2</v>
      </c>
      <c r="K22" s="22"/>
      <c r="L22" s="7">
        <f t="shared" si="15"/>
        <v>4.3775000000000001E-2</v>
      </c>
      <c r="M22" s="9">
        <f>L22</f>
        <v>4.3775000000000001E-2</v>
      </c>
      <c r="N22" s="10">
        <v>0</v>
      </c>
      <c r="O22" s="10">
        <v>4162800</v>
      </c>
      <c r="P22" s="10">
        <v>0</v>
      </c>
      <c r="Q22" s="9">
        <f t="shared" si="12"/>
        <v>4.4639999999999999E-2</v>
      </c>
      <c r="R22" s="12">
        <f t="shared" si="14"/>
        <v>26784000</v>
      </c>
      <c r="T22" s="13">
        <v>6.0000000000000001E-3</v>
      </c>
    </row>
    <row r="23" spans="1:22">
      <c r="A23" s="5">
        <v>17</v>
      </c>
      <c r="B23" s="5">
        <v>23</v>
      </c>
      <c r="C23" s="1" t="s">
        <v>89</v>
      </c>
      <c r="D23" s="60">
        <v>600000000</v>
      </c>
      <c r="E23" s="12">
        <f>D23</f>
        <v>600000000</v>
      </c>
      <c r="F23" s="2">
        <f>DATE(2023,6,15)</f>
        <v>45092</v>
      </c>
      <c r="G23" s="2">
        <f>DATE(2053,6,15)</f>
        <v>56050</v>
      </c>
      <c r="H23" s="3">
        <f t="shared" ref="H23:H24" si="17">YEARFRAC(F23,G23)</f>
        <v>30</v>
      </c>
      <c r="I23" s="22">
        <v>3.4653000000000003E-2</v>
      </c>
      <c r="J23" s="81">
        <v>1.2999999999999999E-2</v>
      </c>
      <c r="K23" s="22"/>
      <c r="L23" s="7">
        <f t="shared" ref="L23" si="18">I23+J23</f>
        <v>4.7653000000000001E-2</v>
      </c>
      <c r="M23" s="9">
        <f>L23</f>
        <v>4.7653000000000001E-2</v>
      </c>
      <c r="N23" s="10">
        <v>0</v>
      </c>
      <c r="O23" s="10">
        <v>5362800</v>
      </c>
      <c r="P23" s="10">
        <v>0</v>
      </c>
      <c r="Q23" s="9">
        <f t="shared" ref="Q23:Q24" si="19">ROUND(YIELD(F23,G23,M23,(E23-N23-O23-P23)/E23*100,100,2,0),5)</f>
        <v>4.8219999999999999E-2</v>
      </c>
      <c r="R23" s="12">
        <f t="shared" ref="R23:R24" si="20">E23*Q23</f>
        <v>28932000</v>
      </c>
      <c r="T23" s="13">
        <v>8.0000000000000002E-3</v>
      </c>
    </row>
    <row r="24" spans="1:22">
      <c r="A24" s="5">
        <v>18</v>
      </c>
      <c r="B24" s="5">
        <v>9</v>
      </c>
      <c r="C24" s="1" t="s">
        <v>90</v>
      </c>
      <c r="D24" s="60">
        <v>500000000</v>
      </c>
      <c r="E24" s="12">
        <f>D24*4/5</f>
        <v>400000000</v>
      </c>
      <c r="F24" s="2">
        <f>DATE(2024,1,15)</f>
        <v>45306</v>
      </c>
      <c r="G24" s="2">
        <f>DATE(2034,1,15)</f>
        <v>48959</v>
      </c>
      <c r="H24" s="3">
        <f t="shared" si="17"/>
        <v>10</v>
      </c>
      <c r="I24" s="22">
        <v>3.2967999999999997E-2</v>
      </c>
      <c r="J24" s="81">
        <v>1.0500000000000001E-2</v>
      </c>
      <c r="K24" s="22"/>
      <c r="L24" s="7">
        <f t="shared" ref="L24" si="21">I24+J24</f>
        <v>4.3468E-2</v>
      </c>
      <c r="M24" s="9">
        <f>L24</f>
        <v>4.3468E-2</v>
      </c>
      <c r="N24" s="10">
        <v>0</v>
      </c>
      <c r="O24" s="10">
        <v>2795200</v>
      </c>
      <c r="P24" s="10">
        <v>0</v>
      </c>
      <c r="Q24" s="9">
        <f t="shared" si="19"/>
        <v>4.4339999999999997E-2</v>
      </c>
      <c r="R24" s="12">
        <f t="shared" si="20"/>
        <v>17736000</v>
      </c>
      <c r="T24" s="13">
        <v>6.0000000000000001E-3</v>
      </c>
    </row>
    <row r="25" spans="1:22">
      <c r="A25" s="5">
        <v>19</v>
      </c>
      <c r="B25" s="5">
        <v>24</v>
      </c>
      <c r="C25" s="1" t="s">
        <v>91</v>
      </c>
      <c r="D25" s="60">
        <v>500000000</v>
      </c>
      <c r="E25" s="12">
        <f>D25*4/5</f>
        <v>400000000</v>
      </c>
      <c r="F25" s="2">
        <f>DATE(2024,1,15)</f>
        <v>45306</v>
      </c>
      <c r="G25" s="2">
        <f>DATE(2054,1,15)</f>
        <v>56264</v>
      </c>
      <c r="H25" s="3">
        <f t="shared" si="10"/>
        <v>30</v>
      </c>
      <c r="I25" s="22">
        <v>3.4379E-2</v>
      </c>
      <c r="J25" s="81">
        <v>1.2999999999999999E-2</v>
      </c>
      <c r="K25" s="22"/>
      <c r="L25" s="7">
        <f t="shared" ref="L25" si="22">I25+J25</f>
        <v>4.7378999999999998E-2</v>
      </c>
      <c r="M25" s="9">
        <f>L25</f>
        <v>4.7378999999999998E-2</v>
      </c>
      <c r="N25" s="10">
        <v>0</v>
      </c>
      <c r="O25" s="10">
        <v>3595200</v>
      </c>
      <c r="P25" s="10">
        <v>0</v>
      </c>
      <c r="Q25" s="9">
        <f t="shared" si="12"/>
        <v>4.795E-2</v>
      </c>
      <c r="R25" s="12">
        <f t="shared" si="14"/>
        <v>19180000</v>
      </c>
      <c r="T25" s="13">
        <v>8.0000000000000002E-3</v>
      </c>
    </row>
    <row r="26" spans="1:22">
      <c r="A26" s="5">
        <v>20</v>
      </c>
      <c r="B26" s="5">
        <v>25</v>
      </c>
      <c r="C26" s="1" t="s">
        <v>92</v>
      </c>
      <c r="D26" s="60">
        <v>700000000</v>
      </c>
      <c r="E26" s="12">
        <f>D26*2/5</f>
        <v>280000000</v>
      </c>
      <c r="F26" s="2">
        <f>DATE(2024,7,15)</f>
        <v>45488</v>
      </c>
      <c r="G26" s="2">
        <f>DATE(2054,7,15)</f>
        <v>56445</v>
      </c>
      <c r="H26" s="3">
        <f t="shared" ref="H26" si="23">YEARFRAC(F26,G26)</f>
        <v>30</v>
      </c>
      <c r="I26" s="22">
        <v>3.4300999999999998E-2</v>
      </c>
      <c r="J26" s="81">
        <v>1.2999999999999999E-2</v>
      </c>
      <c r="K26" s="22"/>
      <c r="L26" s="7">
        <f t="shared" ref="L26" si="24">I26+J26</f>
        <v>4.7300999999999996E-2</v>
      </c>
      <c r="M26" s="9">
        <f>L26</f>
        <v>4.7300999999999996E-2</v>
      </c>
      <c r="N26" s="10">
        <v>0</v>
      </c>
      <c r="O26" s="10">
        <v>2552640</v>
      </c>
      <c r="P26" s="10">
        <v>0</v>
      </c>
      <c r="Q26" s="9">
        <f t="shared" ref="Q26" si="25">ROUND(YIELD(F26,G26,M26,(E26-N26-O26-P26)/E26*100,100,2,0),5)</f>
        <v>4.7879999999999999E-2</v>
      </c>
      <c r="R26" s="12">
        <f t="shared" ref="R26" si="26">E26*Q26</f>
        <v>13406400</v>
      </c>
      <c r="T26" s="13">
        <v>8.0000000000000002E-3</v>
      </c>
    </row>
    <row r="27" spans="1:22">
      <c r="D27" s="6">
        <f>SUM(D7:D26)</f>
        <v>11075000000</v>
      </c>
      <c r="E27" s="6">
        <f>SUM(E7:E26)</f>
        <v>10200000000</v>
      </c>
      <c r="F27" s="2"/>
      <c r="G27" s="2"/>
      <c r="H27" s="3"/>
      <c r="M27" s="9">
        <f>SUMPRODUCT(M7:M26,E7:E26)/E27</f>
        <v>4.5562243137254904E-2</v>
      </c>
      <c r="N27" s="8">
        <f>SUM(N7:N26)</f>
        <v>32678000</v>
      </c>
      <c r="O27" s="8">
        <f>SUM(O7:O26)</f>
        <v>80871943.964000002</v>
      </c>
      <c r="P27" s="8">
        <f>SUM(P7:P26)</f>
        <v>777229.80799999996</v>
      </c>
      <c r="Q27" s="13">
        <f>SUMPRODUCT(E7:E20,Q7:Q20)/E27</f>
        <v>3.0105480392156863E-2</v>
      </c>
      <c r="R27" s="12">
        <f>SUM(R7:R26)</f>
        <v>472855300</v>
      </c>
      <c r="T27" s="27"/>
    </row>
    <row r="28" spans="1:22">
      <c r="T28" s="27"/>
    </row>
    <row r="29" spans="1:22">
      <c r="T29" s="27"/>
    </row>
    <row r="30" spans="1:22">
      <c r="C30" s="5"/>
      <c r="E30" s="5" t="s">
        <v>48</v>
      </c>
      <c r="F30" s="5" t="s">
        <v>49</v>
      </c>
      <c r="G30" s="5" t="s">
        <v>50</v>
      </c>
      <c r="I30" s="5" t="s">
        <v>51</v>
      </c>
      <c r="J30" s="5" t="s">
        <v>51</v>
      </c>
      <c r="K30" s="5"/>
      <c r="L30" s="5" t="s">
        <v>52</v>
      </c>
      <c r="M30" s="5" t="s">
        <v>53</v>
      </c>
      <c r="N30" s="5" t="s">
        <v>54</v>
      </c>
      <c r="O30" s="5" t="s">
        <v>55</v>
      </c>
      <c r="P30" s="5" t="s">
        <v>56</v>
      </c>
      <c r="Q30" s="5" t="s">
        <v>57</v>
      </c>
      <c r="R30" s="5" t="s">
        <v>58</v>
      </c>
      <c r="T30" s="27" t="s">
        <v>93</v>
      </c>
    </row>
    <row r="31" spans="1:22">
      <c r="A31" s="15"/>
      <c r="B31" s="15"/>
      <c r="C31" s="14" t="s">
        <v>94</v>
      </c>
      <c r="D31" s="14" t="s">
        <v>61</v>
      </c>
      <c r="E31" s="14" t="s">
        <v>62</v>
      </c>
      <c r="F31" s="14" t="s">
        <v>63</v>
      </c>
      <c r="G31" s="14" t="s">
        <v>63</v>
      </c>
      <c r="H31" s="14" t="s">
        <v>64</v>
      </c>
      <c r="I31" s="14" t="s">
        <v>65</v>
      </c>
      <c r="J31" s="14" t="s">
        <v>66</v>
      </c>
      <c r="K31" s="14"/>
      <c r="L31" s="14" t="s">
        <v>54</v>
      </c>
      <c r="M31" s="14" t="s">
        <v>67</v>
      </c>
      <c r="N31" s="14" t="s">
        <v>68</v>
      </c>
      <c r="O31" s="14" t="s">
        <v>69</v>
      </c>
      <c r="P31" s="14" t="s">
        <v>69</v>
      </c>
      <c r="Q31" s="14" t="s">
        <v>70</v>
      </c>
      <c r="R31" s="14" t="s">
        <v>71</v>
      </c>
      <c r="T31" s="14" t="s">
        <v>72</v>
      </c>
    </row>
    <row r="32" spans="1:22">
      <c r="A32" s="5">
        <v>1</v>
      </c>
      <c r="B32" s="5">
        <v>12</v>
      </c>
      <c r="C32" s="1" t="s">
        <v>95</v>
      </c>
      <c r="D32" s="12">
        <v>350000000</v>
      </c>
      <c r="E32" s="12">
        <f>D32</f>
        <v>350000000</v>
      </c>
      <c r="F32" s="2">
        <f>DATE(2006,8,10)</f>
        <v>38939</v>
      </c>
      <c r="G32" s="2">
        <f>DATE(2036,8,1)</f>
        <v>49888</v>
      </c>
      <c r="H32" s="3">
        <f t="shared" ref="H32:H37" si="27">YEARFRAC(F32,G32)</f>
        <v>29.975000000000001</v>
      </c>
      <c r="I32" s="18">
        <f t="shared" ref="I32:I49" si="28">I7</f>
        <v>5.0639999999999998E-2</v>
      </c>
      <c r="J32" s="11">
        <v>1.7500000000000002E-2</v>
      </c>
      <c r="K32" s="17" t="s">
        <v>96</v>
      </c>
      <c r="L32" s="7">
        <f>I32+J32</f>
        <v>6.8140000000000006E-2</v>
      </c>
      <c r="M32" s="9">
        <f>L32</f>
        <v>6.8140000000000006E-2</v>
      </c>
      <c r="N32" s="10">
        <v>0</v>
      </c>
      <c r="O32" s="1">
        <f t="shared" ref="O32:O49" si="29">D32*T32+(O7-T7*D7)</f>
        <v>3520380.8100000005</v>
      </c>
      <c r="P32" s="1">
        <f t="shared" ref="P32:P48" si="30">P7</f>
        <v>0</v>
      </c>
      <c r="Q32" s="9">
        <f>ROUND(YIELD(F32,G32,M32,(D32-N32-O32-P32)/D32*100,100,2,0),5)</f>
        <v>6.8940000000000001E-2</v>
      </c>
      <c r="R32" s="12">
        <f>E32*Q32</f>
        <v>24129000</v>
      </c>
      <c r="T32" s="13">
        <v>8.7500000000000008E-3</v>
      </c>
      <c r="V32" s="28"/>
    </row>
    <row r="33" spans="1:23">
      <c r="A33" s="5">
        <f>A32+1</f>
        <v>2</v>
      </c>
      <c r="B33" s="5">
        <v>13</v>
      </c>
      <c r="C33" s="1" t="s">
        <v>97</v>
      </c>
      <c r="D33" s="12">
        <v>600000000</v>
      </c>
      <c r="E33" s="12">
        <f>D33</f>
        <v>600000000</v>
      </c>
      <c r="F33" s="2">
        <f>DATE(2007,3,14)</f>
        <v>39155</v>
      </c>
      <c r="G33" s="2">
        <f>DATE(2037,4,1)</f>
        <v>50131</v>
      </c>
      <c r="H33" s="3">
        <f t="shared" si="27"/>
        <v>30.047222222222221</v>
      </c>
      <c r="I33" s="18">
        <f t="shared" si="28"/>
        <v>4.7500000000000001E-2</v>
      </c>
      <c r="J33" s="11">
        <v>1.2200000000000001E-2</v>
      </c>
      <c r="K33" s="17" t="s">
        <v>98</v>
      </c>
      <c r="L33" s="7">
        <f t="shared" ref="L33:L36" si="31">I33+J33</f>
        <v>5.9700000000000003E-2</v>
      </c>
      <c r="M33" s="9">
        <f t="shared" ref="M33:M36" si="32">L33</f>
        <v>5.9700000000000003E-2</v>
      </c>
      <c r="N33" s="10">
        <v>0</v>
      </c>
      <c r="O33" s="1">
        <f t="shared" si="29"/>
        <v>5839216.1400000006</v>
      </c>
      <c r="P33" s="1">
        <f t="shared" si="30"/>
        <v>0</v>
      </c>
      <c r="Q33" s="9">
        <f t="shared" ref="Q33:Q37" si="33">ROUND(YIELD(F33,G33,M33,(D33-N33-O33-P33)/D33*100,100,2,0),5)</f>
        <v>6.0400000000000002E-2</v>
      </c>
      <c r="R33" s="12">
        <f t="shared" ref="R33:R49" si="34">E33*Q33</f>
        <v>36240000</v>
      </c>
      <c r="T33" s="13">
        <v>8.7500000000000008E-3</v>
      </c>
      <c r="V33" s="28"/>
    </row>
    <row r="34" spans="1:23">
      <c r="A34" s="5">
        <f t="shared" ref="A34:A51" si="35">A33+1</f>
        <v>3</v>
      </c>
      <c r="B34" s="5">
        <v>14</v>
      </c>
      <c r="C34" s="1" t="s">
        <v>99</v>
      </c>
      <c r="D34" s="12">
        <v>600000000</v>
      </c>
      <c r="E34" s="12">
        <f>D34</f>
        <v>600000000</v>
      </c>
      <c r="F34" s="2">
        <f>DATE(2007,10,3)</f>
        <v>39358</v>
      </c>
      <c r="G34" s="2">
        <f>DATE(2037,10,15)</f>
        <v>50328</v>
      </c>
      <c r="H34" s="3">
        <f t="shared" si="27"/>
        <v>30.033333333333335</v>
      </c>
      <c r="I34" s="18">
        <f t="shared" si="28"/>
        <v>4.8590000000000001E-2</v>
      </c>
      <c r="J34" s="11">
        <v>1.7000000000000001E-2</v>
      </c>
      <c r="K34" s="17" t="s">
        <v>100</v>
      </c>
      <c r="L34" s="7">
        <f t="shared" si="31"/>
        <v>6.5590000000000009E-2</v>
      </c>
      <c r="M34" s="9">
        <f t="shared" si="32"/>
        <v>6.5590000000000009E-2</v>
      </c>
      <c r="N34" s="10">
        <v>0</v>
      </c>
      <c r="O34" s="1">
        <f t="shared" si="29"/>
        <v>5727281.0300000012</v>
      </c>
      <c r="P34" s="1">
        <f t="shared" si="30"/>
        <v>0</v>
      </c>
      <c r="Q34" s="9">
        <f t="shared" si="33"/>
        <v>6.6320000000000004E-2</v>
      </c>
      <c r="R34" s="12">
        <f t="shared" si="34"/>
        <v>39792000</v>
      </c>
      <c r="T34" s="13">
        <v>8.7500000000000008E-3</v>
      </c>
      <c r="V34" s="28"/>
    </row>
    <row r="35" spans="1:23">
      <c r="A35" s="5">
        <f t="shared" si="35"/>
        <v>4</v>
      </c>
      <c r="B35" s="5">
        <v>15</v>
      </c>
      <c r="C35" s="1" t="s">
        <v>101</v>
      </c>
      <c r="D35" s="12">
        <v>300000000</v>
      </c>
      <c r="E35" s="12">
        <f>D35</f>
        <v>300000000</v>
      </c>
      <c r="F35" s="2">
        <f>DATE(2008,7,17)</f>
        <v>39646</v>
      </c>
      <c r="G35" s="2">
        <f>DATE(2038,7,15)</f>
        <v>50601</v>
      </c>
      <c r="H35" s="3">
        <f t="shared" si="27"/>
        <v>29.994444444444444</v>
      </c>
      <c r="I35" s="18">
        <f t="shared" si="28"/>
        <v>4.4720000000000003E-2</v>
      </c>
      <c r="J35" s="11">
        <v>2.8000000000000001E-2</v>
      </c>
      <c r="K35" s="17" t="s">
        <v>102</v>
      </c>
      <c r="L35" s="7">
        <f t="shared" si="31"/>
        <v>7.2720000000000007E-2</v>
      </c>
      <c r="M35" s="9">
        <f t="shared" si="32"/>
        <v>7.2720000000000007E-2</v>
      </c>
      <c r="N35" s="10">
        <v>0</v>
      </c>
      <c r="O35" s="1">
        <f t="shared" si="29"/>
        <v>2815332.5400000005</v>
      </c>
      <c r="P35" s="1">
        <f t="shared" si="30"/>
        <v>0</v>
      </c>
      <c r="Q35" s="9">
        <f t="shared" si="33"/>
        <v>7.3499999999999996E-2</v>
      </c>
      <c r="R35" s="12">
        <f t="shared" si="34"/>
        <v>22050000</v>
      </c>
      <c r="T35" s="13">
        <v>8.7500000000000008E-3</v>
      </c>
      <c r="V35" s="28"/>
    </row>
    <row r="36" spans="1:23">
      <c r="A36" s="5">
        <f t="shared" si="35"/>
        <v>5</v>
      </c>
      <c r="B36" s="5">
        <v>16</v>
      </c>
      <c r="C36" s="1" t="s">
        <v>103</v>
      </c>
      <c r="D36" s="12">
        <v>650000000</v>
      </c>
      <c r="E36" s="12">
        <f>D36</f>
        <v>650000000</v>
      </c>
      <c r="F36" s="2">
        <f>DATE(2009,1,8)</f>
        <v>39821</v>
      </c>
      <c r="G36" s="2">
        <f>DATE(2039,1,15)</f>
        <v>50785</v>
      </c>
      <c r="H36" s="3">
        <f t="shared" si="27"/>
        <v>30.019444444444446</v>
      </c>
      <c r="I36" s="23">
        <f t="shared" si="28"/>
        <v>2.9690000000000001E-2</v>
      </c>
      <c r="J36" s="22">
        <v>4.6300000000000001E-2</v>
      </c>
      <c r="K36" s="24" t="s">
        <v>104</v>
      </c>
      <c r="L36" s="7">
        <f t="shared" si="31"/>
        <v>7.5990000000000002E-2</v>
      </c>
      <c r="M36" s="9">
        <f t="shared" si="32"/>
        <v>7.5990000000000002E-2</v>
      </c>
      <c r="N36" s="10">
        <v>0</v>
      </c>
      <c r="O36" s="1">
        <f t="shared" si="29"/>
        <v>6134686.8199999994</v>
      </c>
      <c r="P36" s="1">
        <f t="shared" si="30"/>
        <v>0</v>
      </c>
      <c r="Q36" s="9">
        <f t="shared" si="33"/>
        <v>7.6799999999999993E-2</v>
      </c>
      <c r="R36" s="12">
        <f t="shared" si="34"/>
        <v>49919999.999999993</v>
      </c>
      <c r="T36" s="59">
        <v>8.7500000000000008E-3</v>
      </c>
      <c r="V36" s="28"/>
    </row>
    <row r="37" spans="1:23">
      <c r="A37" s="5">
        <f t="shared" si="35"/>
        <v>6</v>
      </c>
      <c r="B37" s="5">
        <v>17</v>
      </c>
      <c r="C37" s="1" t="s">
        <v>105</v>
      </c>
      <c r="D37" s="12">
        <v>300000000</v>
      </c>
      <c r="E37" s="12">
        <f t="shared" ref="E37" si="36">D37</f>
        <v>300000000</v>
      </c>
      <c r="F37" s="2">
        <f>DATE(2012,1,6)</f>
        <v>40914</v>
      </c>
      <c r="G37" s="2">
        <f>DATE(2042,2,1)</f>
        <v>51898</v>
      </c>
      <c r="H37" s="3">
        <f t="shared" si="27"/>
        <v>30.069444444444443</v>
      </c>
      <c r="I37" s="23">
        <f t="shared" si="28"/>
        <v>2.9690000000000001E-2</v>
      </c>
      <c r="J37" s="22">
        <v>1.55E-2</v>
      </c>
      <c r="K37" s="24" t="s">
        <v>106</v>
      </c>
      <c r="L37" s="7">
        <f t="shared" ref="L37" si="37">I37+J37</f>
        <v>4.5190000000000001E-2</v>
      </c>
      <c r="M37" s="9">
        <f t="shared" ref="M37" si="38">L37</f>
        <v>4.5190000000000001E-2</v>
      </c>
      <c r="N37" s="10">
        <v>0</v>
      </c>
      <c r="O37" s="1">
        <f t="shared" si="29"/>
        <v>2962910.93</v>
      </c>
      <c r="P37" s="1">
        <f t="shared" si="30"/>
        <v>0</v>
      </c>
      <c r="Q37" s="9">
        <f t="shared" si="33"/>
        <v>4.58E-2</v>
      </c>
      <c r="R37" s="12">
        <f t="shared" si="34"/>
        <v>13740000</v>
      </c>
      <c r="T37" s="13">
        <v>8.7500000000000008E-3</v>
      </c>
      <c r="V37" s="28"/>
    </row>
    <row r="38" spans="1:23">
      <c r="A38" s="5">
        <f t="shared" si="35"/>
        <v>7</v>
      </c>
      <c r="B38" s="5">
        <v>3</v>
      </c>
      <c r="C38" s="1" t="s">
        <v>107</v>
      </c>
      <c r="D38" s="12">
        <v>425000000</v>
      </c>
      <c r="E38" s="12">
        <f>D38*2/5</f>
        <v>170000000</v>
      </c>
      <c r="F38" s="2">
        <f>DATE(2014,3,13)</f>
        <v>41711</v>
      </c>
      <c r="G38" s="2">
        <f>DATE(2024,4,1)</f>
        <v>45383</v>
      </c>
      <c r="H38" s="3">
        <f t="shared" ref="H38" si="39">YEARFRAC(F38,G38)</f>
        <v>10.050000000000001</v>
      </c>
      <c r="I38" s="23">
        <f t="shared" si="28"/>
        <v>2.777E-2</v>
      </c>
      <c r="J38" s="22">
        <v>1.0500000000000001E-2</v>
      </c>
      <c r="K38" s="24" t="s">
        <v>108</v>
      </c>
      <c r="L38" s="7">
        <f t="shared" ref="L38" si="40">I38+J38</f>
        <v>3.8269999999999998E-2</v>
      </c>
      <c r="M38" s="9">
        <f t="shared" ref="M38" si="41">L38</f>
        <v>3.8269999999999998E-2</v>
      </c>
      <c r="N38" s="10">
        <v>0</v>
      </c>
      <c r="O38" s="1">
        <f t="shared" si="29"/>
        <v>1465565.6839999999</v>
      </c>
      <c r="P38" s="1">
        <f t="shared" si="30"/>
        <v>777229.80799999996</v>
      </c>
      <c r="Q38" s="9">
        <f t="shared" ref="Q38" si="42">ROUND(YIELD(F38,G38,M38,(D38-N38-O38-P38)/D38*100,100,2,0),5)</f>
        <v>3.891E-2</v>
      </c>
      <c r="R38" s="12">
        <f t="shared" si="34"/>
        <v>6614700</v>
      </c>
      <c r="T38" s="13">
        <v>6.4999999999999997E-3</v>
      </c>
      <c r="V38" s="28"/>
    </row>
    <row r="39" spans="1:23">
      <c r="A39" s="5">
        <f t="shared" si="35"/>
        <v>8</v>
      </c>
      <c r="B39" s="5">
        <v>4</v>
      </c>
      <c r="C39" s="1" t="s">
        <v>109</v>
      </c>
      <c r="D39" s="12">
        <v>250000000</v>
      </c>
      <c r="E39" s="12">
        <f t="shared" ref="E39:E46" si="43">D39</f>
        <v>250000000</v>
      </c>
      <c r="F39" s="2">
        <f>DATE(2015,6,19)</f>
        <v>42174</v>
      </c>
      <c r="G39" s="2">
        <f>DATE(2025,7,1)</f>
        <v>45839</v>
      </c>
      <c r="H39" s="3">
        <f t="shared" ref="H39:H51" si="44">YEARFRAC(F39,G39)</f>
        <v>10.033333333333333</v>
      </c>
      <c r="I39" s="23">
        <f t="shared" si="28"/>
        <v>2.315E-2</v>
      </c>
      <c r="J39" s="22">
        <v>1.15E-2</v>
      </c>
      <c r="K39" s="24" t="s">
        <v>110</v>
      </c>
      <c r="L39" s="7">
        <f t="shared" ref="L39:L40" si="45">I39+J39</f>
        <v>3.465E-2</v>
      </c>
      <c r="M39" s="9">
        <f t="shared" ref="M39:M40" si="46">L39</f>
        <v>3.465E-2</v>
      </c>
      <c r="N39" s="10">
        <v>0</v>
      </c>
      <c r="O39" s="1">
        <f t="shared" si="29"/>
        <v>2121421.02</v>
      </c>
      <c r="P39" s="1">
        <f t="shared" si="30"/>
        <v>0</v>
      </c>
      <c r="Q39" s="9">
        <f t="shared" ref="Q39:Q49" si="47">ROUND(YIELD(F39,G39,M39,(D39-N39-O39-P39)/D39*100,100,2,0),5)</f>
        <v>3.5659999999999997E-2</v>
      </c>
      <c r="R39" s="12">
        <f t="shared" si="34"/>
        <v>8915000</v>
      </c>
      <c r="T39" s="13">
        <v>6.4999999999999997E-3</v>
      </c>
      <c r="V39" s="28"/>
    </row>
    <row r="40" spans="1:23">
      <c r="A40" s="5">
        <f t="shared" si="35"/>
        <v>9</v>
      </c>
      <c r="B40" s="5">
        <v>18</v>
      </c>
      <c r="C40" s="1" t="s">
        <v>111</v>
      </c>
      <c r="D40" s="12">
        <v>600000000</v>
      </c>
      <c r="E40" s="12">
        <f t="shared" si="43"/>
        <v>600000000</v>
      </c>
      <c r="F40" s="2">
        <f>DATE(2018,7,13)</f>
        <v>43294</v>
      </c>
      <c r="G40" s="2">
        <f>DATE(2049,1,15)</f>
        <v>54438</v>
      </c>
      <c r="H40" s="3">
        <f t="shared" si="44"/>
        <v>30.505555555555556</v>
      </c>
      <c r="I40" s="23">
        <f t="shared" si="28"/>
        <v>2.9680000000000002E-2</v>
      </c>
      <c r="J40" s="22">
        <v>1.2500000000000001E-2</v>
      </c>
      <c r="K40" s="24" t="s">
        <v>112</v>
      </c>
      <c r="L40" s="7">
        <f t="shared" si="45"/>
        <v>4.2180000000000002E-2</v>
      </c>
      <c r="M40" s="9">
        <f t="shared" si="46"/>
        <v>4.2180000000000002E-2</v>
      </c>
      <c r="N40" s="10">
        <v>0</v>
      </c>
      <c r="O40" s="1">
        <f t="shared" si="29"/>
        <v>6090084.5900000008</v>
      </c>
      <c r="P40" s="1">
        <f t="shared" si="30"/>
        <v>0</v>
      </c>
      <c r="Q40" s="9">
        <f t="shared" si="47"/>
        <v>4.2779999999999999E-2</v>
      </c>
      <c r="R40" s="12">
        <f t="shared" si="34"/>
        <v>25668000</v>
      </c>
      <c r="T40" s="13">
        <v>8.7500000000000008E-3</v>
      </c>
      <c r="V40" s="28"/>
    </row>
    <row r="41" spans="1:23">
      <c r="A41" s="5">
        <f t="shared" si="35"/>
        <v>10</v>
      </c>
      <c r="B41" s="5">
        <v>5</v>
      </c>
      <c r="C41" s="1" t="s">
        <v>113</v>
      </c>
      <c r="D41" s="12">
        <v>400000000</v>
      </c>
      <c r="E41" s="12">
        <f t="shared" si="43"/>
        <v>400000000</v>
      </c>
      <c r="F41" s="2">
        <f>DATE(2019,3,1)</f>
        <v>43525</v>
      </c>
      <c r="G41" s="2">
        <f>DATE(2029,6,15)</f>
        <v>47284</v>
      </c>
      <c r="H41" s="3">
        <f t="shared" si="44"/>
        <v>10.28888888888889</v>
      </c>
      <c r="I41" s="23">
        <f t="shared" si="28"/>
        <v>2.6720000000000001E-2</v>
      </c>
      <c r="J41" s="22">
        <v>1.23E-2</v>
      </c>
      <c r="K41" s="24" t="s">
        <v>114</v>
      </c>
      <c r="L41" s="7">
        <f t="shared" ref="L41:L44" si="48">I41+J41</f>
        <v>3.9019999999999999E-2</v>
      </c>
      <c r="M41" s="9">
        <f t="shared" ref="M41:M44" si="49">L41</f>
        <v>3.9019999999999999E-2</v>
      </c>
      <c r="N41" s="10">
        <v>0</v>
      </c>
      <c r="O41" s="1">
        <f t="shared" si="29"/>
        <v>3034051.12</v>
      </c>
      <c r="P41" s="1">
        <f t="shared" si="30"/>
        <v>0</v>
      </c>
      <c r="Q41" s="9">
        <f t="shared" si="47"/>
        <v>3.9919999999999997E-2</v>
      </c>
      <c r="R41" s="12">
        <f t="shared" si="34"/>
        <v>15967999.999999998</v>
      </c>
      <c r="T41" s="13">
        <v>6.4999999999999997E-3</v>
      </c>
      <c r="V41" s="28"/>
    </row>
    <row r="42" spans="1:23">
      <c r="A42" s="5">
        <f t="shared" si="35"/>
        <v>11</v>
      </c>
      <c r="B42" s="5">
        <v>19</v>
      </c>
      <c r="C42" s="1" t="s">
        <v>115</v>
      </c>
      <c r="D42" s="60">
        <v>600000000</v>
      </c>
      <c r="E42" s="12">
        <f t="shared" si="43"/>
        <v>600000000</v>
      </c>
      <c r="F42" s="2">
        <f>DATE(2019,3,1)</f>
        <v>43525</v>
      </c>
      <c r="G42" s="2">
        <f>DATE(2050,2,15)</f>
        <v>54834</v>
      </c>
      <c r="H42" s="3">
        <f t="shared" si="44"/>
        <v>30.955555555555556</v>
      </c>
      <c r="I42" s="23">
        <f t="shared" si="28"/>
        <v>3.0269999999999998E-2</v>
      </c>
      <c r="J42" s="22">
        <v>1.5800000000000002E-2</v>
      </c>
      <c r="K42" s="24" t="s">
        <v>116</v>
      </c>
      <c r="L42" s="7">
        <f t="shared" si="48"/>
        <v>4.607E-2</v>
      </c>
      <c r="M42" s="9">
        <f t="shared" si="49"/>
        <v>4.607E-2</v>
      </c>
      <c r="N42" s="10">
        <v>0</v>
      </c>
      <c r="O42" s="1">
        <f t="shared" si="29"/>
        <v>5898771.3400000008</v>
      </c>
      <c r="P42" s="1">
        <f t="shared" si="30"/>
        <v>0</v>
      </c>
      <c r="Q42" s="9">
        <f t="shared" si="47"/>
        <v>4.6670000000000003E-2</v>
      </c>
      <c r="R42" s="12">
        <f t="shared" si="34"/>
        <v>28002000.000000004</v>
      </c>
      <c r="T42" s="13">
        <v>8.7500000000000008E-3</v>
      </c>
      <c r="V42" s="28"/>
    </row>
    <row r="43" spans="1:23">
      <c r="A43" s="5">
        <f t="shared" si="35"/>
        <v>12</v>
      </c>
      <c r="B43" s="5">
        <v>6</v>
      </c>
      <c r="C43" s="1" t="s">
        <v>117</v>
      </c>
      <c r="D43" s="12">
        <v>400000000</v>
      </c>
      <c r="E43" s="12">
        <f t="shared" si="43"/>
        <v>400000000</v>
      </c>
      <c r="F43" s="2">
        <f>DATE(2020,4,8)</f>
        <v>43929</v>
      </c>
      <c r="G43" s="2">
        <f>DATE(2030,9,15)</f>
        <v>47741</v>
      </c>
      <c r="H43" s="3">
        <f t="shared" si="44"/>
        <v>10.436111111111112</v>
      </c>
      <c r="I43" s="23">
        <f t="shared" si="28"/>
        <v>6.7000000000000002E-3</v>
      </c>
      <c r="J43" s="81">
        <v>3.5000000000000003E-2</v>
      </c>
      <c r="K43" s="24" t="s">
        <v>118</v>
      </c>
      <c r="L43" s="7">
        <f t="shared" si="48"/>
        <v>4.1700000000000001E-2</v>
      </c>
      <c r="M43" s="9">
        <f t="shared" si="49"/>
        <v>4.1700000000000001E-2</v>
      </c>
      <c r="N43" s="10">
        <v>0</v>
      </c>
      <c r="O43" s="1">
        <f t="shared" si="29"/>
        <v>3056791.17</v>
      </c>
      <c r="P43" s="1">
        <f t="shared" si="30"/>
        <v>0</v>
      </c>
      <c r="Q43" s="9">
        <f t="shared" si="47"/>
        <v>4.2610000000000002E-2</v>
      </c>
      <c r="R43" s="12">
        <f t="shared" si="34"/>
        <v>17044000</v>
      </c>
      <c r="T43" s="13">
        <v>6.4999999999999997E-3</v>
      </c>
      <c r="V43" s="28"/>
    </row>
    <row r="44" spans="1:23">
      <c r="A44" s="5">
        <f t="shared" si="35"/>
        <v>13</v>
      </c>
      <c r="B44" s="5">
        <v>20</v>
      </c>
      <c r="C44" s="1" t="s">
        <v>119</v>
      </c>
      <c r="D44" s="60">
        <v>600000000</v>
      </c>
      <c r="E44" s="12">
        <f t="shared" si="43"/>
        <v>600000000</v>
      </c>
      <c r="F44" s="2">
        <f>DATE(2020,4,8)</f>
        <v>43929</v>
      </c>
      <c r="G44" s="2">
        <f>DATE(2051,3,15)</f>
        <v>55227</v>
      </c>
      <c r="H44" s="3">
        <f t="shared" si="44"/>
        <v>30.93611111111111</v>
      </c>
      <c r="I44" s="23">
        <f t="shared" si="28"/>
        <v>1.2930000000000001E-2</v>
      </c>
      <c r="J44" s="81">
        <v>2.9000000000000001E-2</v>
      </c>
      <c r="K44" s="24" t="s">
        <v>120</v>
      </c>
      <c r="L44" s="7">
        <f t="shared" si="48"/>
        <v>4.1930000000000002E-2</v>
      </c>
      <c r="M44" s="9">
        <f t="shared" si="49"/>
        <v>4.1930000000000002E-2</v>
      </c>
      <c r="N44" s="10">
        <v>0</v>
      </c>
      <c r="O44" s="1">
        <f t="shared" si="29"/>
        <v>5933936.7700000005</v>
      </c>
      <c r="P44" s="1">
        <f t="shared" si="30"/>
        <v>0</v>
      </c>
      <c r="Q44" s="9">
        <f t="shared" si="47"/>
        <v>4.2509999999999999E-2</v>
      </c>
      <c r="R44" s="12">
        <f t="shared" si="34"/>
        <v>25506000</v>
      </c>
      <c r="T44" s="13">
        <v>8.7500000000000008E-3</v>
      </c>
      <c r="V44" s="28"/>
      <c r="W44" s="28"/>
    </row>
    <row r="45" spans="1:23">
      <c r="A45" s="5">
        <f t="shared" si="35"/>
        <v>14</v>
      </c>
      <c r="B45" s="5">
        <v>21</v>
      </c>
      <c r="C45" s="1" t="s">
        <v>121</v>
      </c>
      <c r="D45" s="60">
        <v>1000000000</v>
      </c>
      <c r="E45" s="12">
        <f t="shared" si="43"/>
        <v>1000000000</v>
      </c>
      <c r="F45" s="2">
        <f>DATE(2021,7,9)</f>
        <v>44386</v>
      </c>
      <c r="G45" s="2">
        <f>DATE(2052,6,15)</f>
        <v>55685</v>
      </c>
      <c r="H45" s="3">
        <f t="shared" si="44"/>
        <v>30.933333333333334</v>
      </c>
      <c r="I45" s="23">
        <f t="shared" si="28"/>
        <v>1.958E-2</v>
      </c>
      <c r="J45" s="81">
        <v>1.0500000000000001E-2</v>
      </c>
      <c r="K45" s="24" t="s">
        <v>122</v>
      </c>
      <c r="L45" s="7">
        <f t="shared" ref="L45" si="50">I45+J45</f>
        <v>3.0080000000000003E-2</v>
      </c>
      <c r="M45" s="9">
        <f t="shared" ref="M45" si="51">L45</f>
        <v>3.0080000000000003E-2</v>
      </c>
      <c r="N45" s="10">
        <v>0</v>
      </c>
      <c r="O45" s="1">
        <f t="shared" si="29"/>
        <v>10177874</v>
      </c>
      <c r="P45" s="1">
        <f t="shared" si="30"/>
        <v>0</v>
      </c>
      <c r="Q45" s="9">
        <f t="shared" si="47"/>
        <v>3.0589999999999999E-2</v>
      </c>
      <c r="R45" s="12">
        <f t="shared" si="34"/>
        <v>30590000</v>
      </c>
      <c r="T45" s="13">
        <v>8.7500000000000008E-3</v>
      </c>
      <c r="V45" s="28"/>
    </row>
    <row r="46" spans="1:23">
      <c r="A46" s="5">
        <f t="shared" si="35"/>
        <v>15</v>
      </c>
      <c r="B46" s="5">
        <v>22</v>
      </c>
      <c r="C46" s="1" t="s">
        <v>123</v>
      </c>
      <c r="D46" s="60">
        <v>1100000000</v>
      </c>
      <c r="E46" s="12">
        <f t="shared" si="43"/>
        <v>1100000000</v>
      </c>
      <c r="F46" s="2">
        <f>DATE(2022,12,1)</f>
        <v>44896</v>
      </c>
      <c r="G46" s="2">
        <f>DATE(2053,12,1)</f>
        <v>56219</v>
      </c>
      <c r="H46" s="3">
        <f t="shared" si="44"/>
        <v>31</v>
      </c>
      <c r="I46" s="23">
        <f t="shared" si="28"/>
        <v>3.8399999999999997E-2</v>
      </c>
      <c r="J46" s="81">
        <v>1.7600000000000001E-2</v>
      </c>
      <c r="K46" s="24" t="s">
        <v>124</v>
      </c>
      <c r="L46" s="7">
        <f t="shared" ref="L46" si="52">I46+J46</f>
        <v>5.5999999999999994E-2</v>
      </c>
      <c r="M46" s="9">
        <f t="shared" ref="M46" si="53">L46</f>
        <v>5.5999999999999994E-2</v>
      </c>
      <c r="N46" s="10">
        <v>0</v>
      </c>
      <c r="O46" s="1">
        <f t="shared" si="29"/>
        <v>11340000</v>
      </c>
      <c r="P46" s="1">
        <f t="shared" si="30"/>
        <v>0</v>
      </c>
      <c r="Q46" s="9">
        <f t="shared" ref="Q46" si="54">ROUND(YIELD(F46,G46,M46,(D46-N46-O46-P46)/D46*100,100,2,0),5)</f>
        <v>5.6710000000000003E-2</v>
      </c>
      <c r="R46" s="12">
        <f t="shared" ref="R46" si="55">E46*Q46</f>
        <v>62381000.000000007</v>
      </c>
      <c r="T46" s="13">
        <v>8.7500000000000008E-3</v>
      </c>
      <c r="V46" s="28"/>
      <c r="W46" s="28"/>
    </row>
    <row r="47" spans="1:23">
      <c r="A47" s="5">
        <f t="shared" si="35"/>
        <v>16</v>
      </c>
      <c r="B47" s="5">
        <v>8</v>
      </c>
      <c r="C47" s="1" t="s">
        <v>88</v>
      </c>
      <c r="D47" s="60">
        <v>600000000</v>
      </c>
      <c r="E47" s="12">
        <f>D47</f>
        <v>600000000</v>
      </c>
      <c r="F47" s="2">
        <f>DATE(2023,6,15)</f>
        <v>45092</v>
      </c>
      <c r="G47" s="2">
        <f>DATE(2033,6,15)</f>
        <v>48745</v>
      </c>
      <c r="H47" s="3">
        <f t="shared" si="44"/>
        <v>10</v>
      </c>
      <c r="I47" s="23">
        <f t="shared" si="28"/>
        <v>3.3274999999999999E-2</v>
      </c>
      <c r="J47" s="81">
        <v>1.2500000000000001E-2</v>
      </c>
      <c r="K47" s="24" t="s">
        <v>125</v>
      </c>
      <c r="L47" s="7">
        <f t="shared" ref="L47:L49" si="56">I47+J47</f>
        <v>4.5774999999999996E-2</v>
      </c>
      <c r="M47" s="9">
        <f t="shared" ref="M47:M49" si="57">L47</f>
        <v>4.5774999999999996E-2</v>
      </c>
      <c r="N47" s="10">
        <v>0</v>
      </c>
      <c r="O47" s="1">
        <f t="shared" si="29"/>
        <v>4462800</v>
      </c>
      <c r="P47" s="1">
        <f t="shared" si="30"/>
        <v>0</v>
      </c>
      <c r="Q47" s="9">
        <f t="shared" si="47"/>
        <v>4.6710000000000002E-2</v>
      </c>
      <c r="R47" s="12">
        <f t="shared" si="34"/>
        <v>28026000</v>
      </c>
      <c r="T47" s="13">
        <v>6.4999999999999997E-3</v>
      </c>
      <c r="V47" s="28"/>
    </row>
    <row r="48" spans="1:23">
      <c r="A48" s="5">
        <f t="shared" si="35"/>
        <v>17</v>
      </c>
      <c r="B48" s="5">
        <v>23</v>
      </c>
      <c r="C48" s="1" t="s">
        <v>89</v>
      </c>
      <c r="D48" s="60">
        <v>600000000</v>
      </c>
      <c r="E48" s="12">
        <f>D48</f>
        <v>600000000</v>
      </c>
      <c r="F48" s="2">
        <f>DATE(2023,6,15)</f>
        <v>45092</v>
      </c>
      <c r="G48" s="2">
        <f>DATE(2053,6,15)</f>
        <v>56050</v>
      </c>
      <c r="H48" s="3">
        <f t="shared" si="44"/>
        <v>30</v>
      </c>
      <c r="I48" s="23">
        <f t="shared" si="28"/>
        <v>3.4653000000000003E-2</v>
      </c>
      <c r="J48" s="81">
        <v>1.4999999999999999E-2</v>
      </c>
      <c r="K48" s="24" t="s">
        <v>125</v>
      </c>
      <c r="L48" s="7">
        <f t="shared" si="56"/>
        <v>4.9653000000000003E-2</v>
      </c>
      <c r="M48" s="9">
        <f t="shared" si="57"/>
        <v>4.9653000000000003E-2</v>
      </c>
      <c r="N48" s="10">
        <v>0</v>
      </c>
      <c r="O48" s="1">
        <f t="shared" si="29"/>
        <v>5812800.0000000009</v>
      </c>
      <c r="P48" s="1">
        <f t="shared" si="30"/>
        <v>0</v>
      </c>
      <c r="Q48" s="9">
        <f t="shared" si="47"/>
        <v>5.0279999999999998E-2</v>
      </c>
      <c r="R48" s="12">
        <f t="shared" si="34"/>
        <v>30168000</v>
      </c>
      <c r="T48" s="13">
        <v>8.7500000000000008E-3</v>
      </c>
      <c r="V48" s="28"/>
    </row>
    <row r="49" spans="1:22">
      <c r="A49" s="5">
        <f t="shared" si="35"/>
        <v>18</v>
      </c>
      <c r="B49" s="5">
        <v>9</v>
      </c>
      <c r="C49" s="1" t="s">
        <v>90</v>
      </c>
      <c r="D49" s="60">
        <v>500000000</v>
      </c>
      <c r="E49" s="12">
        <f>D49*4/5</f>
        <v>400000000</v>
      </c>
      <c r="F49" s="2">
        <f>DATE(2024,1,15)</f>
        <v>45306</v>
      </c>
      <c r="G49" s="2">
        <f>DATE(2034,1,15)</f>
        <v>48959</v>
      </c>
      <c r="H49" s="3">
        <f t="shared" si="44"/>
        <v>10</v>
      </c>
      <c r="I49" s="23">
        <f t="shared" si="28"/>
        <v>3.2967999999999997E-2</v>
      </c>
      <c r="J49" s="81">
        <v>1.2500000000000001E-2</v>
      </c>
      <c r="K49" s="24" t="s">
        <v>125</v>
      </c>
      <c r="L49" s="7">
        <f t="shared" si="56"/>
        <v>4.5467999999999995E-2</v>
      </c>
      <c r="M49" s="9">
        <f t="shared" si="57"/>
        <v>4.5467999999999995E-2</v>
      </c>
      <c r="N49" s="10">
        <v>0</v>
      </c>
      <c r="O49" s="1">
        <f t="shared" si="29"/>
        <v>3045200</v>
      </c>
      <c r="P49" s="1">
        <f t="shared" ref="P49:P51" si="58">P24</f>
        <v>0</v>
      </c>
      <c r="Q49" s="9">
        <f t="shared" si="47"/>
        <v>4.6240000000000003E-2</v>
      </c>
      <c r="R49" s="12">
        <f t="shared" si="34"/>
        <v>18496000</v>
      </c>
      <c r="T49" s="13">
        <v>6.4999999999999997E-3</v>
      </c>
      <c r="V49" s="28"/>
    </row>
    <row r="50" spans="1:22">
      <c r="A50" s="5">
        <f t="shared" si="35"/>
        <v>19</v>
      </c>
      <c r="B50" s="5">
        <v>24</v>
      </c>
      <c r="C50" s="1" t="s">
        <v>91</v>
      </c>
      <c r="D50" s="60">
        <v>500000000</v>
      </c>
      <c r="E50" s="12">
        <f>D50*4/5</f>
        <v>400000000</v>
      </c>
      <c r="F50" s="2">
        <f>DATE(2024,1,15)</f>
        <v>45306</v>
      </c>
      <c r="G50" s="2">
        <f>DATE(2054,1,15)</f>
        <v>56264</v>
      </c>
      <c r="H50" s="3">
        <f t="shared" si="44"/>
        <v>30</v>
      </c>
      <c r="I50" s="23">
        <f t="shared" ref="I50:I51" si="59">I25</f>
        <v>3.4379E-2</v>
      </c>
      <c r="J50" s="81">
        <v>1.4999999999999999E-2</v>
      </c>
      <c r="K50" s="24" t="s">
        <v>125</v>
      </c>
      <c r="L50" s="7">
        <f t="shared" ref="L50:L51" si="60">I50+J50</f>
        <v>4.9378999999999999E-2</v>
      </c>
      <c r="M50" s="9">
        <f t="shared" ref="M50:M51" si="61">L50</f>
        <v>4.9378999999999999E-2</v>
      </c>
      <c r="N50" s="10">
        <v>0</v>
      </c>
      <c r="O50" s="1">
        <f t="shared" ref="O50:O51" si="62">D50*T50+(O25-T25*D25)</f>
        <v>3970200</v>
      </c>
      <c r="P50" s="1">
        <f t="shared" si="58"/>
        <v>0</v>
      </c>
      <c r="Q50" s="9">
        <f t="shared" ref="Q50:Q51" si="63">ROUND(YIELD(F50,G50,M50,(D50-N50-O50-P50)/D50*100,100,2,0),5)</f>
        <v>4.9889999999999997E-2</v>
      </c>
      <c r="R50" s="12">
        <f t="shared" ref="R50:R51" si="64">E50*Q50</f>
        <v>19956000</v>
      </c>
      <c r="T50" s="13">
        <v>8.7500000000000008E-3</v>
      </c>
      <c r="V50" s="28"/>
    </row>
    <row r="51" spans="1:22">
      <c r="A51" s="5">
        <f t="shared" si="35"/>
        <v>20</v>
      </c>
      <c r="B51" s="5">
        <v>25</v>
      </c>
      <c r="C51" s="1" t="s">
        <v>92</v>
      </c>
      <c r="D51" s="60">
        <v>700000000</v>
      </c>
      <c r="E51" s="12">
        <f>D51*2/5</f>
        <v>280000000</v>
      </c>
      <c r="F51" s="2">
        <f>DATE(2024,7,15)</f>
        <v>45488</v>
      </c>
      <c r="G51" s="2">
        <f>DATE(2054,7,15)</f>
        <v>56445</v>
      </c>
      <c r="H51" s="3">
        <f t="shared" si="44"/>
        <v>30</v>
      </c>
      <c r="I51" s="23">
        <f t="shared" si="59"/>
        <v>3.4300999999999998E-2</v>
      </c>
      <c r="J51" s="81">
        <v>1.4999999999999999E-2</v>
      </c>
      <c r="K51" s="24" t="s">
        <v>125</v>
      </c>
      <c r="L51" s="7">
        <f t="shared" si="60"/>
        <v>4.9300999999999998E-2</v>
      </c>
      <c r="M51" s="9">
        <f t="shared" si="61"/>
        <v>4.9300999999999998E-2</v>
      </c>
      <c r="N51" s="10">
        <v>0</v>
      </c>
      <c r="O51" s="1">
        <f t="shared" si="62"/>
        <v>3077640.0000000009</v>
      </c>
      <c r="P51" s="1">
        <f t="shared" si="58"/>
        <v>0</v>
      </c>
      <c r="Q51" s="9">
        <f t="shared" si="63"/>
        <v>4.9579999999999999E-2</v>
      </c>
      <c r="R51" s="12">
        <f t="shared" si="64"/>
        <v>13882400</v>
      </c>
      <c r="T51" s="13">
        <v>8.7500000000000008E-3</v>
      </c>
      <c r="V51" s="28"/>
    </row>
    <row r="52" spans="1:22">
      <c r="A52" s="5"/>
      <c r="D52" s="6">
        <f>SUM(D32:D51)</f>
        <v>11075000000</v>
      </c>
      <c r="E52" s="6">
        <f>SUM(E32:E51)</f>
        <v>10200000000</v>
      </c>
      <c r="F52" s="2"/>
      <c r="G52" s="2"/>
      <c r="H52" s="3"/>
      <c r="I52" s="23"/>
      <c r="J52" s="22"/>
      <c r="K52" s="24"/>
      <c r="L52" s="7"/>
      <c r="M52" s="9">
        <f>SUMPRODUCT(M32:M51,E32:E51)/E52</f>
        <v>5.0003311764705884E-2</v>
      </c>
      <c r="N52" s="8">
        <f>SUM(N32:N51)</f>
        <v>0</v>
      </c>
      <c r="O52" s="8">
        <f>SUM(O32:O51)</f>
        <v>96486943.964000016</v>
      </c>
      <c r="P52" s="8">
        <f>SUM(P32:P45)</f>
        <v>777229.80799999996</v>
      </c>
      <c r="Q52" s="13">
        <f>SUMPRODUCT(E32:E51,Q32:Q51)/E52</f>
        <v>5.0694911764705884E-2</v>
      </c>
      <c r="R52" s="12">
        <f>SUM(R32:R51)</f>
        <v>517088100</v>
      </c>
    </row>
    <row r="53" spans="1:22">
      <c r="D53" s="6"/>
      <c r="E53" s="6"/>
      <c r="N53" s="8"/>
      <c r="O53" s="8"/>
      <c r="P53" s="8"/>
      <c r="Q53" s="13"/>
      <c r="R53" s="12"/>
    </row>
    <row r="54" spans="1:22">
      <c r="C54" s="19" t="s">
        <v>126</v>
      </c>
    </row>
    <row r="55" spans="1:22">
      <c r="C55" s="19" t="s">
        <v>127</v>
      </c>
    </row>
    <row r="56" spans="1:22">
      <c r="C56" s="19" t="s">
        <v>128</v>
      </c>
      <c r="M56" s="30"/>
      <c r="O56" s="8"/>
    </row>
    <row r="57" spans="1:22">
      <c r="C57" s="19" t="s">
        <v>129</v>
      </c>
    </row>
    <row r="58" spans="1:22">
      <c r="C58" s="19" t="s">
        <v>130</v>
      </c>
    </row>
    <row r="59" spans="1:22">
      <c r="C59" s="19" t="s">
        <v>131</v>
      </c>
    </row>
    <row r="60" spans="1:22">
      <c r="C60" s="19" t="s">
        <v>132</v>
      </c>
    </row>
    <row r="61" spans="1:22">
      <c r="C61" s="19" t="s">
        <v>133</v>
      </c>
    </row>
    <row r="62" spans="1:22">
      <c r="C62" s="19" t="s">
        <v>134</v>
      </c>
    </row>
    <row r="63" spans="1:22">
      <c r="C63" s="19" t="s">
        <v>135</v>
      </c>
    </row>
    <row r="64" spans="1:22">
      <c r="C64" s="19" t="s">
        <v>136</v>
      </c>
    </row>
    <row r="65" spans="3:15">
      <c r="C65" s="19" t="s">
        <v>137</v>
      </c>
      <c r="O65" s="25"/>
    </row>
    <row r="66" spans="3:15">
      <c r="C66" s="19" t="s">
        <v>138</v>
      </c>
      <c r="O66" s="25"/>
    </row>
    <row r="67" spans="3:15">
      <c r="C67" s="19" t="s">
        <v>139</v>
      </c>
    </row>
    <row r="68" spans="3:15">
      <c r="C68" s="19" t="s">
        <v>140</v>
      </c>
    </row>
    <row r="69" spans="3:15" hidden="1">
      <c r="C69" s="19" t="s">
        <v>141</v>
      </c>
    </row>
    <row r="70" spans="3:15">
      <c r="C70" s="19" t="s">
        <v>142</v>
      </c>
    </row>
    <row r="71" spans="3:15" ht="3" customHeight="1"/>
    <row r="72" spans="3:15">
      <c r="C72" s="82" t="s">
        <v>143</v>
      </c>
    </row>
  </sheetData>
  <phoneticPr fontId="17" type="noConversion"/>
  <pageMargins left="0.7" right="0.7" top="0.75" bottom="0.75" header="0.3" footer="0.3"/>
  <pageSetup scale="58" orientation="landscape" r:id="rId1"/>
  <headerFooter>
    <oddHeader>&amp;LREFILED April 19, 2023</oddHeader>
  </headerFooter>
  <ignoredErrors>
    <ignoredError sqref="G12 G37 Q5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088F9-DC47-4960-819E-2F956E4A8D71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2.xml><?xml version="1.0" encoding="utf-8"?>
<ds:datastoreItem xmlns:ds="http://schemas.openxmlformats.org/officeDocument/2006/customXml" ds:itemID="{5A5E0B8D-3873-4BD3-A370-2163C69E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DF1BC9-630F-47F4-8AA7-0E29AD4BB131}"/>
</file>

<file path=customXml/itemProps4.xml><?xml version="1.0" encoding="utf-8"?>
<ds:datastoreItem xmlns:ds="http://schemas.openxmlformats.org/officeDocument/2006/customXml" ds:itemID="{C3E13D1E-16C9-4FCB-9342-2A9A40F8D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</vt:lpstr>
      <vt:lpstr>Support</vt:lpstr>
      <vt:lpstr>PAGE2</vt:lpstr>
      <vt:lpstr>Sum!Print_Area</vt:lpstr>
      <vt:lpstr>Support!Print_Area</vt:lpstr>
      <vt:lpstr>Sum!Print_Titles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p75967</dc:creator>
  <cp:keywords/>
  <dc:description/>
  <cp:lastModifiedBy>Son, Ariel (PacifiCorp)</cp:lastModifiedBy>
  <cp:revision/>
  <dcterms:created xsi:type="dcterms:W3CDTF">2010-10-19T17:41:39Z</dcterms:created>
  <dcterms:modified xsi:type="dcterms:W3CDTF">2023-04-19T06:39:58Z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