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30" windowWidth="21840" windowHeight="12075"/>
  </bookViews>
  <sheets>
    <sheet name="Exhibit JAP-14" sheetId="4" r:id="rId1"/>
  </sheets>
  <externalReferences>
    <externalReference r:id="rId2"/>
  </externalReferences>
  <definedNames>
    <definedName name="CaseDescription">[1]Assumptions!$A$2</definedName>
    <definedName name="PreTaxWACC">[1]Assumptions!$O$24</definedName>
    <definedName name="StartDate">[1]Assumptions!$C$7</definedName>
    <definedName name="Title">[1]Assumptions!$A$1</definedName>
    <definedName name="TotalREC20">[1]LPProblem!$AX$32</definedName>
  </definedNames>
  <calcPr calcId="145621"/>
</workbook>
</file>

<file path=xl/calcChain.xml><?xml version="1.0" encoding="utf-8"?>
<calcChain xmlns="http://schemas.openxmlformats.org/spreadsheetml/2006/main">
  <c r="B9" i="4" l="1"/>
  <c r="F9" i="4"/>
  <c r="A10" i="4"/>
  <c r="B10" i="4"/>
  <c r="F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D30" i="4"/>
  <c r="E30" i="4"/>
  <c r="D31" i="4"/>
  <c r="E31" i="4"/>
  <c r="H34" i="4"/>
  <c r="H35" i="4"/>
  <c r="P9" i="4" s="1"/>
  <c r="H36" i="4"/>
  <c r="H38" i="4" s="1"/>
  <c r="H9" i="4" s="1"/>
  <c r="F30" i="4" l="1"/>
  <c r="F31" i="4" s="1"/>
  <c r="J9" i="4"/>
  <c r="H10" i="4"/>
  <c r="H11" i="4" s="1"/>
  <c r="J10" i="4" l="1"/>
  <c r="J11" i="4"/>
  <c r="H12" i="4"/>
  <c r="L9" i="4"/>
  <c r="L10" i="4"/>
  <c r="L11" i="4" l="1"/>
  <c r="H13" i="4"/>
  <c r="J12" i="4"/>
  <c r="L12" i="4" l="1"/>
  <c r="J13" i="4"/>
  <c r="H14" i="4"/>
  <c r="L13" i="4"/>
  <c r="H15" i="4" l="1"/>
  <c r="J14" i="4"/>
  <c r="L14" i="4" l="1"/>
  <c r="J15" i="4"/>
  <c r="H16" i="4"/>
  <c r="H17" i="4" l="1"/>
  <c r="J16" i="4"/>
  <c r="L16" i="4"/>
  <c r="L15" i="4"/>
  <c r="J17" i="4" l="1"/>
  <c r="H18" i="4"/>
  <c r="L17" i="4" l="1"/>
  <c r="H19" i="4"/>
  <c r="J18" i="4"/>
  <c r="J19" i="4" l="1"/>
  <c r="L19" i="4" s="1"/>
  <c r="H20" i="4"/>
  <c r="L18" i="4"/>
  <c r="H21" i="4" l="1"/>
  <c r="J20" i="4"/>
  <c r="L20" i="4" s="1"/>
  <c r="J21" i="4" l="1"/>
  <c r="L21" i="4" s="1"/>
  <c r="H22" i="4"/>
  <c r="H23" i="4" l="1"/>
  <c r="J22" i="4"/>
  <c r="L22" i="4" s="1"/>
  <c r="J23" i="4" l="1"/>
  <c r="L23" i="4" s="1"/>
  <c r="H24" i="4"/>
  <c r="H25" i="4" l="1"/>
  <c r="J24" i="4"/>
  <c r="L24" i="4" s="1"/>
  <c r="J25" i="4" l="1"/>
  <c r="L25" i="4" s="1"/>
  <c r="H26" i="4"/>
  <c r="H27" i="4" l="1"/>
  <c r="J26" i="4"/>
  <c r="L26" i="4" s="1"/>
  <c r="J27" i="4" l="1"/>
  <c r="L27" i="4" s="1"/>
  <c r="H28" i="4"/>
  <c r="J28" i="4" l="1"/>
  <c r="H30" i="4"/>
  <c r="H31" i="4" s="1"/>
  <c r="L28" i="4" l="1"/>
  <c r="J30" i="4"/>
  <c r="J31" i="4" s="1"/>
</calcChain>
</file>

<file path=xl/sharedStrings.xml><?xml version="1.0" encoding="utf-8"?>
<sst xmlns="http://schemas.openxmlformats.org/spreadsheetml/2006/main" count="38" uniqueCount="37">
  <si>
    <t>Note: All revenue figures in $000's.</t>
  </si>
  <si>
    <t>Adjusted Effective PCA Rate ($/MWh)</t>
  </si>
  <si>
    <t>2013 PCORC % Rate Change (RY Beginning 11/1/13)</t>
  </si>
  <si>
    <t>Average Effective PCA Rate ($/MWh)</t>
  </si>
  <si>
    <t>JeffCo MWh (12M Ending 06/30/12)</t>
  </si>
  <si>
    <t>JeffCo PCA Revenue (12M Ending 06/30/12)</t>
  </si>
  <si>
    <t>Levelized</t>
  </si>
  <si>
    <t>NPV</t>
  </si>
  <si>
    <t>(i)</t>
  </si>
  <si>
    <t>(h)</t>
  </si>
  <si>
    <t>(g)</t>
  </si>
  <si>
    <t>(f)=NPV(e)</t>
  </si>
  <si>
    <t>(e)=(c)-(d)</t>
  </si>
  <si>
    <t>(d) = (g)x(h)x(i)</t>
  </si>
  <si>
    <t>(c)=(a)-(b)</t>
  </si>
  <si>
    <t>(b)</t>
  </si>
  <si>
    <t>(a)</t>
  </si>
  <si>
    <t>PCA Rates</t>
  </si>
  <si>
    <t>JeffCo Load</t>
  </si>
  <si>
    <t>Loads</t>
  </si>
  <si>
    <t>Benefit</t>
  </si>
  <si>
    <t>PCA Revenue</t>
  </si>
  <si>
    <t>Avoided</t>
  </si>
  <si>
    <t>Without JeffCo</t>
  </si>
  <si>
    <t>With JeffCo</t>
  </si>
  <si>
    <t>Year</t>
  </si>
  <si>
    <t>Row</t>
  </si>
  <si>
    <t>Growth Rates</t>
  </si>
  <si>
    <t>JeffCo</t>
  </si>
  <si>
    <t>NPV of Net</t>
  </si>
  <si>
    <t>Net</t>
  </si>
  <si>
    <t>Lost JeffCo</t>
  </si>
  <si>
    <t>Incremental Power Costs (Including Existing Plant)</t>
  </si>
  <si>
    <t>Cumulative</t>
  </si>
  <si>
    <t>Page 1 of 1</t>
  </si>
  <si>
    <t>Revised Calculation of Net Present Value Power Supply Cost Savings Resulting from Jefferon County's Departure from the PSE System</t>
  </si>
  <si>
    <t>Exhibit No.___(JAP-14)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</si>
</sst>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0" fillId="0" borderId="0" xfId="0" applyNumberFormat="1" applyFill="1" applyAlignment="1">
      <alignment vertical="top" wrapText="1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3" fillId="0" borderId="4" xfId="3" applyNumberFormat="1" applyFont="1" applyBorder="1"/>
    <xf numFmtId="0" fontId="0" fillId="0" borderId="0" xfId="0" applyBorder="1"/>
    <xf numFmtId="0" fontId="0" fillId="0" borderId="5" xfId="0" applyBorder="1"/>
    <xf numFmtId="44" fontId="0" fillId="0" borderId="4" xfId="2" applyFont="1" applyBorder="1"/>
    <xf numFmtId="165" fontId="4" fillId="0" borderId="4" xfId="1" applyNumberFormat="1" applyFont="1" applyBorder="1"/>
    <xf numFmtId="166" fontId="0" fillId="0" borderId="6" xfId="2" applyNumberFormat="1" applyFont="1" applyBorder="1"/>
    <xf numFmtId="0" fontId="0" fillId="0" borderId="7" xfId="0" applyBorder="1"/>
    <xf numFmtId="0" fontId="0" fillId="0" borderId="8" xfId="0" applyBorder="1"/>
    <xf numFmtId="8" fontId="0" fillId="0" borderId="0" xfId="0" applyNumberFormat="1"/>
    <xf numFmtId="6" fontId="0" fillId="0" borderId="0" xfId="0" applyNumberFormat="1" applyBorder="1" applyAlignment="1">
      <alignment horizontal="center"/>
    </xf>
    <xf numFmtId="166" fontId="0" fillId="0" borderId="0" xfId="0" applyNumberFormat="1" applyAlignment="1">
      <alignment wrapText="1"/>
    </xf>
    <xf numFmtId="6" fontId="0" fillId="0" borderId="0" xfId="0" applyNumberFormat="1"/>
    <xf numFmtId="166" fontId="0" fillId="0" borderId="0" xfId="0" applyNumberFormat="1" applyFill="1"/>
    <xf numFmtId="166" fontId="0" fillId="0" borderId="0" xfId="0" applyNumberFormat="1"/>
    <xf numFmtId="166" fontId="0" fillId="0" borderId="0" xfId="2" applyNumberFormat="1" applyFont="1"/>
    <xf numFmtId="10" fontId="0" fillId="0" borderId="0" xfId="0" applyNumberFormat="1" applyFill="1" applyAlignment="1">
      <alignment horizontal="center"/>
    </xf>
    <xf numFmtId="10" fontId="0" fillId="0" borderId="0" xfId="3" applyNumberFormat="1" applyFont="1" applyAlignment="1">
      <alignment horizontal="center"/>
    </xf>
    <xf numFmtId="165" fontId="0" fillId="0" borderId="0" xfId="1" applyNumberFormat="1" applyFont="1"/>
    <xf numFmtId="0" fontId="0" fillId="0" borderId="0" xfId="0" applyFill="1"/>
    <xf numFmtId="166" fontId="0" fillId="0" borderId="0" xfId="2" applyNumberFormat="1" applyFont="1" applyFill="1"/>
    <xf numFmtId="14" fontId="0" fillId="0" borderId="0" xfId="0" applyNumberFormat="1"/>
    <xf numFmtId="10" fontId="0" fillId="0" borderId="0" xfId="0" applyNumberFormat="1" applyAlignment="1">
      <alignment horizontal="center"/>
    </xf>
    <xf numFmtId="166" fontId="2" fillId="0" borderId="0" xfId="0" applyNumberFormat="1" applyFont="1"/>
    <xf numFmtId="166" fontId="2" fillId="0" borderId="0" xfId="2" applyNumberFormat="1" applyFont="1"/>
    <xf numFmtId="0" fontId="2" fillId="0" borderId="0" xfId="0" applyFont="1"/>
    <xf numFmtId="14" fontId="0" fillId="0" borderId="0" xfId="0" applyNumberFormat="1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7">
    <cellStyle name="Comma" xfId="1" builtinId="3"/>
    <cellStyle name="Comma 10 2 2 3" xfId="4"/>
    <cellStyle name="Currency" xfId="2" builtinId="4"/>
    <cellStyle name="Currency 10 3 4" xfId="5"/>
    <cellStyle name="Normal" xfId="0" builtinId="0"/>
    <cellStyle name="Normal - Style1 2 2 3 4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gampo/AppData/Local/Microsoft/Windows/Temporary%20Internet%20Files/Content.Outlook/J4FPL0BN/PSM%20III%2018_2013%20IRP_v15_Base_Case2_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Assumptions"/>
      <sheetName val="AuroraEnergyAll"/>
      <sheetName val="AuroraCostAll"/>
      <sheetName val="AuroraRevenueAll"/>
      <sheetName val="Peak Inputs"/>
      <sheetName val="CO2_Emissions"/>
      <sheetName val="Wind PPA Inputs"/>
      <sheetName val="Load_Market_DSM"/>
      <sheetName val="REC Credit"/>
      <sheetName val="Thermal Acq Inputs"/>
      <sheetName val="Wind Acq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Transmission Addition"/>
      <sheetName val="CCGT East"/>
      <sheetName val="Self Build Peaker"/>
      <sheetName val="Peaker East"/>
      <sheetName val="Peaker"/>
      <sheetName val="New Renewable 1"/>
      <sheetName val="New Renewable 2"/>
      <sheetName val="New Renewable 3"/>
      <sheetName val="Wind"/>
      <sheetName val="PPA Rollup"/>
      <sheetName val="Equity Equalization - PPA"/>
      <sheetName val="End Effects"/>
      <sheetName val="Net Cost Calc"/>
      <sheetName val="Book Life"/>
      <sheetName val="Replacement Cost Rollup"/>
      <sheetName val="CCGT Replacement Rev Req"/>
      <sheetName val="Peaker Replacement Rev Req"/>
      <sheetName val="Wind Replacement Rev Req"/>
      <sheetName val="CCGT East Replacement Rev Req"/>
      <sheetName val="Peaker East Replacement Rev Req"/>
      <sheetName val="WACC"/>
    </sheetNames>
    <sheetDataSet>
      <sheetData sheetId="0" refreshError="1"/>
      <sheetData sheetId="1" refreshError="1"/>
      <sheetData sheetId="2" refreshError="1"/>
      <sheetData sheetId="3" refreshError="1">
        <row r="32">
          <cell r="AX32">
            <v>18268.994981799504</v>
          </cell>
        </row>
      </sheetData>
      <sheetData sheetId="4" refreshError="1">
        <row r="1">
          <cell r="A1" t="str">
            <v>(All Generics)_2013 IRP Base</v>
          </cell>
        </row>
        <row r="2">
          <cell r="A2" t="str">
            <v>PSM III Optimizer v 18 2013 IRP</v>
          </cell>
        </row>
        <row r="7">
          <cell r="C7">
            <v>41639</v>
          </cell>
        </row>
        <row r="24">
          <cell r="O24">
            <v>7.8E-2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Normal="100" workbookViewId="0">
      <selection activeCell="T16" sqref="T16"/>
    </sheetView>
  </sheetViews>
  <sheetFormatPr defaultRowHeight="15" x14ac:dyDescent="0.25"/>
  <cols>
    <col min="1" max="1" width="4.85546875" bestFit="1" customWidth="1"/>
    <col min="2" max="2" width="10.85546875" customWidth="1"/>
    <col min="3" max="3" width="10.85546875" hidden="1" customWidth="1"/>
    <col min="4" max="6" width="15.7109375" customWidth="1"/>
    <col min="7" max="7" width="3.5703125" customWidth="1"/>
    <col min="8" max="8" width="12.85546875" bestFit="1" customWidth="1"/>
    <col min="9" max="9" width="3" customWidth="1"/>
    <col min="10" max="10" width="9.7109375" bestFit="1" customWidth="1"/>
    <col min="11" max="11" width="3.42578125" customWidth="1"/>
    <col min="12" max="12" width="11.7109375" customWidth="1"/>
    <col min="13" max="13" width="2.5703125" customWidth="1"/>
    <col min="14" max="14" width="9" bestFit="1" customWidth="1"/>
    <col min="15" max="15" width="3.42578125" customWidth="1"/>
    <col min="16" max="16" width="11.140625" bestFit="1" customWidth="1"/>
    <col min="17" max="17" width="9.85546875" bestFit="1" customWidth="1"/>
  </cols>
  <sheetData>
    <row r="1" spans="1:17" ht="20.100000000000001" customHeight="1" x14ac:dyDescent="0.25">
      <c r="D1" s="38" t="s">
        <v>35</v>
      </c>
      <c r="E1" s="38"/>
      <c r="F1" s="38"/>
      <c r="G1" s="38"/>
      <c r="H1" s="38"/>
      <c r="I1" s="38"/>
      <c r="J1" s="38"/>
      <c r="Q1" s="36" t="s">
        <v>36</v>
      </c>
    </row>
    <row r="2" spans="1:17" ht="20.100000000000001" customHeight="1" x14ac:dyDescent="0.25">
      <c r="D2" s="38"/>
      <c r="E2" s="38"/>
      <c r="F2" s="38"/>
      <c r="G2" s="38"/>
      <c r="H2" s="38"/>
      <c r="I2" s="38"/>
      <c r="J2" s="38"/>
      <c r="Q2" s="36" t="s">
        <v>34</v>
      </c>
    </row>
    <row r="4" spans="1:17" x14ac:dyDescent="0.25">
      <c r="L4" s="2" t="s">
        <v>33</v>
      </c>
    </row>
    <row r="5" spans="1:17" x14ac:dyDescent="0.25">
      <c r="D5" s="37" t="s">
        <v>32</v>
      </c>
      <c r="E5" s="37"/>
      <c r="F5" s="37"/>
      <c r="H5" s="2" t="s">
        <v>31</v>
      </c>
      <c r="I5" s="2"/>
      <c r="J5" s="2" t="s">
        <v>30</v>
      </c>
      <c r="L5" s="2" t="s">
        <v>29</v>
      </c>
      <c r="N5" s="2" t="s">
        <v>28</v>
      </c>
      <c r="P5" s="37" t="s">
        <v>27</v>
      </c>
      <c r="Q5" s="37"/>
    </row>
    <row r="6" spans="1:17" ht="15.75" thickBot="1" x14ac:dyDescent="0.3">
      <c r="A6" s="35" t="s">
        <v>26</v>
      </c>
      <c r="B6" s="35" t="s">
        <v>25</v>
      </c>
      <c r="C6" s="35"/>
      <c r="D6" s="35" t="s">
        <v>24</v>
      </c>
      <c r="E6" s="35" t="s">
        <v>23</v>
      </c>
      <c r="F6" s="35" t="s">
        <v>22</v>
      </c>
      <c r="G6" s="34"/>
      <c r="H6" s="35" t="s">
        <v>21</v>
      </c>
      <c r="I6" s="35"/>
      <c r="J6" s="35" t="s">
        <v>20</v>
      </c>
      <c r="K6" s="34"/>
      <c r="L6" s="35" t="s">
        <v>20</v>
      </c>
      <c r="M6" s="34"/>
      <c r="N6" s="35" t="s">
        <v>19</v>
      </c>
      <c r="O6" s="34"/>
      <c r="P6" s="35" t="s">
        <v>18</v>
      </c>
      <c r="Q6" s="34" t="s">
        <v>17</v>
      </c>
    </row>
    <row r="7" spans="1:17" x14ac:dyDescent="0.25">
      <c r="A7" s="2"/>
      <c r="B7" s="7"/>
      <c r="C7" s="7"/>
      <c r="D7" s="33" t="s">
        <v>16</v>
      </c>
      <c r="E7" s="33" t="s">
        <v>15</v>
      </c>
      <c r="F7" s="33" t="s">
        <v>14</v>
      </c>
      <c r="G7" s="7"/>
      <c r="H7" s="33" t="s">
        <v>13</v>
      </c>
      <c r="I7" s="33"/>
      <c r="J7" s="33" t="s">
        <v>12</v>
      </c>
      <c r="K7" s="7"/>
      <c r="L7" s="33" t="s">
        <v>11</v>
      </c>
      <c r="M7" s="7"/>
      <c r="N7" s="33" t="s">
        <v>10</v>
      </c>
      <c r="O7" s="7"/>
      <c r="P7" s="32" t="s">
        <v>9</v>
      </c>
      <c r="Q7" s="32" t="s">
        <v>8</v>
      </c>
    </row>
    <row r="8" spans="1:17" x14ac:dyDescent="0.25">
      <c r="A8" s="2"/>
      <c r="C8" s="31">
        <v>41640</v>
      </c>
      <c r="D8" s="29">
        <v>0</v>
      </c>
      <c r="E8" s="29">
        <v>0</v>
      </c>
      <c r="F8" s="28">
        <v>0</v>
      </c>
      <c r="G8" s="30"/>
      <c r="H8" s="29">
        <v>0</v>
      </c>
      <c r="I8" s="28"/>
      <c r="J8" s="28">
        <v>0</v>
      </c>
      <c r="N8" s="23"/>
    </row>
    <row r="9" spans="1:17" x14ac:dyDescent="0.25">
      <c r="A9" s="2">
        <v>1</v>
      </c>
      <c r="B9" s="2">
        <f t="shared" ref="B9:B28" si="0">YEAR(C9)</f>
        <v>2014</v>
      </c>
      <c r="C9" s="26">
        <v>41820</v>
      </c>
      <c r="D9" s="25">
        <v>1442612.322164645</v>
      </c>
      <c r="E9" s="25">
        <v>1433014.220122335</v>
      </c>
      <c r="F9" s="20">
        <f t="shared" ref="F9:F28" si="1">D9-E9</f>
        <v>9598.1020423099399</v>
      </c>
      <c r="H9" s="25">
        <f>N9*H38*(1+Q9)/1000</f>
        <v>20236.745752218147</v>
      </c>
      <c r="I9" s="18"/>
      <c r="J9" s="18">
        <f t="shared" ref="J9:J28" si="2">F9-H9</f>
        <v>-10638.643709908207</v>
      </c>
      <c r="K9" s="24"/>
      <c r="L9" s="18">
        <f>XNPV(0.0777,J$8:J9,$C$8:$C9)</f>
        <v>-10253.211391122728</v>
      </c>
      <c r="N9" s="23">
        <v>300878.71800000011</v>
      </c>
      <c r="P9" s="22">
        <f>(N9/H35)^(1/2)-1</f>
        <v>1.4269127817810867E-2</v>
      </c>
      <c r="Q9" s="27"/>
    </row>
    <row r="10" spans="1:17" x14ac:dyDescent="0.25">
      <c r="A10" s="2">
        <f t="shared" ref="A10:A40" si="3">A9+1</f>
        <v>2</v>
      </c>
      <c r="B10" s="2">
        <f t="shared" si="0"/>
        <v>2015</v>
      </c>
      <c r="C10" s="26">
        <v>42185</v>
      </c>
      <c r="D10" s="25">
        <v>1424658.6142392841</v>
      </c>
      <c r="E10" s="25">
        <v>1414449.3788169397</v>
      </c>
      <c r="F10" s="20">
        <f t="shared" si="1"/>
        <v>10209.235422344413</v>
      </c>
      <c r="H10" s="18">
        <f t="shared" ref="H10:H28" si="4">H9*(1+P10+Q10)</f>
        <v>20401.690047250202</v>
      </c>
      <c r="I10" s="18"/>
      <c r="J10" s="18">
        <f t="shared" si="2"/>
        <v>-10192.454624905789</v>
      </c>
      <c r="K10" s="24"/>
      <c r="L10" s="18">
        <f>XNPV(0.0777,J$8:J10,$C$8:$C10)</f>
        <v>-19368.166847941444</v>
      </c>
      <c r="N10" s="23">
        <v>304706.99</v>
      </c>
      <c r="P10" s="22">
        <v>1.270223173323326E-2</v>
      </c>
      <c r="Q10" s="21">
        <v>-4.5514995428078686E-3</v>
      </c>
    </row>
    <row r="11" spans="1:17" x14ac:dyDescent="0.25">
      <c r="A11" s="2">
        <f t="shared" si="3"/>
        <v>3</v>
      </c>
      <c r="B11" s="2">
        <f t="shared" si="0"/>
        <v>2016</v>
      </c>
      <c r="C11" s="26">
        <v>42551</v>
      </c>
      <c r="D11" s="25">
        <v>1427185.6531139405</v>
      </c>
      <c r="E11" s="25">
        <v>1416278.9429307133</v>
      </c>
      <c r="F11" s="20">
        <f t="shared" si="1"/>
        <v>10906.710183227202</v>
      </c>
      <c r="H11" s="18">
        <f t="shared" si="4"/>
        <v>21232.231948250879</v>
      </c>
      <c r="I11" s="18"/>
      <c r="J11" s="18">
        <f t="shared" si="2"/>
        <v>-10325.521765023677</v>
      </c>
      <c r="K11" s="24"/>
      <c r="L11" s="18">
        <f>XNPV(0.0777,J$8:J11,$C$8:$C11)</f>
        <v>-27934.616214822716</v>
      </c>
      <c r="N11" s="23">
        <v>310827.38400000008</v>
      </c>
      <c r="P11" s="22">
        <v>2.0111589333423829E-2</v>
      </c>
      <c r="Q11" s="21">
        <v>2.0597876356778677E-2</v>
      </c>
    </row>
    <row r="12" spans="1:17" x14ac:dyDescent="0.25">
      <c r="A12" s="2">
        <f t="shared" si="3"/>
        <v>4</v>
      </c>
      <c r="B12" s="2">
        <f t="shared" si="0"/>
        <v>2017</v>
      </c>
      <c r="C12" s="26">
        <v>42916</v>
      </c>
      <c r="D12" s="25">
        <v>1450689.4248321136</v>
      </c>
      <c r="E12" s="25">
        <v>1438119.1133075007</v>
      </c>
      <c r="F12" s="20">
        <f t="shared" si="1"/>
        <v>12570.311524612829</v>
      </c>
      <c r="H12" s="18">
        <f t="shared" si="4"/>
        <v>22418.67919158149</v>
      </c>
      <c r="I12" s="18"/>
      <c r="J12" s="18">
        <f t="shared" si="2"/>
        <v>-9848.3676669686611</v>
      </c>
      <c r="K12" s="24"/>
      <c r="L12" s="18">
        <f>XNPV(0.0777,J$8:J12,$C$8:$C12)</f>
        <v>-35516.117563925865</v>
      </c>
      <c r="N12" s="23">
        <v>315199.35999999987</v>
      </c>
      <c r="P12" s="22">
        <v>1.404932352984356E-2</v>
      </c>
      <c r="Q12" s="21">
        <v>4.1830211237030124E-2</v>
      </c>
    </row>
    <row r="13" spans="1:17" x14ac:dyDescent="0.25">
      <c r="A13" s="2">
        <f t="shared" si="3"/>
        <v>5</v>
      </c>
      <c r="B13" s="2">
        <f t="shared" si="0"/>
        <v>2018</v>
      </c>
      <c r="C13" s="26">
        <v>43281</v>
      </c>
      <c r="D13" s="25">
        <v>1557064.4910010912</v>
      </c>
      <c r="E13" s="25">
        <v>1500397.5597500191</v>
      </c>
      <c r="F13" s="20">
        <f t="shared" si="1"/>
        <v>56666.931251072092</v>
      </c>
      <c r="H13" s="18">
        <f t="shared" si="4"/>
        <v>24135.066567896985</v>
      </c>
      <c r="I13" s="18"/>
      <c r="J13" s="18">
        <f t="shared" si="2"/>
        <v>32531.864683175107</v>
      </c>
      <c r="K13" s="24"/>
      <c r="L13" s="18">
        <f>XNPV(0.0777,J$8:J13,$C$8:$C13)</f>
        <v>-12277.941529380456</v>
      </c>
      <c r="N13" s="23">
        <v>319554.57799999998</v>
      </c>
      <c r="P13" s="22">
        <v>1.3785778925499148E-2</v>
      </c>
      <c r="Q13" s="21">
        <v>6.2774814214172636E-2</v>
      </c>
    </row>
    <row r="14" spans="1:17" x14ac:dyDescent="0.25">
      <c r="A14" s="2">
        <f t="shared" si="3"/>
        <v>6</v>
      </c>
      <c r="B14" s="2">
        <f t="shared" si="0"/>
        <v>2019</v>
      </c>
      <c r="C14" s="26">
        <v>43646</v>
      </c>
      <c r="D14" s="25">
        <v>1599086.3636756397</v>
      </c>
      <c r="E14" s="25">
        <v>1541477.5497702477</v>
      </c>
      <c r="F14" s="20">
        <f t="shared" si="1"/>
        <v>57608.813905392075</v>
      </c>
      <c r="H14" s="18">
        <f t="shared" si="4"/>
        <v>25255.509856745528</v>
      </c>
      <c r="I14" s="18"/>
      <c r="J14" s="18">
        <f t="shared" si="2"/>
        <v>32353.304048646547</v>
      </c>
      <c r="K14" s="24"/>
      <c r="L14" s="18">
        <f>XNPV(0.0777,J$8:J14,$C$8:$C14)</f>
        <v>9166.4553554238882</v>
      </c>
      <c r="N14" s="23">
        <v>322814.93999999994</v>
      </c>
      <c r="P14" s="22">
        <v>1.0224578048131816E-2</v>
      </c>
      <c r="Q14" s="21">
        <v>3.6199295931933717E-2</v>
      </c>
    </row>
    <row r="15" spans="1:17" x14ac:dyDescent="0.25">
      <c r="A15" s="2">
        <f t="shared" si="3"/>
        <v>7</v>
      </c>
      <c r="B15" s="2">
        <f t="shared" si="0"/>
        <v>2020</v>
      </c>
      <c r="C15" s="26">
        <v>44012</v>
      </c>
      <c r="D15" s="25">
        <v>1612688.7387889386</v>
      </c>
      <c r="E15" s="25">
        <v>1555382.8858551644</v>
      </c>
      <c r="F15" s="20">
        <f t="shared" si="1"/>
        <v>57305.852933774237</v>
      </c>
      <c r="H15" s="18">
        <f t="shared" si="4"/>
        <v>25685.418953674245</v>
      </c>
      <c r="I15" s="18"/>
      <c r="J15" s="18">
        <f t="shared" si="2"/>
        <v>31620.433980099991</v>
      </c>
      <c r="K15" s="24"/>
      <c r="L15" s="18">
        <f>XNPV(0.0777,J$8:J15,$C$8:$C15)</f>
        <v>28610.029711530184</v>
      </c>
      <c r="N15" s="23">
        <v>326043.64800000004</v>
      </c>
      <c r="P15" s="22">
        <v>9.9577658256926327E-3</v>
      </c>
      <c r="Q15" s="21">
        <v>7.0646225310362354E-3</v>
      </c>
    </row>
    <row r="16" spans="1:17" x14ac:dyDescent="0.25">
      <c r="A16" s="2">
        <f t="shared" si="3"/>
        <v>8</v>
      </c>
      <c r="B16" s="2">
        <f t="shared" si="0"/>
        <v>2021</v>
      </c>
      <c r="C16" s="26">
        <v>44377</v>
      </c>
      <c r="D16" s="25">
        <v>1632860.3454123563</v>
      </c>
      <c r="E16" s="25">
        <v>1620070.56525918</v>
      </c>
      <c r="F16" s="20">
        <f t="shared" si="1"/>
        <v>12789.780153176282</v>
      </c>
      <c r="H16" s="18">
        <f t="shared" si="4"/>
        <v>26192.19039004084</v>
      </c>
      <c r="I16" s="18"/>
      <c r="J16" s="18">
        <f t="shared" si="2"/>
        <v>-13402.410236864558</v>
      </c>
      <c r="K16" s="24"/>
      <c r="L16" s="18">
        <f>XNPV(0.0777,J$8:J16,$C$8:$C16)</f>
        <v>20962.990741092799</v>
      </c>
      <c r="N16" s="23">
        <v>325550.21799999988</v>
      </c>
      <c r="P16" s="22">
        <v>-1.4577159048333455E-3</v>
      </c>
      <c r="Q16" s="21">
        <v>2.11876427275417E-2</v>
      </c>
    </row>
    <row r="17" spans="1:18" x14ac:dyDescent="0.25">
      <c r="A17" s="2">
        <f t="shared" si="3"/>
        <v>9</v>
      </c>
      <c r="B17" s="2">
        <f t="shared" si="0"/>
        <v>2022</v>
      </c>
      <c r="C17" s="26">
        <v>44742</v>
      </c>
      <c r="D17" s="25">
        <v>1801719.1919385521</v>
      </c>
      <c r="E17" s="25">
        <v>1742451.9822080841</v>
      </c>
      <c r="F17" s="20">
        <f t="shared" si="1"/>
        <v>59267.209730467992</v>
      </c>
      <c r="H17" s="18">
        <f t="shared" si="4"/>
        <v>28494.069294144454</v>
      </c>
      <c r="I17" s="18"/>
      <c r="J17" s="18">
        <f t="shared" si="2"/>
        <v>30773.140436323538</v>
      </c>
      <c r="K17" s="24"/>
      <c r="L17" s="18">
        <f>XNPV(0.0777,J$8:J17,$C$8:$C17)</f>
        <v>37255.363284177081</v>
      </c>
      <c r="N17" s="23">
        <v>327849.78799999994</v>
      </c>
      <c r="P17" s="22">
        <v>7.06520727652582E-3</v>
      </c>
      <c r="Q17" s="21">
        <v>8.081896238722508E-2</v>
      </c>
    </row>
    <row r="18" spans="1:18" x14ac:dyDescent="0.25">
      <c r="A18" s="2">
        <f t="shared" si="3"/>
        <v>10</v>
      </c>
      <c r="B18" s="2">
        <f t="shared" si="0"/>
        <v>2023</v>
      </c>
      <c r="C18" s="26">
        <v>45107</v>
      </c>
      <c r="D18" s="25">
        <v>1866311.5442484003</v>
      </c>
      <c r="E18" s="25">
        <v>1806639.4335117554</v>
      </c>
      <c r="F18" s="20">
        <f t="shared" si="1"/>
        <v>59672.110736644827</v>
      </c>
      <c r="H18" s="18">
        <f t="shared" si="4"/>
        <v>29350.07082897118</v>
      </c>
      <c r="I18" s="18"/>
      <c r="J18" s="18">
        <f t="shared" si="2"/>
        <v>30322.039907673647</v>
      </c>
      <c r="K18" s="24"/>
      <c r="L18" s="18">
        <f>XNPV(0.0777,J$8:J18,$C$8:$C18)</f>
        <v>52151.479280213629</v>
      </c>
      <c r="N18" s="23">
        <v>330372.79799999995</v>
      </c>
      <c r="P18" s="22">
        <v>7.7131297856700698E-3</v>
      </c>
      <c r="Q18" s="21">
        <v>2.2328263249147717E-2</v>
      </c>
    </row>
    <row r="19" spans="1:18" x14ac:dyDescent="0.25">
      <c r="A19" s="2">
        <f t="shared" si="3"/>
        <v>11</v>
      </c>
      <c r="B19" s="2">
        <f t="shared" si="0"/>
        <v>2024</v>
      </c>
      <c r="C19" s="26">
        <v>45473</v>
      </c>
      <c r="D19" s="25">
        <v>1895397.3753135898</v>
      </c>
      <c r="E19" s="25">
        <v>1884569.7482748954</v>
      </c>
      <c r="F19" s="20">
        <f t="shared" si="1"/>
        <v>10827.627038694452</v>
      </c>
      <c r="H19" s="18">
        <f t="shared" si="4"/>
        <v>29855.23849012133</v>
      </c>
      <c r="I19" s="18"/>
      <c r="J19" s="18">
        <f t="shared" si="2"/>
        <v>-19027.611451426877</v>
      </c>
      <c r="K19" s="24"/>
      <c r="L19" s="18">
        <f>XNPV(0.0777,J$8:J19,$C$8:$C19)</f>
        <v>43479.624694187718</v>
      </c>
      <c r="N19" s="23">
        <v>335720.46200000006</v>
      </c>
      <c r="P19" s="22">
        <v>1.6156718436380224E-2</v>
      </c>
      <c r="Q19" s="21">
        <v>1.0550853815343153E-3</v>
      </c>
    </row>
    <row r="20" spans="1:18" x14ac:dyDescent="0.25">
      <c r="A20" s="2">
        <f t="shared" si="3"/>
        <v>12</v>
      </c>
      <c r="B20" s="2">
        <f t="shared" si="0"/>
        <v>2025</v>
      </c>
      <c r="C20" s="26">
        <v>45838</v>
      </c>
      <c r="D20" s="25">
        <v>2026641.3299986478</v>
      </c>
      <c r="E20" s="25">
        <v>1964477.8098309487</v>
      </c>
      <c r="F20" s="20">
        <f t="shared" si="1"/>
        <v>62163.520167699084</v>
      </c>
      <c r="H20" s="18">
        <f t="shared" si="4"/>
        <v>31129.83629353244</v>
      </c>
      <c r="I20" s="18"/>
      <c r="J20" s="18">
        <f t="shared" si="2"/>
        <v>31033.683874166643</v>
      </c>
      <c r="K20" s="24"/>
      <c r="L20" s="18">
        <f>XNPV(0.0777,J$8:J20,$C$8:$C20)</f>
        <v>56603.532213172599</v>
      </c>
      <c r="N20" s="23">
        <v>341276.66999999993</v>
      </c>
      <c r="P20" s="22">
        <v>1.6573088696720362E-2</v>
      </c>
      <c r="Q20" s="21">
        <v>2.611951293273429E-2</v>
      </c>
    </row>
    <row r="21" spans="1:18" x14ac:dyDescent="0.25">
      <c r="A21" s="2">
        <f t="shared" si="3"/>
        <v>13</v>
      </c>
      <c r="B21" s="2">
        <f t="shared" si="0"/>
        <v>2026</v>
      </c>
      <c r="C21" s="26">
        <v>46203</v>
      </c>
      <c r="D21" s="25">
        <v>2311276.1628333856</v>
      </c>
      <c r="E21" s="25">
        <v>2299454.3012670614</v>
      </c>
      <c r="F21" s="20">
        <f t="shared" si="1"/>
        <v>11821.861566324253</v>
      </c>
      <c r="H21" s="18">
        <f t="shared" si="4"/>
        <v>32824.990859130718</v>
      </c>
      <c r="I21" s="18"/>
      <c r="J21" s="18">
        <f t="shared" si="2"/>
        <v>-21003.129292806465</v>
      </c>
      <c r="K21" s="24"/>
      <c r="L21" s="18">
        <f>XNPV(0.0777,J$8:J21,$C$8:$C21)</f>
        <v>48361.848335462848</v>
      </c>
      <c r="N21" s="23">
        <v>348493.78199999989</v>
      </c>
      <c r="P21" s="22">
        <v>2.11267588333659E-2</v>
      </c>
      <c r="Q21" s="21">
        <v>3.3327577180937595E-2</v>
      </c>
    </row>
    <row r="22" spans="1:18" x14ac:dyDescent="0.25">
      <c r="A22" s="2">
        <f t="shared" si="3"/>
        <v>14</v>
      </c>
      <c r="B22" s="2">
        <f t="shared" si="0"/>
        <v>2027</v>
      </c>
      <c r="C22" s="26">
        <v>46568</v>
      </c>
      <c r="D22" s="25">
        <v>2438545.5575511642</v>
      </c>
      <c r="E22" s="25">
        <v>2373296.3722452023</v>
      </c>
      <c r="F22" s="20">
        <f t="shared" si="1"/>
        <v>65249.185305961873</v>
      </c>
      <c r="H22" s="18">
        <f t="shared" si="4"/>
        <v>34650.318328988746</v>
      </c>
      <c r="I22" s="18"/>
      <c r="J22" s="18">
        <f t="shared" si="2"/>
        <v>30598.866976973128</v>
      </c>
      <c r="K22" s="24"/>
      <c r="L22" s="18">
        <f>XNPV(0.0777,J$8:J22,$C$8:$C22)</f>
        <v>59503.2391713666</v>
      </c>
      <c r="N22" s="23">
        <v>355761.16800000006</v>
      </c>
      <c r="P22" s="22">
        <v>2.0819730489893828E-2</v>
      </c>
      <c r="Q22" s="21">
        <v>3.4788128707736066E-2</v>
      </c>
    </row>
    <row r="23" spans="1:18" x14ac:dyDescent="0.25">
      <c r="A23" s="2">
        <f t="shared" si="3"/>
        <v>15</v>
      </c>
      <c r="B23" s="2">
        <f t="shared" si="0"/>
        <v>2028</v>
      </c>
      <c r="C23" s="26">
        <v>46934</v>
      </c>
      <c r="D23" s="25">
        <v>2503416.4982542894</v>
      </c>
      <c r="E23" s="25">
        <v>2490775.3710215767</v>
      </c>
      <c r="F23" s="20">
        <f t="shared" si="1"/>
        <v>12641.127232712694</v>
      </c>
      <c r="H23" s="18">
        <f t="shared" si="4"/>
        <v>35563.417542233423</v>
      </c>
      <c r="I23" s="18"/>
      <c r="J23" s="18">
        <f t="shared" si="2"/>
        <v>-22922.290309520729</v>
      </c>
      <c r="K23" s="24"/>
      <c r="L23" s="18">
        <f>XNPV(0.0777,J$8:J23,$C$8:$C23)</f>
        <v>51760.312360347183</v>
      </c>
      <c r="N23" s="23">
        <v>364235.12999999989</v>
      </c>
      <c r="P23" s="22">
        <v>2.3874698614119172E-2</v>
      </c>
      <c r="Q23" s="21">
        <v>2.4771289383789252E-3</v>
      </c>
    </row>
    <row r="24" spans="1:18" x14ac:dyDescent="0.25">
      <c r="A24" s="2">
        <f t="shared" si="3"/>
        <v>16</v>
      </c>
      <c r="B24" s="2">
        <f t="shared" si="0"/>
        <v>2029</v>
      </c>
      <c r="C24" s="26">
        <v>47299</v>
      </c>
      <c r="D24" s="25">
        <v>2593931.7051529987</v>
      </c>
      <c r="E24" s="25">
        <v>2524945.525967177</v>
      </c>
      <c r="F24" s="20">
        <f t="shared" si="1"/>
        <v>68986.179185821675</v>
      </c>
      <c r="H24" s="18">
        <f t="shared" si="4"/>
        <v>36693.505274653355</v>
      </c>
      <c r="I24" s="18"/>
      <c r="J24" s="18">
        <f t="shared" si="2"/>
        <v>32292.67391116832</v>
      </c>
      <c r="K24" s="24"/>
      <c r="L24" s="18">
        <f>XNPV(0.0777,J$8:J24,$C$8:$C24)</f>
        <v>61882.007907095132</v>
      </c>
      <c r="N24" s="23">
        <v>369893.74799999991</v>
      </c>
      <c r="P24" s="22">
        <v>1.550118336441253E-2</v>
      </c>
      <c r="Q24" s="21">
        <v>1.6275507699597069E-2</v>
      </c>
    </row>
    <row r="25" spans="1:18" x14ac:dyDescent="0.25">
      <c r="A25" s="2">
        <f t="shared" si="3"/>
        <v>17</v>
      </c>
      <c r="B25" s="2">
        <f t="shared" si="0"/>
        <v>2030</v>
      </c>
      <c r="C25" s="26">
        <v>47664</v>
      </c>
      <c r="D25" s="25">
        <v>2746111.423434746</v>
      </c>
      <c r="E25" s="25">
        <v>2676505.6415755283</v>
      </c>
      <c r="F25" s="20">
        <f t="shared" si="1"/>
        <v>69605.781859217677</v>
      </c>
      <c r="H25" s="18">
        <f t="shared" si="4"/>
        <v>38719.152498415468</v>
      </c>
      <c r="I25" s="18"/>
      <c r="J25" s="18">
        <f t="shared" si="2"/>
        <v>30886.62936080221</v>
      </c>
      <c r="K25" s="24"/>
      <c r="L25" s="18">
        <f>XNPV(0.0777,J$8:J25,$C$8:$C25)</f>
        <v>70865.018183517604</v>
      </c>
      <c r="N25" s="23">
        <v>377231.8899999999</v>
      </c>
      <c r="P25" s="22">
        <v>1.9856267715097298E-2</v>
      </c>
      <c r="Q25" s="21">
        <v>3.5348248958902762E-2</v>
      </c>
    </row>
    <row r="26" spans="1:18" x14ac:dyDescent="0.25">
      <c r="A26" s="2">
        <f t="shared" si="3"/>
        <v>18</v>
      </c>
      <c r="B26" s="2">
        <f t="shared" si="0"/>
        <v>2031</v>
      </c>
      <c r="C26" s="26">
        <v>48029</v>
      </c>
      <c r="D26" s="25">
        <v>2831451.0724799898</v>
      </c>
      <c r="E26" s="25">
        <v>2819185.2697693431</v>
      </c>
      <c r="F26" s="20">
        <f t="shared" si="1"/>
        <v>12265.802710646763</v>
      </c>
      <c r="H26" s="18">
        <f t="shared" si="4"/>
        <v>39826.893625617085</v>
      </c>
      <c r="I26" s="18"/>
      <c r="J26" s="18">
        <f t="shared" si="2"/>
        <v>-27561.090914970322</v>
      </c>
      <c r="K26" s="24"/>
      <c r="L26" s="18">
        <f>XNPV(0.0777,J$8:J26,$C$8:$C26)</f>
        <v>63427.125622767169</v>
      </c>
      <c r="N26" s="23">
        <v>385277.59199999995</v>
      </c>
      <c r="P26" s="22">
        <v>2.1354318819581275E-2</v>
      </c>
      <c r="Q26" s="21">
        <v>7.2553241018888937E-3</v>
      </c>
    </row>
    <row r="27" spans="1:18" x14ac:dyDescent="0.25">
      <c r="A27" s="2">
        <f t="shared" si="3"/>
        <v>19</v>
      </c>
      <c r="B27" s="2">
        <f t="shared" si="0"/>
        <v>2032</v>
      </c>
      <c r="C27" s="26">
        <v>48395</v>
      </c>
      <c r="D27" s="25">
        <v>2928500.3399030007</v>
      </c>
      <c r="E27" s="25">
        <v>2854706.0130578498</v>
      </c>
      <c r="F27" s="20">
        <f t="shared" si="1"/>
        <v>73794.326845150907</v>
      </c>
      <c r="H27" s="18">
        <f t="shared" si="4"/>
        <v>41210.749624456592</v>
      </c>
      <c r="I27" s="18"/>
      <c r="J27" s="18">
        <f t="shared" si="2"/>
        <v>32583.577220694315</v>
      </c>
      <c r="K27" s="24"/>
      <c r="L27" s="18">
        <f>XNPV(0.0777,J$8:J27,$C$8:$C27)</f>
        <v>71584.780746247983</v>
      </c>
      <c r="N27" s="23">
        <v>393513.21799999988</v>
      </c>
      <c r="P27" s="22">
        <v>2.1355314027931005E-2</v>
      </c>
      <c r="Q27" s="21">
        <v>1.3391458136830403E-2</v>
      </c>
    </row>
    <row r="28" spans="1:18" x14ac:dyDescent="0.25">
      <c r="A28" s="2">
        <f t="shared" si="3"/>
        <v>20</v>
      </c>
      <c r="B28" s="2">
        <f t="shared" si="0"/>
        <v>2033</v>
      </c>
      <c r="C28" s="26">
        <v>48760</v>
      </c>
      <c r="D28" s="25">
        <v>3059285.1260864628</v>
      </c>
      <c r="E28" s="25">
        <v>2984220.0984799685</v>
      </c>
      <c r="F28" s="20">
        <f t="shared" si="1"/>
        <v>75065.027606494259</v>
      </c>
      <c r="H28" s="18">
        <f t="shared" si="4"/>
        <v>42758.582474780851</v>
      </c>
      <c r="I28" s="18"/>
      <c r="J28" s="18">
        <f t="shared" si="2"/>
        <v>32306.445131713408</v>
      </c>
      <c r="K28" s="24"/>
      <c r="L28" s="18">
        <f>XNPV(0.0777,J$8:J28,$C$8:$C28)</f>
        <v>79089.904688265538</v>
      </c>
      <c r="N28" s="23">
        <v>401918.28600000008</v>
      </c>
      <c r="P28" s="22">
        <v>2.1356309413961716E-2</v>
      </c>
      <c r="Q28" s="21">
        <v>1.6202649460343554E-2</v>
      </c>
    </row>
    <row r="29" spans="1:18" x14ac:dyDescent="0.25">
      <c r="A29" s="2">
        <f t="shared" si="3"/>
        <v>21</v>
      </c>
      <c r="F29" s="20"/>
    </row>
    <row r="30" spans="1:18" ht="15" customHeight="1" x14ac:dyDescent="0.25">
      <c r="A30" s="2">
        <f t="shared" si="3"/>
        <v>22</v>
      </c>
      <c r="B30" t="s">
        <v>7</v>
      </c>
      <c r="D30" s="20">
        <f>XNPV(0.0777,D8:D28,$C8:$C28)</f>
        <v>19112504.396225814</v>
      </c>
      <c r="E30" s="20">
        <f>XNPV(0.0777,E8:E28,$C8:$C28)</f>
        <v>18748527.229868162</v>
      </c>
      <c r="F30" s="20">
        <f>XNPV(0.0777,F8:F28,$C8:$C28)</f>
        <v>363977.16635765368</v>
      </c>
      <c r="H30" s="19">
        <f>XNPV(0.0777,H8:H28,$C8:$C28)</f>
        <v>284887.26166938822</v>
      </c>
      <c r="I30" s="19"/>
      <c r="J30" s="18">
        <f>XNPV(0.0777,J8:J28,$C8:$C28)</f>
        <v>79089.904688265538</v>
      </c>
      <c r="R30" s="16"/>
    </row>
    <row r="31" spans="1:18" x14ac:dyDescent="0.25">
      <c r="A31" s="2">
        <f t="shared" si="3"/>
        <v>23</v>
      </c>
      <c r="B31" t="s">
        <v>6</v>
      </c>
      <c r="D31" s="20">
        <f>-PMT(0.0777,20,D30)</f>
        <v>1913451.874652324</v>
      </c>
      <c r="E31" s="20">
        <f>-PMT(0.0777,20,E30)</f>
        <v>1877012.2340453495</v>
      </c>
      <c r="F31" s="20">
        <f>-PMT(0.0777,20,F30)</f>
        <v>36439.640606974732</v>
      </c>
      <c r="H31" s="19">
        <f>-PMT(0.0777,20,H30)</f>
        <v>28521.540327990904</v>
      </c>
      <c r="I31" s="19"/>
      <c r="J31" s="18">
        <f>-PMT(0.0777,20,J30)</f>
        <v>7918.1002789838312</v>
      </c>
      <c r="R31" s="16"/>
    </row>
    <row r="32" spans="1:18" x14ac:dyDescent="0.25">
      <c r="A32" s="2">
        <f t="shared" si="3"/>
        <v>24</v>
      </c>
      <c r="F32" s="17"/>
      <c r="R32" s="16"/>
    </row>
    <row r="33" spans="1:17" x14ac:dyDescent="0.25">
      <c r="A33" s="2">
        <f t="shared" si="3"/>
        <v>25</v>
      </c>
      <c r="B33" s="7"/>
      <c r="C33" s="7"/>
      <c r="D33" s="15"/>
      <c r="E33" s="15"/>
      <c r="F33" s="14"/>
    </row>
    <row r="34" spans="1:17" x14ac:dyDescent="0.25">
      <c r="A34" s="2">
        <f t="shared" si="3"/>
        <v>26</v>
      </c>
      <c r="B34" s="13" t="s">
        <v>5</v>
      </c>
      <c r="C34" s="12"/>
      <c r="D34" s="12"/>
      <c r="E34" s="12"/>
      <c r="F34" s="12"/>
      <c r="G34" s="12"/>
      <c r="H34" s="11">
        <f>19773350.3736979/1000</f>
        <v>19773.3503736979</v>
      </c>
    </row>
    <row r="35" spans="1:17" ht="17.25" x14ac:dyDescent="0.4">
      <c r="A35" s="2">
        <f t="shared" si="3"/>
        <v>27</v>
      </c>
      <c r="B35" s="8" t="s">
        <v>4</v>
      </c>
      <c r="C35" s="7"/>
      <c r="D35" s="7"/>
      <c r="E35" s="7"/>
      <c r="F35" s="7"/>
      <c r="G35" s="7"/>
      <c r="H35" s="10">
        <f>292472512.914116/1000</f>
        <v>292472.51291411603</v>
      </c>
    </row>
    <row r="36" spans="1:17" x14ac:dyDescent="0.25">
      <c r="A36" s="2">
        <f t="shared" si="3"/>
        <v>28</v>
      </c>
      <c r="B36" s="8" t="s">
        <v>3</v>
      </c>
      <c r="C36" s="7"/>
      <c r="D36" s="7"/>
      <c r="E36" s="7"/>
      <c r="F36" s="7"/>
      <c r="G36" s="7"/>
      <c r="H36" s="9">
        <f>H34*1000/H35</f>
        <v>67.607551139358876</v>
      </c>
    </row>
    <row r="37" spans="1:17" x14ac:dyDescent="0.25">
      <c r="A37" s="2">
        <f t="shared" si="3"/>
        <v>29</v>
      </c>
      <c r="B37" s="8" t="s">
        <v>2</v>
      </c>
      <c r="C37" s="7"/>
      <c r="D37" s="7"/>
      <c r="E37" s="7"/>
      <c r="F37" s="7"/>
      <c r="G37" s="7"/>
      <c r="H37" s="6">
        <v>-5.1582561617362051E-3</v>
      </c>
    </row>
    <row r="38" spans="1:17" x14ac:dyDescent="0.25">
      <c r="A38" s="2">
        <f t="shared" si="3"/>
        <v>30</v>
      </c>
      <c r="B38" s="5" t="s">
        <v>1</v>
      </c>
      <c r="C38" s="4"/>
      <c r="D38" s="4"/>
      <c r="E38" s="4"/>
      <c r="F38" s="4"/>
      <c r="G38" s="4"/>
      <c r="H38" s="3">
        <f>H36*(1+H37)</f>
        <v>67.25881407211439</v>
      </c>
    </row>
    <row r="39" spans="1:17" x14ac:dyDescent="0.25">
      <c r="A39" s="2">
        <f t="shared" si="3"/>
        <v>31</v>
      </c>
    </row>
    <row r="40" spans="1:17" x14ac:dyDescent="0.25">
      <c r="A40" s="2">
        <f t="shared" si="3"/>
        <v>32</v>
      </c>
      <c r="B40" t="s">
        <v>0</v>
      </c>
    </row>
    <row r="45" spans="1:17" x14ac:dyDescent="0.25">
      <c r="L45" s="1"/>
      <c r="M45" s="1"/>
      <c r="N45" s="1"/>
      <c r="O45" s="1"/>
      <c r="P45" s="1"/>
      <c r="Q45" s="1"/>
    </row>
    <row r="46" spans="1:17" x14ac:dyDescent="0.25">
      <c r="L46" s="1"/>
      <c r="M46" s="1"/>
      <c r="N46" s="1"/>
      <c r="O46" s="1"/>
      <c r="P46" s="1"/>
      <c r="Q46" s="1"/>
    </row>
    <row r="47" spans="1:17" x14ac:dyDescent="0.25">
      <c r="L47" s="1"/>
      <c r="M47" s="1"/>
      <c r="N47" s="1"/>
      <c r="O47" s="1"/>
      <c r="P47" s="1"/>
      <c r="Q47" s="1"/>
    </row>
    <row r="48" spans="1:17" x14ac:dyDescent="0.25">
      <c r="L48" s="1"/>
      <c r="M48" s="1"/>
      <c r="N48" s="1"/>
      <c r="O48" s="1"/>
      <c r="P48" s="1"/>
      <c r="Q48" s="1"/>
    </row>
  </sheetData>
  <mergeCells count="3">
    <mergeCell ref="D5:F5"/>
    <mergeCell ref="P5:Q5"/>
    <mergeCell ref="D1:J2"/>
  </mergeCells>
  <pageMargins left="0.7" right="0.7" top="0.92958333333333298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2014-04-22T07:00:00+00:00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E25C21-CB90-464D-A001-C4545729F968}"/>
</file>

<file path=customXml/itemProps2.xml><?xml version="1.0" encoding="utf-8"?>
<ds:datastoreItem xmlns:ds="http://schemas.openxmlformats.org/officeDocument/2006/customXml" ds:itemID="{70D488D9-60FC-4C88-A492-3B118FA5B889}"/>
</file>

<file path=customXml/itemProps3.xml><?xml version="1.0" encoding="utf-8"?>
<ds:datastoreItem xmlns:ds="http://schemas.openxmlformats.org/officeDocument/2006/customXml" ds:itemID="{71223D90-3E26-49D4-A051-88FE6F07FD24}"/>
</file>

<file path=customXml/itemProps4.xml><?xml version="1.0" encoding="utf-8"?>
<ds:datastoreItem xmlns:ds="http://schemas.openxmlformats.org/officeDocument/2006/customXml" ds:itemID="{E0A5315C-F862-42C9-8F44-FD770D7D9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JAP-14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No Name</cp:lastModifiedBy>
  <cp:lastPrinted>2014-04-22T17:42:09Z</cp:lastPrinted>
  <dcterms:created xsi:type="dcterms:W3CDTF">2014-04-22T00:57:35Z</dcterms:created>
  <dcterms:modified xsi:type="dcterms:W3CDTF">2014-04-22T17:42:29Z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