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20\2020 Final Report\03.2020 Final Report\"/>
    </mc:Choice>
  </mc:AlternateContent>
  <bookViews>
    <workbookView xWindow="-15" yWindow="4530" windowWidth="12120" windowHeight="3300" tabRatio="796"/>
  </bookViews>
  <sheets>
    <sheet name="Input Tab" sheetId="27" r:id="rId1"/>
    <sheet name="WA Summary " sheetId="10" r:id="rId2"/>
    <sheet name="WA Monthly" sheetId="6" r:id="rId3"/>
    <sheet name="WA RRC" sheetId="24" r:id="rId4"/>
    <sheet name="Solar Select" sheetId="28" r:id="rId5"/>
  </sheets>
  <definedNames>
    <definedName name="_xlnm._FilterDatabase" localSheetId="0" hidden="1">'Input Tab'!$M$1:$M$325</definedName>
    <definedName name="_xlnm._FilterDatabase" localSheetId="2" hidden="1">'WA Monthly'!$A$4:$P$38</definedName>
    <definedName name="AVARpt">'WA Monthly'!$A$6:$P$139</definedName>
    <definedName name="DefRpt">'WA Monthly'!$P$83</definedName>
    <definedName name="GLAccts">'WA Monthly'!$B$85:$R$127</definedName>
    <definedName name="IDAVARpt">#REF!</definedName>
    <definedName name="IDRevRpt">#REF!</definedName>
    <definedName name="INputs">#REF!</definedName>
    <definedName name="_xlnm.Print_Area" localSheetId="2">'WA Monthly'!$A$1:$R$141</definedName>
    <definedName name="_xlnm.Print_Area" localSheetId="3">'WA RRC'!$A$1:$N$15</definedName>
    <definedName name="_xlnm.Print_Area" localSheetId="1">'WA Summary '!$A$1:$Q$41</definedName>
    <definedName name="_xlnm.Print_Titles" localSheetId="2">'WA Monthly'!$A:$D,'WA Monthly'!$1:$5</definedName>
    <definedName name="WAAVARpt">'WA Monthly'!$A$6:$P$139</definedName>
  </definedNames>
  <calcPr calcId="152511" fullPrecision="0"/>
</workbook>
</file>

<file path=xl/calcChain.xml><?xml version="1.0" encoding="utf-8"?>
<calcChain xmlns="http://schemas.openxmlformats.org/spreadsheetml/2006/main">
  <c r="E33" i="27" l="1"/>
  <c r="E35" i="27"/>
  <c r="E39" i="27"/>
  <c r="E46" i="27" l="1"/>
  <c r="E47" i="27"/>
  <c r="E20" i="27"/>
  <c r="G36" i="6"/>
  <c r="E55" i="27"/>
  <c r="E54" i="27" l="1"/>
  <c r="F36" i="6" l="1"/>
  <c r="D55" i="27"/>
  <c r="D54" i="27"/>
  <c r="D33" i="27" l="1"/>
  <c r="D39" i="27"/>
  <c r="D47" i="27"/>
  <c r="D46" i="27"/>
  <c r="D20" i="27" l="1"/>
  <c r="E36" i="6" l="1"/>
  <c r="C55" i="27" l="1"/>
  <c r="C54" i="27"/>
  <c r="C46" i="27" l="1"/>
  <c r="C47" i="27"/>
  <c r="C33" i="27" l="1"/>
  <c r="C39" i="27"/>
  <c r="C20" i="27"/>
  <c r="C38" i="27"/>
  <c r="C19" i="27"/>
  <c r="N12" i="28" l="1"/>
  <c r="M12" i="28"/>
  <c r="L12" i="28"/>
  <c r="K12" i="28"/>
  <c r="J12" i="28"/>
  <c r="I12" i="28"/>
  <c r="H12" i="28"/>
  <c r="G12" i="28"/>
  <c r="F12" i="28"/>
  <c r="E12" i="28"/>
  <c r="D12" i="28"/>
  <c r="C12" i="28"/>
  <c r="N8" i="28"/>
  <c r="M8" i="28"/>
  <c r="L8" i="28"/>
  <c r="K8" i="28"/>
  <c r="J8" i="28"/>
  <c r="I8" i="28"/>
  <c r="H8" i="28"/>
  <c r="G8" i="28"/>
  <c r="F8" i="28"/>
  <c r="E8" i="28"/>
  <c r="D8" i="28"/>
  <c r="C8" i="28"/>
  <c r="N7" i="28"/>
  <c r="M7" i="28"/>
  <c r="L7" i="28"/>
  <c r="K7" i="28"/>
  <c r="J7" i="28"/>
  <c r="I7" i="28"/>
  <c r="H7" i="28"/>
  <c r="G7" i="28"/>
  <c r="F7" i="28"/>
  <c r="E7" i="28"/>
  <c r="D7" i="28"/>
  <c r="C7" i="28" l="1"/>
  <c r="B9" i="24" l="1"/>
  <c r="M31" i="28" l="1"/>
  <c r="N31" i="28"/>
  <c r="N39" i="28"/>
  <c r="N32" i="28"/>
  <c r="N37" i="28"/>
  <c r="M37" i="28"/>
  <c r="M39" i="28"/>
  <c r="L39" i="28"/>
  <c r="K39" i="28"/>
  <c r="J39" i="28"/>
  <c r="I39" i="28"/>
  <c r="H39" i="28"/>
  <c r="G39" i="28"/>
  <c r="F39" i="28"/>
  <c r="E39" i="28"/>
  <c r="D39" i="28"/>
  <c r="C39" i="28"/>
  <c r="M32" i="28"/>
  <c r="L32" i="28"/>
  <c r="K32" i="28"/>
  <c r="J32" i="28"/>
  <c r="I32" i="28"/>
  <c r="H32" i="28"/>
  <c r="G32" i="28"/>
  <c r="F32" i="28"/>
  <c r="E32" i="28"/>
  <c r="D32" i="28"/>
  <c r="C32" i="28"/>
  <c r="M33" i="28" l="1"/>
  <c r="N33" i="28"/>
  <c r="N119" i="6"/>
  <c r="F119" i="6"/>
  <c r="K119" i="6"/>
  <c r="P119" i="6"/>
  <c r="O119" i="6"/>
  <c r="G119" i="6"/>
  <c r="M119" i="6"/>
  <c r="L119" i="6"/>
  <c r="J119" i="6"/>
  <c r="H119" i="6"/>
  <c r="I119" i="6"/>
  <c r="E119" i="6"/>
  <c r="D119" i="6" l="1"/>
  <c r="N26" i="28" l="1"/>
  <c r="M26" i="28"/>
  <c r="L26" i="28"/>
  <c r="K26" i="28"/>
  <c r="J26" i="28"/>
  <c r="I26" i="28"/>
  <c r="H26" i="28"/>
  <c r="G26" i="28"/>
  <c r="F26" i="28"/>
  <c r="E26" i="28"/>
  <c r="D26" i="28"/>
  <c r="C26" i="28"/>
  <c r="I5" i="28" l="1"/>
  <c r="I38" i="28" s="1"/>
  <c r="J5" i="28"/>
  <c r="J38" i="28" s="1"/>
  <c r="H5" i="28"/>
  <c r="H38" i="28" s="1"/>
  <c r="K5" i="28"/>
  <c r="K38" i="28" s="1"/>
  <c r="G5" i="28"/>
  <c r="G38" i="28" s="1"/>
  <c r="D5" i="28"/>
  <c r="D38" i="28" s="1"/>
  <c r="L5" i="28"/>
  <c r="L38" i="28" s="1"/>
  <c r="E5" i="28"/>
  <c r="E38" i="28" s="1"/>
  <c r="M5" i="28"/>
  <c r="M38" i="28" s="1"/>
  <c r="F5" i="28"/>
  <c r="F38" i="28" s="1"/>
  <c r="N5" i="28"/>
  <c r="N38" i="28" s="1"/>
  <c r="C5" i="28"/>
  <c r="C38" i="28" s="1"/>
  <c r="L31" i="28"/>
  <c r="L33" i="28" s="1"/>
  <c r="L37" i="28"/>
  <c r="J31" i="28" l="1"/>
  <c r="J33" i="28" s="1"/>
  <c r="K31" i="28"/>
  <c r="K33" i="28" s="1"/>
  <c r="K37" i="28"/>
  <c r="J37" i="28"/>
  <c r="L117" i="6"/>
  <c r="I31" i="28" l="1"/>
  <c r="I33" i="28" s="1"/>
  <c r="H31" i="28"/>
  <c r="H33" i="28" s="1"/>
  <c r="G31" i="28"/>
  <c r="G33" i="28" s="1"/>
  <c r="F31" i="28"/>
  <c r="F33" i="28" s="1"/>
  <c r="E31" i="28"/>
  <c r="E33" i="28" s="1"/>
  <c r="D31" i="28"/>
  <c r="D33" i="28" s="1"/>
  <c r="C11" i="28"/>
  <c r="C31" i="28" s="1"/>
  <c r="C33" i="28" s="1"/>
  <c r="N40" i="28"/>
  <c r="N41" i="28" s="1"/>
  <c r="N43" i="28" s="1"/>
  <c r="M40" i="28"/>
  <c r="M41" i="28" s="1"/>
  <c r="M43" i="28" s="1"/>
  <c r="L40" i="28"/>
  <c r="L41" i="28" s="1"/>
  <c r="L43" i="28" s="1"/>
  <c r="K40" i="28"/>
  <c r="K41" i="28" s="1"/>
  <c r="K43" i="28" s="1"/>
  <c r="J40" i="28"/>
  <c r="J41" i="28" s="1"/>
  <c r="J43" i="28" s="1"/>
  <c r="I40" i="28"/>
  <c r="H40" i="28"/>
  <c r="G40" i="28"/>
  <c r="F40" i="28"/>
  <c r="E40" i="28"/>
  <c r="D40" i="28"/>
  <c r="C40" i="28"/>
  <c r="I37" i="28"/>
  <c r="H37" i="28"/>
  <c r="H41" i="28" s="1"/>
  <c r="G37" i="28"/>
  <c r="F37" i="28"/>
  <c r="E37" i="28"/>
  <c r="E41" i="28" s="1"/>
  <c r="D37" i="28"/>
  <c r="D41" i="28" s="1"/>
  <c r="C6" i="28"/>
  <c r="C37" i="28" s="1"/>
  <c r="F41" i="28" l="1"/>
  <c r="I41" i="28"/>
  <c r="G41" i="28"/>
  <c r="G43" i="28" s="1"/>
  <c r="C41" i="28"/>
  <c r="B41" i="28" s="1"/>
  <c r="C43" i="28"/>
  <c r="B33" i="28"/>
  <c r="D43" i="28"/>
  <c r="E43" i="28"/>
  <c r="F43" i="28"/>
  <c r="H43" i="28"/>
  <c r="I43" i="28"/>
  <c r="B43" i="28" l="1"/>
  <c r="P90" i="6" l="1"/>
  <c r="H90" i="6"/>
  <c r="O90" i="6"/>
  <c r="G90" i="6"/>
  <c r="N90" i="6"/>
  <c r="F90" i="6"/>
  <c r="M90" i="6"/>
  <c r="J90" i="6"/>
  <c r="L90" i="6"/>
  <c r="K90" i="6"/>
  <c r="I90" i="6"/>
  <c r="E90" i="6"/>
  <c r="D90" i="6" l="1"/>
  <c r="E27" i="6" l="1"/>
  <c r="D36" i="6" l="1"/>
  <c r="D51" i="6" l="1"/>
  <c r="P50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 l="1"/>
  <c r="P53" i="6" l="1"/>
  <c r="O53" i="6"/>
  <c r="N53" i="6"/>
  <c r="M53" i="6"/>
  <c r="L53" i="6"/>
  <c r="K53" i="6"/>
  <c r="J53" i="6"/>
  <c r="I53" i="6"/>
  <c r="H53" i="6"/>
  <c r="G53" i="6"/>
  <c r="F53" i="6"/>
  <c r="E53" i="6"/>
  <c r="P43" i="6" l="1"/>
  <c r="M25" i="27"/>
  <c r="O14" i="6" s="1"/>
  <c r="O19" i="6"/>
  <c r="N43" i="6"/>
  <c r="N19" i="6"/>
  <c r="M44" i="6"/>
  <c r="K43" i="6"/>
  <c r="J44" i="6"/>
  <c r="F8" i="24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K25" i="27"/>
  <c r="M14" i="6" s="1"/>
  <c r="L25" i="27"/>
  <c r="N14" i="6" s="1"/>
  <c r="N25" i="27"/>
  <c r="P14" i="6" s="1"/>
  <c r="E19" i="6"/>
  <c r="I19" i="6"/>
  <c r="H37" i="6"/>
  <c r="H43" i="6"/>
  <c r="G44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M10" i="6"/>
  <c r="N10" i="6"/>
  <c r="O10" i="6"/>
  <c r="P10" i="6"/>
  <c r="E11" i="6"/>
  <c r="F11" i="6"/>
  <c r="G11" i="6"/>
  <c r="H11" i="6"/>
  <c r="I11" i="6"/>
  <c r="J11" i="6"/>
  <c r="K11" i="6"/>
  <c r="L11" i="6"/>
  <c r="M11" i="6"/>
  <c r="N11" i="6"/>
  <c r="O11" i="6"/>
  <c r="P11" i="6"/>
  <c r="A12" i="6"/>
  <c r="A23" i="27" s="1"/>
  <c r="E12" i="6"/>
  <c r="F12" i="6"/>
  <c r="G12" i="6"/>
  <c r="H12" i="6"/>
  <c r="I12" i="6"/>
  <c r="J12" i="6"/>
  <c r="K12" i="6"/>
  <c r="L12" i="6"/>
  <c r="M12" i="6"/>
  <c r="N12" i="6"/>
  <c r="O12" i="6"/>
  <c r="P12" i="6"/>
  <c r="E13" i="6"/>
  <c r="F13" i="6"/>
  <c r="G13" i="6"/>
  <c r="H13" i="6"/>
  <c r="I13" i="6"/>
  <c r="J13" i="6"/>
  <c r="K13" i="6"/>
  <c r="L13" i="6"/>
  <c r="M13" i="6"/>
  <c r="N13" i="6"/>
  <c r="O13" i="6"/>
  <c r="P13" i="6"/>
  <c r="E15" i="6"/>
  <c r="F15" i="6"/>
  <c r="G15" i="6"/>
  <c r="H15" i="6"/>
  <c r="I15" i="6"/>
  <c r="J15" i="6"/>
  <c r="K15" i="6"/>
  <c r="L15" i="6"/>
  <c r="M15" i="6"/>
  <c r="N15" i="6"/>
  <c r="O15" i="6"/>
  <c r="P15" i="6"/>
  <c r="E16" i="6"/>
  <c r="F16" i="6"/>
  <c r="G16" i="6"/>
  <c r="H16" i="6"/>
  <c r="I16" i="6"/>
  <c r="J16" i="6"/>
  <c r="K16" i="6"/>
  <c r="L16" i="6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7" i="6"/>
  <c r="F37" i="6"/>
  <c r="G37" i="6"/>
  <c r="I37" i="6"/>
  <c r="J37" i="6"/>
  <c r="K37" i="6"/>
  <c r="L37" i="6"/>
  <c r="M37" i="6"/>
  <c r="N37" i="6"/>
  <c r="O37" i="6"/>
  <c r="P37" i="6"/>
  <c r="E42" i="6"/>
  <c r="F42" i="6"/>
  <c r="G42" i="6"/>
  <c r="H42" i="6"/>
  <c r="I42" i="6"/>
  <c r="J42" i="6"/>
  <c r="K42" i="6"/>
  <c r="L42" i="6"/>
  <c r="M42" i="6"/>
  <c r="N42" i="6"/>
  <c r="O42" i="6"/>
  <c r="P42" i="6"/>
  <c r="E43" i="6"/>
  <c r="F43" i="6"/>
  <c r="G43" i="6"/>
  <c r="I43" i="6"/>
  <c r="J43" i="6"/>
  <c r="L43" i="6"/>
  <c r="M43" i="6"/>
  <c r="O43" i="6"/>
  <c r="E44" i="6"/>
  <c r="F44" i="6"/>
  <c r="H44" i="6"/>
  <c r="I44" i="6"/>
  <c r="K44" i="6"/>
  <c r="L44" i="6"/>
  <c r="N44" i="6"/>
  <c r="O44" i="6"/>
  <c r="P44" i="6"/>
  <c r="E67" i="6"/>
  <c r="F67" i="6"/>
  <c r="G67" i="6"/>
  <c r="H67" i="6"/>
  <c r="I67" i="6"/>
  <c r="I71" i="6" s="1"/>
  <c r="J67" i="6"/>
  <c r="K67" i="6"/>
  <c r="L67" i="6"/>
  <c r="M67" i="6"/>
  <c r="N67" i="6"/>
  <c r="O67" i="6"/>
  <c r="P67" i="6"/>
  <c r="E68" i="6"/>
  <c r="F68" i="6"/>
  <c r="G68" i="6"/>
  <c r="H68" i="6"/>
  <c r="I68" i="6"/>
  <c r="J68" i="6"/>
  <c r="K68" i="6"/>
  <c r="L68" i="6"/>
  <c r="M68" i="6"/>
  <c r="N68" i="6"/>
  <c r="O68" i="6"/>
  <c r="P68" i="6"/>
  <c r="A89" i="6"/>
  <c r="A90" i="6" s="1"/>
  <c r="A91" i="6" s="1"/>
  <c r="A92" i="6"/>
  <c r="A93" i="6" s="1"/>
  <c r="A94" i="6" s="1"/>
  <c r="A95" i="6" s="1"/>
  <c r="A98" i="6" s="1"/>
  <c r="A99" i="6" s="1"/>
  <c r="A100" i="6" s="1"/>
  <c r="A101" i="6" s="1"/>
  <c r="A104" i="6" s="1"/>
  <c r="A105" i="6" s="1"/>
  <c r="A106" i="6" s="1"/>
  <c r="A107" i="6" s="1"/>
  <c r="A108" i="6" s="1"/>
  <c r="A111" i="6" s="1"/>
  <c r="A112" i="6" s="1"/>
  <c r="A113" i="6" s="1"/>
  <c r="A114" i="6" s="1"/>
  <c r="A115" i="6" s="1"/>
  <c r="A116" i="6" s="1"/>
  <c r="A117" i="6" s="1"/>
  <c r="D130" i="6"/>
  <c r="R130" i="6"/>
  <c r="Q137" i="6"/>
  <c r="C7" i="24"/>
  <c r="C18" i="24" s="1"/>
  <c r="B8" i="24"/>
  <c r="C8" i="24"/>
  <c r="E8" i="24"/>
  <c r="G8" i="24"/>
  <c r="H8" i="24"/>
  <c r="I8" i="24"/>
  <c r="J8" i="24"/>
  <c r="K8" i="24"/>
  <c r="L8" i="24"/>
  <c r="M8" i="24"/>
  <c r="B10" i="24"/>
  <c r="C10" i="24"/>
  <c r="E10" i="24"/>
  <c r="F9" i="24" s="1"/>
  <c r="F10" i="24"/>
  <c r="G10" i="24"/>
  <c r="H10" i="24"/>
  <c r="I10" i="24"/>
  <c r="J10" i="24"/>
  <c r="K10" i="24"/>
  <c r="L10" i="24"/>
  <c r="M10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N18" i="24"/>
  <c r="N12" i="24" l="1"/>
  <c r="D22" i="10"/>
  <c r="D21" i="10"/>
  <c r="D20" i="10"/>
  <c r="D19" i="10"/>
  <c r="D18" i="10"/>
  <c r="D17" i="10"/>
  <c r="D16" i="10"/>
  <c r="D15" i="10"/>
  <c r="I9" i="24"/>
  <c r="I11" i="24" s="1"/>
  <c r="I13" i="24" s="1"/>
  <c r="I15" i="24" s="1"/>
  <c r="I19" i="24" s="1"/>
  <c r="I20" i="24" s="1"/>
  <c r="G9" i="24"/>
  <c r="G11" i="24" s="1"/>
  <c r="G13" i="24" s="1"/>
  <c r="G15" i="24" s="1"/>
  <c r="G19" i="24" s="1"/>
  <c r="D7" i="24"/>
  <c r="D18" i="24" s="1"/>
  <c r="A13" i="6"/>
  <c r="A24" i="27" s="1"/>
  <c r="E7" i="24"/>
  <c r="F7" i="24" s="1"/>
  <c r="G7" i="24" s="1"/>
  <c r="F11" i="24"/>
  <c r="F13" i="24" s="1"/>
  <c r="F15" i="24" s="1"/>
  <c r="F19" i="24" s="1"/>
  <c r="J30" i="10" s="1"/>
  <c r="D37" i="6"/>
  <c r="M9" i="24"/>
  <c r="L9" i="24"/>
  <c r="L11" i="24" s="1"/>
  <c r="L13" i="24" s="1"/>
  <c r="L15" i="24" s="1"/>
  <c r="L19" i="24" s="1"/>
  <c r="P30" i="10" s="1"/>
  <c r="J9" i="24"/>
  <c r="J11" i="24" s="1"/>
  <c r="J13" i="24" s="1"/>
  <c r="J15" i="24" s="1"/>
  <c r="J19" i="24" s="1"/>
  <c r="N30" i="10" s="1"/>
  <c r="N8" i="24"/>
  <c r="A118" i="6"/>
  <c r="R37" i="6"/>
  <c r="R16" i="6"/>
  <c r="D11" i="6"/>
  <c r="R13" i="6"/>
  <c r="D18" i="6"/>
  <c r="D67" i="6"/>
  <c r="R12" i="6"/>
  <c r="R42" i="6"/>
  <c r="D19" i="6"/>
  <c r="R20" i="6"/>
  <c r="D16" i="6"/>
  <c r="R67" i="6"/>
  <c r="H5" i="10"/>
  <c r="D9" i="24"/>
  <c r="D11" i="24" s="1"/>
  <c r="D13" i="24" s="1"/>
  <c r="D15" i="24" s="1"/>
  <c r="D19" i="24" s="1"/>
  <c r="C9" i="24"/>
  <c r="C11" i="24" s="1"/>
  <c r="C13" i="24" s="1"/>
  <c r="C15" i="24" s="1"/>
  <c r="C19" i="24" s="1"/>
  <c r="R68" i="6"/>
  <c r="R43" i="6"/>
  <c r="R44" i="6"/>
  <c r="D44" i="6"/>
  <c r="D42" i="6"/>
  <c r="R17" i="6"/>
  <c r="D14" i="6"/>
  <c r="R14" i="6"/>
  <c r="D12" i="6"/>
  <c r="R9" i="6"/>
  <c r="D9" i="6"/>
  <c r="D8" i="6"/>
  <c r="R8" i="6"/>
  <c r="H9" i="24"/>
  <c r="H11" i="24" s="1"/>
  <c r="H13" i="24" s="1"/>
  <c r="H15" i="24" s="1"/>
  <c r="H19" i="24" s="1"/>
  <c r="N10" i="24"/>
  <c r="P23" i="10"/>
  <c r="H23" i="10"/>
  <c r="Q23" i="10"/>
  <c r="I23" i="10"/>
  <c r="M23" i="10"/>
  <c r="R19" i="6"/>
  <c r="K9" i="24"/>
  <c r="K11" i="24" s="1"/>
  <c r="K13" i="24" s="1"/>
  <c r="K15" i="24" s="1"/>
  <c r="K19" i="24" s="1"/>
  <c r="L23" i="10"/>
  <c r="A5" i="27"/>
  <c r="A16" i="10"/>
  <c r="E9" i="24"/>
  <c r="R18" i="6"/>
  <c r="R10" i="6"/>
  <c r="N23" i="10"/>
  <c r="F23" i="10"/>
  <c r="O23" i="10"/>
  <c r="G23" i="10"/>
  <c r="B11" i="24"/>
  <c r="D17" i="6"/>
  <c r="J23" i="10"/>
  <c r="K23" i="10"/>
  <c r="A119" i="6" l="1"/>
  <c r="A120" i="6" s="1"/>
  <c r="A121" i="6" s="1"/>
  <c r="A122" i="6" s="1"/>
  <c r="A123" i="6" s="1"/>
  <c r="A126" i="6" s="1"/>
  <c r="A127" i="6" s="1"/>
  <c r="A130" i="6" s="1"/>
  <c r="A131" i="6" s="1"/>
  <c r="A132" i="6" s="1"/>
  <c r="A134" i="6" s="1"/>
  <c r="A135" i="6" s="1"/>
  <c r="A136" i="6" s="1"/>
  <c r="A137" i="6" s="1"/>
  <c r="A139" i="6" s="1"/>
  <c r="A141" i="6" s="1"/>
  <c r="A14" i="6"/>
  <c r="E18" i="24"/>
  <c r="F20" i="24"/>
  <c r="F18" i="24"/>
  <c r="L20" i="24"/>
  <c r="M30" i="10"/>
  <c r="C20" i="24"/>
  <c r="G30" i="10"/>
  <c r="M11" i="24"/>
  <c r="M13" i="24" s="1"/>
  <c r="M15" i="24" s="1"/>
  <c r="M19" i="24" s="1"/>
  <c r="Q30" i="10" s="1"/>
  <c r="D68" i="6"/>
  <c r="D43" i="6"/>
  <c r="D20" i="6"/>
  <c r="D15" i="6"/>
  <c r="R15" i="6"/>
  <c r="D13" i="6"/>
  <c r="R11" i="6"/>
  <c r="D10" i="6"/>
  <c r="J20" i="24"/>
  <c r="H14" i="10"/>
  <c r="I5" i="10"/>
  <c r="H30" i="10"/>
  <c r="D20" i="24"/>
  <c r="B13" i="24"/>
  <c r="E11" i="24"/>
  <c r="E13" i="24" s="1"/>
  <c r="E15" i="24" s="1"/>
  <c r="E19" i="24" s="1"/>
  <c r="N9" i="24"/>
  <c r="H7" i="24"/>
  <c r="G18" i="24"/>
  <c r="A6" i="27"/>
  <c r="A17" i="10"/>
  <c r="K20" i="24"/>
  <c r="O30" i="10"/>
  <c r="A25" i="27"/>
  <c r="A15" i="6"/>
  <c r="K30" i="10"/>
  <c r="G20" i="24"/>
  <c r="L30" i="10"/>
  <c r="H20" i="24"/>
  <c r="D23" i="10"/>
  <c r="M20" i="24" l="1"/>
  <c r="D53" i="6"/>
  <c r="R53" i="6"/>
  <c r="N11" i="24"/>
  <c r="J5" i="10"/>
  <c r="I14" i="10"/>
  <c r="H18" i="24"/>
  <c r="I7" i="24"/>
  <c r="E20" i="24"/>
  <c r="I30" i="10"/>
  <c r="B15" i="24"/>
  <c r="N13" i="24"/>
  <c r="A16" i="6"/>
  <c r="A35" i="27"/>
  <c r="A7" i="27"/>
  <c r="A18" i="10"/>
  <c r="J14" i="10" l="1"/>
  <c r="K5" i="10"/>
  <c r="A36" i="27"/>
  <c r="A17" i="6"/>
  <c r="A8" i="27"/>
  <c r="A19" i="10"/>
  <c r="I18" i="24"/>
  <c r="J7" i="24"/>
  <c r="N15" i="24"/>
  <c r="N19" i="24" s="1"/>
  <c r="N20" i="24" s="1"/>
  <c r="B19" i="24"/>
  <c r="K14" i="10" l="1"/>
  <c r="L5" i="10"/>
  <c r="F30" i="10"/>
  <c r="B20" i="24"/>
  <c r="K7" i="24"/>
  <c r="J18" i="24"/>
  <c r="A9" i="27"/>
  <c r="A20" i="10"/>
  <c r="A37" i="27"/>
  <c r="A18" i="6"/>
  <c r="M5" i="10" l="1"/>
  <c r="L14" i="10"/>
  <c r="L7" i="24"/>
  <c r="K18" i="24"/>
  <c r="A10" i="27"/>
  <c r="A21" i="10"/>
  <c r="A38" i="27"/>
  <c r="A19" i="6"/>
  <c r="D30" i="10"/>
  <c r="M14" i="10" l="1"/>
  <c r="N5" i="10"/>
  <c r="M7" i="24"/>
  <c r="M18" i="24" s="1"/>
  <c r="L18" i="24"/>
  <c r="A39" i="27"/>
  <c r="A20" i="6"/>
  <c r="A11" i="27"/>
  <c r="A22" i="10"/>
  <c r="O5" i="10" l="1"/>
  <c r="N14" i="10"/>
  <c r="A21" i="6"/>
  <c r="A22" i="6" s="1"/>
  <c r="A23" i="6" s="1"/>
  <c r="A41" i="6" s="1"/>
  <c r="A42" i="6" s="1"/>
  <c r="A40" i="27"/>
  <c r="A12" i="27"/>
  <c r="A23" i="10"/>
  <c r="A24" i="10" s="1"/>
  <c r="A25" i="10" s="1"/>
  <c r="A26" i="10" s="1"/>
  <c r="A27" i="10" s="1"/>
  <c r="O14" i="10" l="1"/>
  <c r="P5" i="10"/>
  <c r="A13" i="27"/>
  <c r="A28" i="10"/>
  <c r="A29" i="10" s="1"/>
  <c r="A30" i="10" s="1"/>
  <c r="A31" i="10" s="1"/>
  <c r="A32" i="10" s="1"/>
  <c r="A33" i="10" s="1"/>
  <c r="A43" i="6"/>
  <c r="A45" i="27"/>
  <c r="P14" i="10" l="1"/>
  <c r="Q5" i="10"/>
  <c r="Q14" i="10" s="1"/>
  <c r="A46" i="27"/>
  <c r="A44" i="6"/>
  <c r="A45" i="6" l="1"/>
  <c r="A46" i="6" s="1"/>
  <c r="A60" i="6" s="1"/>
  <c r="A61" i="6" s="1"/>
  <c r="A62" i="6" s="1"/>
  <c r="A63" i="6" s="1"/>
  <c r="A64" i="6" s="1"/>
  <c r="A67" i="6" s="1"/>
  <c r="A47" i="27"/>
  <c r="A50" i="27" l="1"/>
  <c r="A68" i="6"/>
  <c r="A71" i="6" l="1"/>
  <c r="A72" i="6" s="1"/>
  <c r="A75" i="6" s="1"/>
  <c r="A76" i="6" s="1"/>
  <c r="A77" i="6" s="1"/>
  <c r="A78" i="6" s="1"/>
  <c r="A79" i="6" s="1"/>
  <c r="A80" i="6" s="1"/>
  <c r="A81" i="6" s="1"/>
  <c r="A83" i="6" s="1"/>
  <c r="A87" i="6" s="1"/>
  <c r="A51" i="27"/>
  <c r="H71" i="6" l="1"/>
  <c r="N71" i="6" l="1"/>
  <c r="J71" i="6"/>
  <c r="N72" i="6"/>
  <c r="J72" i="6"/>
  <c r="M72" i="6"/>
  <c r="I72" i="6"/>
  <c r="M71" i="6"/>
  <c r="P72" i="6"/>
  <c r="L72" i="6"/>
  <c r="H72" i="6"/>
  <c r="P71" i="6"/>
  <c r="L71" i="6"/>
  <c r="O72" i="6"/>
  <c r="K72" i="6"/>
  <c r="O71" i="6"/>
  <c r="K71" i="6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50" i="6"/>
  <c r="K50" i="6"/>
  <c r="O50" i="6"/>
  <c r="G52" i="6"/>
  <c r="K52" i="6"/>
  <c r="O52" i="6"/>
  <c r="G54" i="6"/>
  <c r="K54" i="6"/>
  <c r="O54" i="6"/>
  <c r="G55" i="6"/>
  <c r="K55" i="6"/>
  <c r="O55" i="6"/>
  <c r="G56" i="6"/>
  <c r="K56" i="6"/>
  <c r="O56" i="6"/>
  <c r="G60" i="6"/>
  <c r="K60" i="6"/>
  <c r="O60" i="6"/>
  <c r="G61" i="6"/>
  <c r="K61" i="6"/>
  <c r="O61" i="6"/>
  <c r="G62" i="6"/>
  <c r="K62" i="6"/>
  <c r="O62" i="6"/>
  <c r="G63" i="6"/>
  <c r="K63" i="6"/>
  <c r="O63" i="6"/>
  <c r="G75" i="6"/>
  <c r="K75" i="6"/>
  <c r="O75" i="6"/>
  <c r="G76" i="6"/>
  <c r="K76" i="6"/>
  <c r="O76" i="6"/>
  <c r="G77" i="6"/>
  <c r="K77" i="6"/>
  <c r="O77" i="6"/>
  <c r="G78" i="6"/>
  <c r="K78" i="6"/>
  <c r="O78" i="6"/>
  <c r="G79" i="6"/>
  <c r="K79" i="6"/>
  <c r="O79" i="6"/>
  <c r="G80" i="6"/>
  <c r="K80" i="6"/>
  <c r="O80" i="6"/>
  <c r="G87" i="6"/>
  <c r="K87" i="6"/>
  <c r="O87" i="6"/>
  <c r="G88" i="6"/>
  <c r="K88" i="6"/>
  <c r="O88" i="6"/>
  <c r="G89" i="6"/>
  <c r="K89" i="6"/>
  <c r="O89" i="6"/>
  <c r="G91" i="6"/>
  <c r="K91" i="6"/>
  <c r="O91" i="6"/>
  <c r="G92" i="6"/>
  <c r="K92" i="6"/>
  <c r="O92" i="6"/>
  <c r="G93" i="6"/>
  <c r="K93" i="6"/>
  <c r="O93" i="6"/>
  <c r="G94" i="6"/>
  <c r="K94" i="6"/>
  <c r="O94" i="6"/>
  <c r="G98" i="6"/>
  <c r="K98" i="6"/>
  <c r="O98" i="6"/>
  <c r="G99" i="6"/>
  <c r="K99" i="6"/>
  <c r="O99" i="6"/>
  <c r="G100" i="6"/>
  <c r="K100" i="6"/>
  <c r="O100" i="6"/>
  <c r="G104" i="6"/>
  <c r="K104" i="6"/>
  <c r="O104" i="6"/>
  <c r="G105" i="6"/>
  <c r="K105" i="6"/>
  <c r="O105" i="6"/>
  <c r="G106" i="6"/>
  <c r="K106" i="6"/>
  <c r="O106" i="6"/>
  <c r="G107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50" i="6"/>
  <c r="L50" i="6"/>
  <c r="H52" i="6"/>
  <c r="L52" i="6"/>
  <c r="P52" i="6"/>
  <c r="H54" i="6"/>
  <c r="L54" i="6"/>
  <c r="P54" i="6"/>
  <c r="H55" i="6"/>
  <c r="L55" i="6"/>
  <c r="P55" i="6"/>
  <c r="H56" i="6"/>
  <c r="L56" i="6"/>
  <c r="P56" i="6"/>
  <c r="H60" i="6"/>
  <c r="L60" i="6"/>
  <c r="P60" i="6"/>
  <c r="H61" i="6"/>
  <c r="L61" i="6"/>
  <c r="P61" i="6"/>
  <c r="H62" i="6"/>
  <c r="L62" i="6"/>
  <c r="P62" i="6"/>
  <c r="H63" i="6"/>
  <c r="L63" i="6"/>
  <c r="P63" i="6"/>
  <c r="H75" i="6"/>
  <c r="L75" i="6"/>
  <c r="P75" i="6"/>
  <c r="H76" i="6"/>
  <c r="L76" i="6"/>
  <c r="P76" i="6"/>
  <c r="H77" i="6"/>
  <c r="L77" i="6"/>
  <c r="P77" i="6"/>
  <c r="H78" i="6"/>
  <c r="L78" i="6"/>
  <c r="P78" i="6"/>
  <c r="H79" i="6"/>
  <c r="L79" i="6"/>
  <c r="P79" i="6"/>
  <c r="H80" i="6"/>
  <c r="L80" i="6"/>
  <c r="P80" i="6"/>
  <c r="H87" i="6"/>
  <c r="L87" i="6"/>
  <c r="P87" i="6"/>
  <c r="H88" i="6"/>
  <c r="L88" i="6"/>
  <c r="P88" i="6"/>
  <c r="H89" i="6"/>
  <c r="L89" i="6"/>
  <c r="P89" i="6"/>
  <c r="H91" i="6"/>
  <c r="L91" i="6"/>
  <c r="P91" i="6"/>
  <c r="H92" i="6"/>
  <c r="L92" i="6"/>
  <c r="P92" i="6"/>
  <c r="H93" i="6"/>
  <c r="L93" i="6"/>
  <c r="P93" i="6"/>
  <c r="H94" i="6"/>
  <c r="L94" i="6"/>
  <c r="P94" i="6"/>
  <c r="H98" i="6"/>
  <c r="L98" i="6"/>
  <c r="P98" i="6"/>
  <c r="H99" i="6"/>
  <c r="L99" i="6"/>
  <c r="P99" i="6"/>
  <c r="H100" i="6"/>
  <c r="L100" i="6"/>
  <c r="P100" i="6"/>
  <c r="H104" i="6"/>
  <c r="L104" i="6"/>
  <c r="P104" i="6"/>
  <c r="H105" i="6"/>
  <c r="L105" i="6"/>
  <c r="P105" i="6"/>
  <c r="H106" i="6"/>
  <c r="L106" i="6"/>
  <c r="P106" i="6"/>
  <c r="H107" i="6"/>
  <c r="L10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50" i="6"/>
  <c r="I50" i="6"/>
  <c r="M50" i="6"/>
  <c r="E52" i="6"/>
  <c r="I52" i="6"/>
  <c r="M52" i="6"/>
  <c r="E54" i="6"/>
  <c r="I54" i="6"/>
  <c r="M54" i="6"/>
  <c r="E55" i="6"/>
  <c r="I55" i="6"/>
  <c r="M55" i="6"/>
  <c r="E56" i="6"/>
  <c r="I56" i="6"/>
  <c r="M56" i="6"/>
  <c r="E60" i="6"/>
  <c r="I60" i="6"/>
  <c r="M60" i="6"/>
  <c r="E61" i="6"/>
  <c r="I61" i="6"/>
  <c r="M61" i="6"/>
  <c r="E62" i="6"/>
  <c r="I62" i="6"/>
  <c r="M62" i="6"/>
  <c r="E63" i="6"/>
  <c r="I63" i="6"/>
  <c r="M63" i="6"/>
  <c r="E75" i="6"/>
  <c r="I75" i="6"/>
  <c r="M75" i="6"/>
  <c r="E76" i="6"/>
  <c r="I76" i="6"/>
  <c r="M76" i="6"/>
  <c r="E77" i="6"/>
  <c r="I77" i="6"/>
  <c r="M77" i="6"/>
  <c r="E78" i="6"/>
  <c r="I78" i="6"/>
  <c r="M78" i="6"/>
  <c r="E79" i="6"/>
  <c r="I79" i="6"/>
  <c r="M79" i="6"/>
  <c r="E80" i="6"/>
  <c r="I80" i="6"/>
  <c r="M80" i="6"/>
  <c r="E87" i="6"/>
  <c r="I87" i="6"/>
  <c r="M87" i="6"/>
  <c r="E88" i="6"/>
  <c r="F27" i="6"/>
  <c r="J28" i="6"/>
  <c r="N29" i="6"/>
  <c r="F31" i="6"/>
  <c r="J32" i="6"/>
  <c r="N33" i="6"/>
  <c r="F35" i="6"/>
  <c r="J50" i="6"/>
  <c r="N52" i="6"/>
  <c r="F54" i="6"/>
  <c r="J55" i="6"/>
  <c r="N56" i="6"/>
  <c r="F61" i="6"/>
  <c r="J62" i="6"/>
  <c r="N63" i="6"/>
  <c r="F76" i="6"/>
  <c r="J77" i="6"/>
  <c r="N78" i="6"/>
  <c r="F80" i="6"/>
  <c r="J87" i="6"/>
  <c r="J88" i="6"/>
  <c r="F89" i="6"/>
  <c r="N89" i="6"/>
  <c r="J91" i="6"/>
  <c r="F92" i="6"/>
  <c r="N92" i="6"/>
  <c r="J93" i="6"/>
  <c r="F94" i="6"/>
  <c r="N94" i="6"/>
  <c r="J98" i="6"/>
  <c r="F99" i="6"/>
  <c r="N99" i="6"/>
  <c r="J100" i="6"/>
  <c r="F104" i="6"/>
  <c r="N104" i="6"/>
  <c r="J105" i="6"/>
  <c r="F106" i="6"/>
  <c r="N106" i="6"/>
  <c r="J107" i="6"/>
  <c r="O107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5" i="6"/>
  <c r="K115" i="6"/>
  <c r="O115" i="6"/>
  <c r="G116" i="6"/>
  <c r="K116" i="6"/>
  <c r="O116" i="6"/>
  <c r="G117" i="6"/>
  <c r="K117" i="6"/>
  <c r="O117" i="6"/>
  <c r="G120" i="6"/>
  <c r="K120" i="6"/>
  <c r="O120" i="6"/>
  <c r="G121" i="6"/>
  <c r="K121" i="6"/>
  <c r="O121" i="6"/>
  <c r="G122" i="6"/>
  <c r="K122" i="6"/>
  <c r="O122" i="6"/>
  <c r="G126" i="6"/>
  <c r="K126" i="6"/>
  <c r="O126" i="6"/>
  <c r="G131" i="6"/>
  <c r="K131" i="6"/>
  <c r="O131" i="6"/>
  <c r="G134" i="6"/>
  <c r="K134" i="6"/>
  <c r="O134" i="6"/>
  <c r="G135" i="6"/>
  <c r="K135" i="6"/>
  <c r="O135" i="6"/>
  <c r="G136" i="6"/>
  <c r="K136" i="6"/>
  <c r="O136" i="6"/>
  <c r="J27" i="6"/>
  <c r="N28" i="6"/>
  <c r="F30" i="6"/>
  <c r="J31" i="6"/>
  <c r="N32" i="6"/>
  <c r="F34" i="6"/>
  <c r="J35" i="6"/>
  <c r="N50" i="6"/>
  <c r="J54" i="6"/>
  <c r="N55" i="6"/>
  <c r="F60" i="6"/>
  <c r="J61" i="6"/>
  <c r="N62" i="6"/>
  <c r="F75" i="6"/>
  <c r="J76" i="6"/>
  <c r="N77" i="6"/>
  <c r="F79" i="6"/>
  <c r="J80" i="6"/>
  <c r="N87" i="6"/>
  <c r="M88" i="6"/>
  <c r="I89" i="6"/>
  <c r="E91" i="6"/>
  <c r="M91" i="6"/>
  <c r="I92" i="6"/>
  <c r="E93" i="6"/>
  <c r="M93" i="6"/>
  <c r="I94" i="6"/>
  <c r="E98" i="6"/>
  <c r="M98" i="6"/>
  <c r="I99" i="6"/>
  <c r="E100" i="6"/>
  <c r="M100" i="6"/>
  <c r="I104" i="6"/>
  <c r="E105" i="6"/>
  <c r="M105" i="6"/>
  <c r="I106" i="6"/>
  <c r="E107" i="6"/>
  <c r="K107" i="6"/>
  <c r="P107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5" i="6"/>
  <c r="L115" i="6"/>
  <c r="P115" i="6"/>
  <c r="H116" i="6"/>
  <c r="L116" i="6"/>
  <c r="P116" i="6"/>
  <c r="H117" i="6"/>
  <c r="P117" i="6"/>
  <c r="H120" i="6"/>
  <c r="L120" i="6"/>
  <c r="P120" i="6"/>
  <c r="H121" i="6"/>
  <c r="L121" i="6"/>
  <c r="P121" i="6"/>
  <c r="H122" i="6"/>
  <c r="L122" i="6"/>
  <c r="P122" i="6"/>
  <c r="H126" i="6"/>
  <c r="L126" i="6"/>
  <c r="P126" i="6"/>
  <c r="H131" i="6"/>
  <c r="L131" i="6"/>
  <c r="P131" i="6"/>
  <c r="H134" i="6"/>
  <c r="L134" i="6"/>
  <c r="P134" i="6"/>
  <c r="H135" i="6"/>
  <c r="L135" i="6"/>
  <c r="P135" i="6"/>
  <c r="H136" i="6"/>
  <c r="L136" i="6"/>
  <c r="P136" i="6"/>
  <c r="N27" i="6"/>
  <c r="F29" i="6"/>
  <c r="J30" i="6"/>
  <c r="N31" i="6"/>
  <c r="F33" i="6"/>
  <c r="J34" i="6"/>
  <c r="N35" i="6"/>
  <c r="F52" i="6"/>
  <c r="N54" i="6"/>
  <c r="F56" i="6"/>
  <c r="J60" i="6"/>
  <c r="N61" i="6"/>
  <c r="F63" i="6"/>
  <c r="J75" i="6"/>
  <c r="N76" i="6"/>
  <c r="F78" i="6"/>
  <c r="J79" i="6"/>
  <c r="N80" i="6"/>
  <c r="F88" i="6"/>
  <c r="N88" i="6"/>
  <c r="J89" i="6"/>
  <c r="F91" i="6"/>
  <c r="N91" i="6"/>
  <c r="J92" i="6"/>
  <c r="F93" i="6"/>
  <c r="N93" i="6"/>
  <c r="J94" i="6"/>
  <c r="F98" i="6"/>
  <c r="N98" i="6"/>
  <c r="J99" i="6"/>
  <c r="F100" i="6"/>
  <c r="N100" i="6"/>
  <c r="J104" i="6"/>
  <c r="F105" i="6"/>
  <c r="N105" i="6"/>
  <c r="J106" i="6"/>
  <c r="F107" i="6"/>
  <c r="M107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5" i="6"/>
  <c r="I115" i="6"/>
  <c r="M115" i="6"/>
  <c r="E116" i="6"/>
  <c r="I116" i="6"/>
  <c r="M116" i="6"/>
  <c r="E117" i="6"/>
  <c r="I117" i="6"/>
  <c r="M117" i="6"/>
  <c r="E120" i="6"/>
  <c r="I120" i="6"/>
  <c r="M120" i="6"/>
  <c r="E121" i="6"/>
  <c r="I121" i="6"/>
  <c r="M121" i="6"/>
  <c r="E122" i="6"/>
  <c r="I122" i="6"/>
  <c r="M122" i="6"/>
  <c r="E126" i="6"/>
  <c r="I126" i="6"/>
  <c r="M126" i="6"/>
  <c r="E131" i="6"/>
  <c r="I131" i="6"/>
  <c r="M131" i="6"/>
  <c r="E134" i="6"/>
  <c r="I134" i="6"/>
  <c r="M134" i="6"/>
  <c r="E135" i="6"/>
  <c r="I135" i="6"/>
  <c r="M135" i="6"/>
  <c r="E136" i="6"/>
  <c r="I136" i="6"/>
  <c r="M136" i="6"/>
  <c r="N30" i="6"/>
  <c r="F50" i="6"/>
  <c r="J56" i="6"/>
  <c r="N75" i="6"/>
  <c r="F87" i="6"/>
  <c r="I91" i="6"/>
  <c r="E94" i="6"/>
  <c r="M99" i="6"/>
  <c r="I105" i="6"/>
  <c r="N107" i="6"/>
  <c r="F112" i="6"/>
  <c r="J113" i="6"/>
  <c r="N114" i="6"/>
  <c r="F116" i="6"/>
  <c r="J117" i="6"/>
  <c r="N120" i="6"/>
  <c r="F122" i="6"/>
  <c r="J126" i="6"/>
  <c r="N131" i="6"/>
  <c r="F135" i="6"/>
  <c r="J136" i="6"/>
  <c r="I98" i="6"/>
  <c r="J111" i="6"/>
  <c r="F120" i="6"/>
  <c r="F131" i="6"/>
  <c r="F32" i="6"/>
  <c r="J52" i="6"/>
  <c r="N60" i="6"/>
  <c r="F77" i="6"/>
  <c r="I88" i="6"/>
  <c r="E92" i="6"/>
  <c r="M94" i="6"/>
  <c r="I100" i="6"/>
  <c r="E106" i="6"/>
  <c r="F111" i="6"/>
  <c r="J112" i="6"/>
  <c r="N113" i="6"/>
  <c r="F115" i="6"/>
  <c r="J116" i="6"/>
  <c r="N117" i="6"/>
  <c r="F121" i="6"/>
  <c r="J122" i="6"/>
  <c r="N126" i="6"/>
  <c r="F134" i="6"/>
  <c r="J135" i="6"/>
  <c r="N136" i="6"/>
  <c r="F28" i="6"/>
  <c r="F62" i="6"/>
  <c r="M92" i="6"/>
  <c r="E104" i="6"/>
  <c r="F114" i="6"/>
  <c r="N116" i="6"/>
  <c r="N122" i="6"/>
  <c r="J134" i="6"/>
  <c r="J29" i="6"/>
  <c r="N34" i="6"/>
  <c r="F55" i="6"/>
  <c r="J63" i="6"/>
  <c r="N79" i="6"/>
  <c r="M89" i="6"/>
  <c r="I93" i="6"/>
  <c r="E99" i="6"/>
  <c r="M104" i="6"/>
  <c r="I107" i="6"/>
  <c r="N111" i="6"/>
  <c r="F113" i="6"/>
  <c r="J114" i="6"/>
  <c r="N115" i="6"/>
  <c r="F117" i="6"/>
  <c r="J120" i="6"/>
  <c r="N121" i="6"/>
  <c r="F126" i="6"/>
  <c r="J131" i="6"/>
  <c r="N134" i="6"/>
  <c r="F136" i="6"/>
  <c r="J33" i="6"/>
  <c r="J78" i="6"/>
  <c r="E89" i="6"/>
  <c r="M106" i="6"/>
  <c r="N112" i="6"/>
  <c r="J115" i="6"/>
  <c r="J121" i="6"/>
  <c r="N135" i="6"/>
  <c r="P57" i="6" l="1"/>
  <c r="P46" i="6" s="1"/>
  <c r="Q7" i="10" s="1"/>
  <c r="D27" i="6"/>
  <c r="R27" i="6"/>
  <c r="E38" i="6"/>
  <c r="D89" i="6"/>
  <c r="R89" i="6"/>
  <c r="J22" i="6"/>
  <c r="N137" i="6"/>
  <c r="O29" i="10" s="1"/>
  <c r="J132" i="6"/>
  <c r="N123" i="6"/>
  <c r="M108" i="6"/>
  <c r="N12" i="10" s="1"/>
  <c r="D99" i="6"/>
  <c r="R99" i="6"/>
  <c r="J137" i="6"/>
  <c r="K29" i="10" s="1"/>
  <c r="D104" i="6"/>
  <c r="D108" i="6" s="1"/>
  <c r="E108" i="6"/>
  <c r="F12" i="10" s="1"/>
  <c r="F72" i="6"/>
  <c r="F137" i="6"/>
  <c r="G29" i="10" s="1"/>
  <c r="F123" i="6"/>
  <c r="D106" i="6"/>
  <c r="D92" i="6"/>
  <c r="R92" i="6"/>
  <c r="N64" i="6"/>
  <c r="O8" i="10" s="1"/>
  <c r="F132" i="6"/>
  <c r="J123" i="6"/>
  <c r="I101" i="6"/>
  <c r="J11" i="10" s="1"/>
  <c r="N132" i="6"/>
  <c r="D94" i="6"/>
  <c r="R94" i="6"/>
  <c r="F95" i="6"/>
  <c r="G10" i="10" s="1"/>
  <c r="N81" i="6"/>
  <c r="O9" i="10" s="1"/>
  <c r="J45" i="6"/>
  <c r="F57" i="6"/>
  <c r="F46" i="6" s="1"/>
  <c r="D136" i="6"/>
  <c r="R136" i="6"/>
  <c r="D135" i="6"/>
  <c r="M137" i="6"/>
  <c r="N29" i="10" s="1"/>
  <c r="I137" i="6"/>
  <c r="J29" i="10" s="1"/>
  <c r="D134" i="6"/>
  <c r="R134" i="6"/>
  <c r="E137" i="6"/>
  <c r="F29" i="10" s="1"/>
  <c r="M132" i="6"/>
  <c r="I132" i="6"/>
  <c r="D131" i="6"/>
  <c r="R131" i="6"/>
  <c r="E132" i="6"/>
  <c r="D126" i="6"/>
  <c r="R126" i="6"/>
  <c r="D122" i="6"/>
  <c r="R122" i="6"/>
  <c r="D121" i="6"/>
  <c r="R121" i="6"/>
  <c r="D120" i="6"/>
  <c r="R120" i="6"/>
  <c r="D117" i="6"/>
  <c r="R117" i="6"/>
  <c r="D116" i="6"/>
  <c r="R116" i="6"/>
  <c r="D115" i="6"/>
  <c r="R115" i="6"/>
  <c r="D114" i="6"/>
  <c r="R114" i="6"/>
  <c r="D113" i="6"/>
  <c r="R113" i="6"/>
  <c r="D112" i="6"/>
  <c r="R112" i="6"/>
  <c r="M123" i="6"/>
  <c r="I123" i="6"/>
  <c r="D111" i="6"/>
  <c r="R111" i="6"/>
  <c r="R123" i="6" s="1"/>
  <c r="E123" i="6"/>
  <c r="J108" i="6"/>
  <c r="K12" i="10" s="1"/>
  <c r="N101" i="6"/>
  <c r="O11" i="10" s="1"/>
  <c r="F101" i="6"/>
  <c r="G11" i="10" s="1"/>
  <c r="J81" i="6"/>
  <c r="K9" i="10" s="1"/>
  <c r="J64" i="6"/>
  <c r="K8" i="10" s="1"/>
  <c r="F45" i="6"/>
  <c r="N21" i="6"/>
  <c r="F22" i="6"/>
  <c r="N38" i="6"/>
  <c r="N23" i="6" s="1"/>
  <c r="P137" i="6"/>
  <c r="Q29" i="10" s="1"/>
  <c r="L137" i="6"/>
  <c r="M29" i="10" s="1"/>
  <c r="H137" i="6"/>
  <c r="I29" i="10" s="1"/>
  <c r="P132" i="6"/>
  <c r="L132" i="6"/>
  <c r="H132" i="6"/>
  <c r="P123" i="6"/>
  <c r="L123" i="6"/>
  <c r="H123" i="6"/>
  <c r="D107" i="6"/>
  <c r="D105" i="6"/>
  <c r="I108" i="6"/>
  <c r="J12" i="10" s="1"/>
  <c r="D100" i="6"/>
  <c r="R100" i="6"/>
  <c r="M101" i="6"/>
  <c r="N11" i="10" s="1"/>
  <c r="D98" i="6"/>
  <c r="R98" i="6"/>
  <c r="E101" i="6"/>
  <c r="D93" i="6"/>
  <c r="R93" i="6"/>
  <c r="D91" i="6"/>
  <c r="R91" i="6"/>
  <c r="N95" i="6"/>
  <c r="O10" i="10" s="1"/>
  <c r="F81" i="6"/>
  <c r="G9" i="10" s="1"/>
  <c r="F71" i="6"/>
  <c r="F64" i="6"/>
  <c r="G8" i="10" s="1"/>
  <c r="N57" i="6"/>
  <c r="N46" i="6" s="1"/>
  <c r="J21" i="6"/>
  <c r="J38" i="6"/>
  <c r="J23" i="6" s="1"/>
  <c r="O137" i="6"/>
  <c r="P29" i="10" s="1"/>
  <c r="K137" i="6"/>
  <c r="L29" i="10" s="1"/>
  <c r="G137" i="6"/>
  <c r="H29" i="10" s="1"/>
  <c r="O132" i="6"/>
  <c r="K132" i="6"/>
  <c r="G132" i="6"/>
  <c r="O123" i="6"/>
  <c r="K123" i="6"/>
  <c r="G123" i="6"/>
  <c r="D123" i="6" s="1"/>
  <c r="N108" i="6"/>
  <c r="O12" i="10" s="1"/>
  <c r="F108" i="6"/>
  <c r="G12" i="10" s="1"/>
  <c r="J101" i="6"/>
  <c r="K11" i="10" s="1"/>
  <c r="J95" i="6"/>
  <c r="K10" i="10" s="1"/>
  <c r="N45" i="6"/>
  <c r="J57" i="6"/>
  <c r="J46" i="6" s="1"/>
  <c r="F21" i="6"/>
  <c r="N22" i="6"/>
  <c r="F38" i="6"/>
  <c r="F23" i="6" s="1"/>
  <c r="F127" i="6" s="1"/>
  <c r="F139" i="6" s="1"/>
  <c r="D88" i="6"/>
  <c r="R88" i="6"/>
  <c r="M95" i="6"/>
  <c r="N10" i="10" s="1"/>
  <c r="I95" i="6"/>
  <c r="J10" i="10" s="1"/>
  <c r="D87" i="6"/>
  <c r="R87" i="6"/>
  <c r="E95" i="6"/>
  <c r="D80" i="6"/>
  <c r="R80" i="6"/>
  <c r="D79" i="6"/>
  <c r="R79" i="6"/>
  <c r="D78" i="6"/>
  <c r="R78" i="6"/>
  <c r="D77" i="6"/>
  <c r="R77" i="6"/>
  <c r="D76" i="6"/>
  <c r="R76" i="6"/>
  <c r="M81" i="6"/>
  <c r="N9" i="10" s="1"/>
  <c r="I81" i="6"/>
  <c r="J9" i="10" s="1"/>
  <c r="D75" i="6"/>
  <c r="R75" i="6"/>
  <c r="R81" i="6" s="1"/>
  <c r="E81" i="6"/>
  <c r="F9" i="10" s="1"/>
  <c r="D63" i="6"/>
  <c r="R63" i="6"/>
  <c r="E72" i="6"/>
  <c r="D62" i="6"/>
  <c r="R62" i="6"/>
  <c r="R72" i="6" s="1"/>
  <c r="D61" i="6"/>
  <c r="R61" i="6"/>
  <c r="M64" i="6"/>
  <c r="N8" i="10" s="1"/>
  <c r="I64" i="6"/>
  <c r="J8" i="10" s="1"/>
  <c r="E71" i="6"/>
  <c r="D60" i="6"/>
  <c r="R60" i="6"/>
  <c r="R71" i="6" s="1"/>
  <c r="E64" i="6"/>
  <c r="M45" i="6"/>
  <c r="I45" i="6"/>
  <c r="E45" i="6"/>
  <c r="D56" i="6"/>
  <c r="R56" i="6"/>
  <c r="D55" i="6"/>
  <c r="R55" i="6"/>
  <c r="D54" i="6"/>
  <c r="R54" i="6"/>
  <c r="D52" i="6"/>
  <c r="R52" i="6"/>
  <c r="M57" i="6"/>
  <c r="M46" i="6" s="1"/>
  <c r="N7" i="10" s="1"/>
  <c r="I57" i="6"/>
  <c r="I46" i="6" s="1"/>
  <c r="J7" i="10" s="1"/>
  <c r="D50" i="6"/>
  <c r="R50" i="6"/>
  <c r="R57" i="6" s="1"/>
  <c r="E57" i="6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R38" i="6" s="1"/>
  <c r="D28" i="6"/>
  <c r="M38" i="6"/>
  <c r="M23" i="6" s="1"/>
  <c r="I38" i="6"/>
  <c r="I23" i="6" s="1"/>
  <c r="P108" i="6"/>
  <c r="Q12" i="10" s="1"/>
  <c r="L108" i="6"/>
  <c r="M12" i="10" s="1"/>
  <c r="H108" i="6"/>
  <c r="I12" i="10" s="1"/>
  <c r="P101" i="6"/>
  <c r="Q11" i="10" s="1"/>
  <c r="L101" i="6"/>
  <c r="M11" i="10" s="1"/>
  <c r="H101" i="6"/>
  <c r="I11" i="10" s="1"/>
  <c r="P95" i="6"/>
  <c r="Q10" i="10" s="1"/>
  <c r="L95" i="6"/>
  <c r="M10" i="10" s="1"/>
  <c r="H95" i="6"/>
  <c r="I10" i="10" s="1"/>
  <c r="P81" i="6"/>
  <c r="Q9" i="10" s="1"/>
  <c r="L81" i="6"/>
  <c r="M9" i="10" s="1"/>
  <c r="H81" i="6"/>
  <c r="I9" i="10" s="1"/>
  <c r="P64" i="6"/>
  <c r="Q8" i="10" s="1"/>
  <c r="L64" i="6"/>
  <c r="M8" i="10" s="1"/>
  <c r="H64" i="6"/>
  <c r="I8" i="10" s="1"/>
  <c r="P45" i="6"/>
  <c r="L45" i="6"/>
  <c r="H45" i="6"/>
  <c r="L57" i="6"/>
  <c r="L46" i="6" s="1"/>
  <c r="H57" i="6"/>
  <c r="H46" i="6" s="1"/>
  <c r="P21" i="6"/>
  <c r="L21" i="6"/>
  <c r="H21" i="6"/>
  <c r="P22" i="6"/>
  <c r="L22" i="6"/>
  <c r="H22" i="6"/>
  <c r="P38" i="6"/>
  <c r="P23" i="6" s="1"/>
  <c r="L38" i="6"/>
  <c r="L23" i="6" s="1"/>
  <c r="H38" i="6"/>
  <c r="H23" i="6" s="1"/>
  <c r="O108" i="6"/>
  <c r="P12" i="10" s="1"/>
  <c r="K108" i="6"/>
  <c r="L12" i="10" s="1"/>
  <c r="G108" i="6"/>
  <c r="H12" i="10" s="1"/>
  <c r="D12" i="10" s="1"/>
  <c r="O101" i="6"/>
  <c r="P11" i="10" s="1"/>
  <c r="K101" i="6"/>
  <c r="L11" i="10" s="1"/>
  <c r="G101" i="6"/>
  <c r="O95" i="6"/>
  <c r="P10" i="10" s="1"/>
  <c r="K95" i="6"/>
  <c r="L10" i="10" s="1"/>
  <c r="G95" i="6"/>
  <c r="H10" i="10" s="1"/>
  <c r="O81" i="6"/>
  <c r="P9" i="10" s="1"/>
  <c r="K81" i="6"/>
  <c r="L9" i="10" s="1"/>
  <c r="G81" i="6"/>
  <c r="H9" i="10" s="1"/>
  <c r="G72" i="6"/>
  <c r="O64" i="6"/>
  <c r="P8" i="10" s="1"/>
  <c r="K64" i="6"/>
  <c r="L8" i="10" s="1"/>
  <c r="G71" i="6"/>
  <c r="G64" i="6"/>
  <c r="O45" i="6"/>
  <c r="K45" i="6"/>
  <c r="G45" i="6"/>
  <c r="O57" i="6"/>
  <c r="O46" i="6" s="1"/>
  <c r="O41" i="6" s="1"/>
  <c r="K57" i="6"/>
  <c r="K46" i="6" s="1"/>
  <c r="G57" i="6"/>
  <c r="G46" i="6" s="1"/>
  <c r="O21" i="6"/>
  <c r="K21" i="6"/>
  <c r="G21" i="6"/>
  <c r="O22" i="6"/>
  <c r="K22" i="6"/>
  <c r="G22" i="6"/>
  <c r="O38" i="6"/>
  <c r="O23" i="6" s="1"/>
  <c r="O127" i="6" s="1"/>
  <c r="O139" i="6" s="1"/>
  <c r="P25" i="10" s="1"/>
  <c r="K38" i="6"/>
  <c r="K23" i="6" s="1"/>
  <c r="G38" i="6"/>
  <c r="G23" i="6" s="1"/>
  <c r="J7" i="6"/>
  <c r="R137" i="6"/>
  <c r="R95" i="6"/>
  <c r="D137" i="6"/>
  <c r="M83" i="6"/>
  <c r="M41" i="6"/>
  <c r="M7" i="6"/>
  <c r="I41" i="6"/>
  <c r="D21" i="6"/>
  <c r="O83" i="6"/>
  <c r="O141" i="6" s="1"/>
  <c r="P41" i="6"/>
  <c r="D9" i="10"/>
  <c r="L7" i="6"/>
  <c r="O7" i="6"/>
  <c r="D81" i="6"/>
  <c r="H7" i="6"/>
  <c r="K83" i="6"/>
  <c r="P7" i="10"/>
  <c r="H8" i="10"/>
  <c r="D64" i="6"/>
  <c r="L83" i="6"/>
  <c r="M6" i="10"/>
  <c r="D22" i="6"/>
  <c r="R22" i="6"/>
  <c r="J6" i="10"/>
  <c r="J13" i="10" s="1"/>
  <c r="I127" i="6"/>
  <c r="I139" i="6" s="1"/>
  <c r="J25" i="10" s="1"/>
  <c r="I7" i="6"/>
  <c r="I83" i="6"/>
  <c r="I141" i="6" s="1"/>
  <c r="O7" i="10"/>
  <c r="N41" i="6"/>
  <c r="R21" i="6"/>
  <c r="H127" i="6"/>
  <c r="H139" i="6" s="1"/>
  <c r="I25" i="10" s="1"/>
  <c r="I6" i="10"/>
  <c r="H83" i="6"/>
  <c r="H141" i="6" s="1"/>
  <c r="H11" i="10"/>
  <c r="R101" i="6"/>
  <c r="P7" i="6"/>
  <c r="P127" i="6"/>
  <c r="P139" i="6" s="1"/>
  <c r="Q25" i="10" s="1"/>
  <c r="Q6" i="10"/>
  <c r="Q13" i="10" s="1"/>
  <c r="Q24" i="10" s="1"/>
  <c r="Q26" i="10" s="1"/>
  <c r="Q28" i="10" s="1"/>
  <c r="Q31" i="10" s="1"/>
  <c r="E23" i="6"/>
  <c r="D38" i="6"/>
  <c r="G127" i="6"/>
  <c r="G139" i="6" s="1"/>
  <c r="H25" i="10" s="1"/>
  <c r="G7" i="6"/>
  <c r="G83" i="6"/>
  <c r="H6" i="10"/>
  <c r="E46" i="6"/>
  <c r="D57" i="6"/>
  <c r="G6" i="10"/>
  <c r="F83" i="6"/>
  <c r="F7" i="6"/>
  <c r="N127" i="6"/>
  <c r="N139" i="6" s="1"/>
  <c r="O25" i="10" s="1"/>
  <c r="O6" i="10"/>
  <c r="O13" i="10" s="1"/>
  <c r="O24" i="10" s="1"/>
  <c r="O26" i="10" s="1"/>
  <c r="O28" i="10" s="1"/>
  <c r="O31" i="10" s="1"/>
  <c r="P6" i="10" l="1"/>
  <c r="P13" i="10" s="1"/>
  <c r="P24" i="10" s="1"/>
  <c r="P26" i="10" s="1"/>
  <c r="P28" i="10" s="1"/>
  <c r="P31" i="10" s="1"/>
  <c r="D29" i="10"/>
  <c r="L6" i="10"/>
  <c r="K141" i="6"/>
  <c r="K7" i="6"/>
  <c r="K127" i="6"/>
  <c r="K139" i="6" s="1"/>
  <c r="L25" i="10" s="1"/>
  <c r="G41" i="6"/>
  <c r="H7" i="10"/>
  <c r="H13" i="10" s="1"/>
  <c r="H24" i="10" s="1"/>
  <c r="H26" i="10" s="1"/>
  <c r="H28" i="10" s="1"/>
  <c r="H31" i="10" s="1"/>
  <c r="K41" i="6"/>
  <c r="L7" i="10"/>
  <c r="L141" i="6"/>
  <c r="L127" i="6"/>
  <c r="L139" i="6" s="1"/>
  <c r="M25" i="10" s="1"/>
  <c r="P141" i="6"/>
  <c r="P83" i="6"/>
  <c r="H41" i="6"/>
  <c r="I7" i="10"/>
  <c r="I13" i="10" s="1"/>
  <c r="M7" i="10"/>
  <c r="M13" i="10" s="1"/>
  <c r="M35" i="10" s="1"/>
  <c r="L41" i="6"/>
  <c r="N6" i="10"/>
  <c r="N13" i="10" s="1"/>
  <c r="N33" i="10" s="1"/>
  <c r="M127" i="6"/>
  <c r="M139" i="6" s="1"/>
  <c r="N25" i="10" s="1"/>
  <c r="M141" i="6"/>
  <c r="R45" i="6"/>
  <c r="D45" i="6"/>
  <c r="R64" i="6"/>
  <c r="F8" i="10"/>
  <c r="D8" i="10" s="1"/>
  <c r="F10" i="10"/>
  <c r="D10" i="10" s="1"/>
  <c r="D95" i="6"/>
  <c r="K7" i="10"/>
  <c r="J41" i="6"/>
  <c r="J141" i="6"/>
  <c r="J127" i="6"/>
  <c r="J139" i="6" s="1"/>
  <c r="K25" i="10" s="1"/>
  <c r="K6" i="10"/>
  <c r="K13" i="10" s="1"/>
  <c r="J83" i="6"/>
  <c r="F11" i="10"/>
  <c r="D11" i="10" s="1"/>
  <c r="D101" i="6"/>
  <c r="N7" i="6"/>
  <c r="N83" i="6"/>
  <c r="N141" i="6"/>
  <c r="R132" i="6"/>
  <c r="D132" i="6"/>
  <c r="F41" i="6"/>
  <c r="G7" i="10"/>
  <c r="G13" i="10" s="1"/>
  <c r="G24" i="10" s="1"/>
  <c r="G141" i="6"/>
  <c r="M34" i="10"/>
  <c r="J39" i="10"/>
  <c r="J40" i="10" s="1"/>
  <c r="J41" i="10"/>
  <c r="J24" i="10"/>
  <c r="J26" i="10" s="1"/>
  <c r="J28" i="10" s="1"/>
  <c r="J31" i="10" s="1"/>
  <c r="J33" i="10"/>
  <c r="J38" i="10"/>
  <c r="J37" i="10"/>
  <c r="J36" i="10"/>
  <c r="J34" i="10"/>
  <c r="J35" i="10"/>
  <c r="F141" i="6"/>
  <c r="E7" i="6"/>
  <c r="E127" i="6"/>
  <c r="E139" i="6" s="1"/>
  <c r="F6" i="10"/>
  <c r="D23" i="6"/>
  <c r="E83" i="6"/>
  <c r="G25" i="10"/>
  <c r="F7" i="10"/>
  <c r="D7" i="10" s="1"/>
  <c r="E41" i="6"/>
  <c r="D46" i="6"/>
  <c r="I37" i="10"/>
  <c r="I38" i="10"/>
  <c r="M24" i="10"/>
  <c r="M26" i="10" s="1"/>
  <c r="M28" i="10" s="1"/>
  <c r="M31" i="10" s="1"/>
  <c r="M33" i="10"/>
  <c r="M37" i="10"/>
  <c r="M38" i="10"/>
  <c r="N34" i="10"/>
  <c r="O33" i="10"/>
  <c r="N35" i="10"/>
  <c r="N24" i="10" l="1"/>
  <c r="N26" i="10" s="1"/>
  <c r="N28" i="10" s="1"/>
  <c r="N31" i="10" s="1"/>
  <c r="N36" i="10"/>
  <c r="M36" i="10"/>
  <c r="R139" i="6"/>
  <c r="I24" i="10"/>
  <c r="I26" i="10" s="1"/>
  <c r="I28" i="10" s="1"/>
  <c r="I31" i="10" s="1"/>
  <c r="I36" i="10"/>
  <c r="I35" i="10"/>
  <c r="I34" i="10"/>
  <c r="I39" i="10"/>
  <c r="I40" i="10" s="1"/>
  <c r="I41" i="10"/>
  <c r="G26" i="10"/>
  <c r="G28" i="10" s="1"/>
  <c r="G31" i="10" s="1"/>
  <c r="L13" i="10"/>
  <c r="L37" i="10" s="1"/>
  <c r="K38" i="10"/>
  <c r="K37" i="10"/>
  <c r="K33" i="10"/>
  <c r="K24" i="10"/>
  <c r="K26" i="10"/>
  <c r="K28" i="10" s="1"/>
  <c r="K31" i="10" s="1"/>
  <c r="K34" i="10"/>
  <c r="K36" i="10"/>
  <c r="K35" i="10"/>
  <c r="K39" i="10"/>
  <c r="K40" i="10" s="1"/>
  <c r="K41" i="10"/>
  <c r="L24" i="10"/>
  <c r="L33" i="10"/>
  <c r="L38" i="10"/>
  <c r="F25" i="10"/>
  <c r="D25" i="10" s="1"/>
  <c r="D139" i="6"/>
  <c r="D83" i="6"/>
  <c r="E141" i="6"/>
  <c r="D141" i="6" s="1"/>
  <c r="D6" i="10"/>
  <c r="F13" i="10"/>
  <c r="D127" i="6"/>
  <c r="R127" i="6"/>
  <c r="D7" i="6"/>
  <c r="R7" i="6"/>
  <c r="R23" i="6" s="1"/>
  <c r="R41" i="6"/>
  <c r="R46" i="6" s="1"/>
  <c r="D41" i="6"/>
  <c r="I33" i="10"/>
  <c r="P33" i="10"/>
  <c r="O36" i="10"/>
  <c r="O34" i="10"/>
  <c r="O35" i="10"/>
  <c r="N37" i="10"/>
  <c r="N38" i="10"/>
  <c r="M39" i="10"/>
  <c r="M40" i="10" s="1"/>
  <c r="M41" i="10"/>
  <c r="L26" i="10" l="1"/>
  <c r="L28" i="10" s="1"/>
  <c r="L31" i="10" s="1"/>
  <c r="L35" i="10"/>
  <c r="L34" i="10"/>
  <c r="L36" i="10"/>
  <c r="L39" i="10"/>
  <c r="L40" i="10" s="1"/>
  <c r="L41" i="10"/>
  <c r="R83" i="6"/>
  <c r="F24" i="10"/>
  <c r="D13" i="10"/>
  <c r="O38" i="10"/>
  <c r="O39" i="10" s="1"/>
  <c r="O40" i="10" s="1"/>
  <c r="N41" i="10"/>
  <c r="N39" i="10"/>
  <c r="N40" i="10" s="1"/>
  <c r="O37" i="10"/>
  <c r="Q33" i="10"/>
  <c r="P34" i="10"/>
  <c r="P35" i="10"/>
  <c r="P36" i="10"/>
  <c r="D24" i="10" l="1"/>
  <c r="F26" i="10"/>
  <c r="O41" i="10"/>
  <c r="P38" i="10"/>
  <c r="P37" i="10"/>
  <c r="Q36" i="10"/>
  <c r="Q35" i="10"/>
  <c r="Q34" i="10"/>
  <c r="Q38" i="10"/>
  <c r="F28" i="10" l="1"/>
  <c r="D26" i="10"/>
  <c r="Q37" i="10"/>
  <c r="Q41" i="10"/>
  <c r="Q39" i="10"/>
  <c r="Q40" i="10" s="1"/>
  <c r="P39" i="10"/>
  <c r="P40" i="10" s="1"/>
  <c r="P41" i="10"/>
  <c r="D28" i="10" l="1"/>
  <c r="F31" i="10"/>
  <c r="D31" i="10" l="1"/>
  <c r="F33" i="10"/>
  <c r="G33" i="10" s="1"/>
  <c r="H33" i="10" l="1"/>
  <c r="G36" i="10"/>
  <c r="G35" i="10"/>
  <c r="G38" i="10" s="1"/>
  <c r="G34" i="10"/>
  <c r="F36" i="10"/>
  <c r="F34" i="10"/>
  <c r="F38" i="10" s="1"/>
  <c r="F35" i="10"/>
  <c r="G37" i="10" l="1"/>
  <c r="G41" i="10"/>
  <c r="G39" i="10"/>
  <c r="G40" i="10" s="1"/>
  <c r="H36" i="10"/>
  <c r="H35" i="10"/>
  <c r="H34" i="10"/>
  <c r="H37" i="10" s="1"/>
  <c r="F39" i="10"/>
  <c r="F40" i="10" s="1"/>
  <c r="F41" i="10"/>
  <c r="F37" i="10"/>
  <c r="H38" i="10" l="1"/>
  <c r="H41" i="10" s="1"/>
  <c r="H39" i="10" l="1"/>
  <c r="H40" i="10" s="1"/>
  <c r="D40" i="10" s="1"/>
</calcChain>
</file>

<file path=xl/comments1.xml><?xml version="1.0" encoding="utf-8"?>
<comments xmlns="http://schemas.openxmlformats.org/spreadsheetml/2006/main">
  <authors>
    <author>CKettner</author>
    <author>tmm8381</author>
    <author>gaa9730</author>
    <author>Kettner, Cheryl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Contract no longer in effect as of spring 2019.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Capital Credit of $1,788.48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Contract no longer in effect as of spring 2019.</t>
        </r>
      </text>
    </comment>
    <comment ref="B45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46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47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Cognos, Revenue by Revenue Class Report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CKettner</author>
    <author>Kettner, Cheryl</author>
    <author>tzj0fg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 956</t>
        </r>
      </text>
    </comment>
    <comment ref="F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Feb 2020 is: 2700</t>
        </r>
      </text>
    </comment>
    <comment ref="G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Mar 2020 is: 3968</t>
        </r>
      </text>
    </comment>
    <comment ref="H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I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J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K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L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M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N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O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P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1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3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4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5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6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0" authorId="5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1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8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19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0" authorId="4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7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comments4.xml><?xml version="1.0" encoding="utf-8"?>
<comments xmlns="http://schemas.openxmlformats.org/spreadsheetml/2006/main">
  <authors>
    <author>Kettner, Cheryl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Rate changes yearly.  See Levelized Cost of Power tab of Solar Select 1 WP 02-11-18.xlsx workbook. Row 5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Proforma page, line 12 on the Solar Select 1 WP 05-11-18.xlsx workbook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Changes yearly.  Check line 27 on the Proforma tab of the Solar Select 1 WP 05-11-18.xlsx workbook.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$52.71 comes from Proforma tab of the Solar Select 1 WP 05-11-18.xlsx workbook.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See line 20 on the Proforma tab of the Solar Select 1 WP 05-11-18.xlsx workbook.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Per Oracle PA Reports &amp; Inquiry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Per Monthly Power Transaction Register in Nucleus</t>
        </r>
      </text>
    </comment>
  </commentList>
</comments>
</file>

<file path=xl/sharedStrings.xml><?xml version="1.0" encoding="utf-8"?>
<sst xmlns="http://schemas.openxmlformats.org/spreadsheetml/2006/main" count="271" uniqueCount="217">
  <si>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</si>
  <si>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</si>
  <si>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</si>
  <si>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</si>
  <si>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</si>
  <si>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</si>
  <si>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</si>
  <si>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</si>
  <si>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</si>
  <si>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TOTAL</t>
  </si>
  <si>
    <t>Adjusted Actual Net Expense</t>
  </si>
  <si>
    <t xml:space="preserve"> AUTHORIZED NET EXPENSE-SYSTEM</t>
  </si>
  <si>
    <t>555 PURCHASED POWER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</si>
  <si>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</si>
  <si>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</si>
  <si>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</si>
  <si>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</si>
  <si>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</si>
  <si>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</si>
  <si>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</si>
  <si>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</si>
  <si>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</si>
  <si>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</si>
  <si>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</si>
  <si>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</si>
  <si>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</si>
  <si>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</si>
  <si>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</si>
  <si>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WPM Ancillary Services</t>
  </si>
  <si>
    <t>Merchant Ancillary Services</t>
  </si>
  <si>
    <t>WASHINGTON POWER COST DEFERRALS</t>
  </si>
  <si>
    <t>Pend Oreille DES</t>
  </si>
  <si>
    <t>TOTAL NET EXPENSE</t>
  </si>
  <si>
    <t>input</t>
  </si>
  <si>
    <t>and up</t>
  </si>
  <si>
    <t>check #-should be zero</t>
  </si>
  <si>
    <t>565 Transmission Expense</t>
  </si>
  <si>
    <t>557 Broker Fees</t>
  </si>
  <si>
    <t>Company Band Gross Margin Impact, Cumulative</t>
  </si>
  <si>
    <t>Adjusted  Net Expense</t>
  </si>
  <si>
    <t>Stimson Lumber</t>
  </si>
  <si>
    <t>company absorbed</t>
  </si>
  <si>
    <t>456 Transmission Revenue</t>
  </si>
  <si>
    <t>456100 ED AN</t>
  </si>
  <si>
    <t>565000 ED AN</t>
  </si>
  <si>
    <t>565710 ED AN</t>
  </si>
  <si>
    <t>Colstrip Oil-501160</t>
  </si>
  <si>
    <t>Colstrip Coal-501140</t>
  </si>
  <si>
    <t>WNP3 Mid Point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</si>
  <si>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</si>
  <si>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</si>
  <si>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</si>
  <si>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</si>
  <si>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</si>
  <si>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</si>
  <si>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</si>
  <si>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</si>
  <si>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</si>
  <si>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Lancaster-547312</t>
  </si>
  <si>
    <t>565312 ED AN</t>
  </si>
  <si>
    <t>Lancaster</t>
  </si>
  <si>
    <t>Net Resource Optimization</t>
  </si>
  <si>
    <t>Net Power Cost (+) Surcharge (-) Rebate</t>
  </si>
  <si>
    <t>Econ Dispatch-557010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</si>
  <si>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</si>
  <si>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</si>
  <si>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</si>
  <si>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</si>
  <si>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</si>
  <si>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</si>
  <si>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</si>
  <si>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</si>
  <si>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</si>
  <si>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</si>
  <si>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</si>
  <si>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</si>
  <si>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</si>
  <si>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</si>
  <si>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</si>
  <si>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</si>
  <si>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</si>
  <si>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</si>
  <si>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</si>
  <si>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</si>
  <si>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</si>
  <si>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</si>
  <si>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</si>
  <si>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</si>
  <si>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</si>
  <si>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</si>
  <si>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</si>
  <si>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</si>
  <si>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</si>
  <si>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</si>
  <si>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</si>
  <si>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</si>
  <si>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</si>
  <si>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</si>
  <si>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</si>
  <si>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</si>
  <si>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</si>
  <si>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</si>
  <si>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</si>
  <si>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</si>
  <si>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</si>
  <si>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</si>
  <si>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</si>
  <si>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</si>
  <si>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</si>
  <si>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</si>
  <si>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</si>
  <si>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</si>
  <si>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</si>
  <si>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</si>
  <si>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Misc. Power Exp. Actual-557160 ED AN</t>
  </si>
  <si>
    <t>Cumulative Balance</t>
  </si>
  <si>
    <t>Palouse Wind</t>
  </si>
  <si>
    <t>City of Spokane - Waste-to-Energy</t>
  </si>
  <si>
    <t>456120 ED AN - BPA Settlement</t>
  </si>
  <si>
    <t>Misc. Power Exp. Subtotal</t>
  </si>
  <si>
    <t>456017 ED AN - Low Voltage</t>
  </si>
  <si>
    <t>456705 ED AN - Low Voltage</t>
  </si>
  <si>
    <t>WNP Correction*</t>
  </si>
  <si>
    <t>Resource Optimization - Subtotal</t>
  </si>
  <si>
    <t>Total Billed Sales</t>
  </si>
  <si>
    <t>YTD</t>
  </si>
  <si>
    <t>Deduct Prior Month Unbilled</t>
  </si>
  <si>
    <t>Add Current Month Unbilled</t>
  </si>
  <si>
    <t>Difference from Test Year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</si>
  <si>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</si>
  <si>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</si>
  <si>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</si>
  <si>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</si>
  <si>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</si>
  <si>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</si>
  <si>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</si>
  <si>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</si>
  <si>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</si>
  <si>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</si>
  <si>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</si>
  <si>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</si>
  <si>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</si>
  <si>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</si>
  <si>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</si>
  <si>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</si>
  <si>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</si>
  <si>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</si>
  <si>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</si>
  <si>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</si>
  <si>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</si>
  <si>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</si>
  <si>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</si>
  <si>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</si>
  <si>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</si>
  <si>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</si>
  <si>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</si>
  <si>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</si>
  <si>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</si>
  <si>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</si>
  <si>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</si>
  <si>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</si>
  <si>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</si>
  <si>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</si>
  <si>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</si>
  <si>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</si>
  <si>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</si>
  <si>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</si>
  <si>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</si>
  <si>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Settlement Adjustment</t>
  </si>
  <si>
    <t>557165 ED AN</t>
  </si>
  <si>
    <t>CAISO</t>
  </si>
  <si>
    <t>Glen/Rose Marie (Phillips Ranch) - 100023</t>
  </si>
  <si>
    <t>557018 ED AN</t>
  </si>
  <si>
    <t>Merchandise Processing Fee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</si>
  <si>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</si>
  <si>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</si>
  <si>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</si>
  <si>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</si>
  <si>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</si>
  <si>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</si>
  <si>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</si>
  <si>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</si>
  <si>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 xml:space="preserve">On WA Summary Tab, these #'s are divided by 65.73% </t>
  </si>
  <si>
    <t>Deduct Revenue From Solar Select</t>
  </si>
  <si>
    <t>Douglas County PUD (Wells) - Fixed Amount</t>
  </si>
  <si>
    <t>Solar Select Adjustment</t>
  </si>
  <si>
    <t>The City of Cove - 273436</t>
  </si>
  <si>
    <t>Expenses</t>
  </si>
  <si>
    <t>=Capital X12.19%/12</t>
  </si>
  <si>
    <t>=Intergration &amp; Reserves (Calculation on WA Monthly tab) Needs to be a positive number for this tab</t>
  </si>
  <si>
    <t>Revenue</t>
  </si>
  <si>
    <t>=Mwh X Customer Sales Amt ($52.71)</t>
  </si>
  <si>
    <t>=Value of Power (Powerdex Price)</t>
  </si>
  <si>
    <t>Project Costs:</t>
  </si>
  <si>
    <t>02806528 - Lind Interconnect Solar Transmission</t>
  </si>
  <si>
    <t>02806529 - Lind Interconnect Solar Distribution</t>
  </si>
  <si>
    <t>02806530 - Lind Interconnect Solar Communication</t>
  </si>
  <si>
    <t>Other Purchases and Sales</t>
  </si>
  <si>
    <t xml:space="preserve"> Other Purchases and Sales Subtotal</t>
  </si>
  <si>
    <t>Other Elec Rev - Specified Source - 456019</t>
  </si>
  <si>
    <t>Customer Sales</t>
  </si>
  <si>
    <t>Market Value</t>
  </si>
  <si>
    <t>Expense</t>
  </si>
  <si>
    <t>PPA Purchase</t>
  </si>
  <si>
    <t>Power Supply Rate Credit</t>
  </si>
  <si>
    <t>Interconnection &amp; Integration</t>
  </si>
  <si>
    <t>Integration</t>
  </si>
  <si>
    <t>Program Administration</t>
  </si>
  <si>
    <t>Net Margin</t>
  </si>
  <si>
    <t>Solar Select Generation Priced at Powerdex</t>
  </si>
  <si>
    <t>Energy Recovery Mechanism (ERM) Retail Revenue Credit Calculation - 2020</t>
  </si>
  <si>
    <r>
      <t>=Power Supply Credit X Mwh</t>
    </r>
    <r>
      <rPr>
        <sz val="10"/>
        <color rgb="FFFF0000"/>
        <rFont val="Arial"/>
        <family val="2"/>
      </rPr>
      <t xml:space="preserve"> (28.27 for 2020)</t>
    </r>
  </si>
  <si>
    <t>=Program Administration Charge ($30,000 /12)</t>
  </si>
  <si>
    <t>=REC Sales ($0) for 2020</t>
  </si>
  <si>
    <t>City of Spokane-Upriver - 290392</t>
  </si>
  <si>
    <t>Total through March</t>
  </si>
  <si>
    <t>456030 ED AN - Customer A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</si>
</sst>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[$-409]mmm/yy;@"/>
    <numFmt numFmtId="170" formatCode="0_);\(0\)"/>
    <numFmt numFmtId="171" formatCode="mmmm\ yyyy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27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45">
    <xf numFmtId="0" fontId="0" fillId="0" borderId="0" xfId="0"/>
    <xf numFmtId="0" fontId="10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0" fillId="0" borderId="0" xfId="0" applyFill="1" applyBorder="1"/>
    <xf numFmtId="166" fontId="4" fillId="0" borderId="0" xfId="3" applyNumberFormat="1" applyFont="1" applyFill="1" applyBorder="1"/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5" fontId="4" fillId="0" borderId="0" xfId="0" applyNumberFormat="1" applyFont="1" applyFill="1" applyBorder="1"/>
    <xf numFmtId="3" fontId="4" fillId="0" borderId="0" xfId="6" applyNumberFormat="1" applyFont="1" applyFill="1" applyBorder="1" applyAlignment="1"/>
    <xf numFmtId="3" fontId="4" fillId="0" borderId="0" xfId="0" applyNumberFormat="1" applyFont="1" applyFill="1" applyBorder="1" applyAlignment="1"/>
    <xf numFmtId="5" fontId="3" fillId="0" borderId="4" xfId="6" applyNumberFormat="1" applyFont="1" applyFill="1" applyBorder="1"/>
    <xf numFmtId="5" fontId="4" fillId="0" borderId="0" xfId="6" applyNumberFormat="1" applyFont="1" applyFill="1" applyBorder="1"/>
    <xf numFmtId="5" fontId="4" fillId="0" borderId="0" xfId="3" applyNumberFormat="1" applyFont="1" applyFill="1" applyBorder="1"/>
    <xf numFmtId="5" fontId="3" fillId="0" borderId="4" xfId="6" applyNumberFormat="1" applyFont="1" applyFill="1" applyBorder="1" applyAlignment="1">
      <alignment vertical="center"/>
    </xf>
    <xf numFmtId="5" fontId="3" fillId="0" borderId="4" xfId="3" applyNumberFormat="1" applyFont="1" applyFill="1" applyBorder="1" applyAlignment="1">
      <alignment vertical="center"/>
    </xf>
    <xf numFmtId="5" fontId="3" fillId="0" borderId="3" xfId="6" applyNumberFormat="1" applyFont="1" applyFill="1" applyBorder="1" applyAlignment="1">
      <alignment vertical="center"/>
    </xf>
    <xf numFmtId="5" fontId="4" fillId="0" borderId="0" xfId="3" applyNumberFormat="1" applyFont="1" applyFill="1"/>
    <xf numFmtId="5" fontId="4" fillId="0" borderId="0" xfId="3" applyNumberFormat="1" applyFont="1" applyFill="1" applyProtection="1">
      <protection locked="0"/>
    </xf>
    <xf numFmtId="5" fontId="2" fillId="0" borderId="0" xfId="3" applyNumberFormat="1" applyFill="1"/>
    <xf numFmtId="5" fontId="4" fillId="0" borderId="0" xfId="3" applyNumberFormat="1" applyFont="1" applyFill="1" applyBorder="1" applyProtection="1">
      <protection locked="0"/>
    </xf>
    <xf numFmtId="5" fontId="3" fillId="0" borderId="0" xfId="3" applyNumberFormat="1" applyFont="1" applyFill="1" applyBorder="1" applyProtection="1">
      <protection locked="0"/>
    </xf>
    <xf numFmtId="5" fontId="4" fillId="0" borderId="1" xfId="6" applyNumberFormat="1" applyFont="1" applyFill="1" applyBorder="1"/>
    <xf numFmtId="5" fontId="3" fillId="0" borderId="0" xfId="6" applyNumberFormat="1" applyFont="1" applyFill="1"/>
    <xf numFmtId="0" fontId="3" fillId="0" borderId="0" xfId="0" applyFont="1" applyFill="1"/>
    <xf numFmtId="5" fontId="3" fillId="0" borderId="5" xfId="6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/>
    <xf numFmtId="5" fontId="4" fillId="0" borderId="4" xfId="6" applyNumberFormat="1" applyFont="1" applyFill="1" applyBorder="1"/>
    <xf numFmtId="5" fontId="4" fillId="0" borderId="1" xfId="3" applyNumberFormat="1" applyFont="1" applyFill="1" applyBorder="1"/>
    <xf numFmtId="5" fontId="4" fillId="0" borderId="0" xfId="6" applyNumberFormat="1" applyFont="1" applyFill="1"/>
    <xf numFmtId="5" fontId="4" fillId="0" borderId="0" xfId="0" applyNumberFormat="1" applyFont="1" applyFill="1" applyAlignment="1" applyProtection="1">
      <alignment horizontal="center"/>
      <protection locked="0"/>
    </xf>
    <xf numFmtId="5" fontId="3" fillId="0" borderId="4" xfId="0" applyNumberFormat="1" applyFont="1" applyFill="1" applyBorder="1" applyAlignment="1">
      <alignment vertical="center"/>
    </xf>
    <xf numFmtId="5" fontId="3" fillId="0" borderId="0" xfId="0" applyNumberFormat="1" applyFont="1" applyFill="1"/>
    <xf numFmtId="5" fontId="4" fillId="0" borderId="0" xfId="0" applyNumberFormat="1" applyFont="1" applyFill="1"/>
    <xf numFmtId="5" fontId="3" fillId="0" borderId="3" xfId="3" applyNumberFormat="1" applyFont="1" applyFill="1" applyBorder="1" applyAlignment="1">
      <alignment vertical="center"/>
    </xf>
    <xf numFmtId="0" fontId="34" fillId="0" borderId="0" xfId="0" applyFont="1" applyFill="1"/>
    <xf numFmtId="5" fontId="3" fillId="0" borderId="0" xfId="6" applyNumberFormat="1" applyFont="1" applyFill="1" applyBorder="1" applyAlignment="1">
      <alignment vertical="center"/>
    </xf>
    <xf numFmtId="5" fontId="2" fillId="0" borderId="0" xfId="6" applyNumberFormat="1" applyFill="1" applyBorder="1"/>
    <xf numFmtId="5" fontId="3" fillId="0" borderId="5" xfId="6" applyNumberFormat="1" applyFont="1" applyFill="1" applyBorder="1" applyAlignment="1">
      <alignment horizontal="right" vertical="center"/>
    </xf>
    <xf numFmtId="5" fontId="3" fillId="0" borderId="0" xfId="0" applyNumberFormat="1" applyFont="1" applyFill="1" applyBorder="1"/>
    <xf numFmtId="5" fontId="34" fillId="0" borderId="0" xfId="0" applyNumberFormat="1" applyFont="1" applyFill="1" applyBorder="1"/>
    <xf numFmtId="5" fontId="0" fillId="0" borderId="0" xfId="0" applyNumberFormat="1" applyFill="1" applyBorder="1"/>
    <xf numFmtId="166" fontId="19" fillId="0" borderId="0" xfId="0" applyNumberFormat="1" applyFont="1" applyFill="1" applyAlignment="1">
      <alignment vertical="center"/>
    </xf>
    <xf numFmtId="166" fontId="39" fillId="0" borderId="4" xfId="3" applyNumberFormat="1" applyFont="1" applyFill="1" applyBorder="1" applyAlignment="1">
      <alignment vertical="center"/>
    </xf>
    <xf numFmtId="5" fontId="35" fillId="0" borderId="0" xfId="6" applyNumberFormat="1" applyFont="1" applyFill="1" applyBorder="1"/>
    <xf numFmtId="5" fontId="2" fillId="0" borderId="1" xfId="6" applyNumberFormat="1" applyFill="1" applyBorder="1"/>
    <xf numFmtId="0" fontId="16" fillId="0" borderId="0" xfId="0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17" fillId="0" borderId="0" xfId="0" applyFont="1" applyFill="1"/>
    <xf numFmtId="0" fontId="3" fillId="0" borderId="4" xfId="0" applyFont="1" applyFill="1" applyBorder="1" applyAlignment="1">
      <alignment vertical="center"/>
    </xf>
    <xf numFmtId="0" fontId="9" fillId="0" borderId="0" xfId="0" applyFont="1" applyFill="1"/>
    <xf numFmtId="0" fontId="0" fillId="0" borderId="1" xfId="0" applyFill="1" applyBorder="1"/>
    <xf numFmtId="0" fontId="8" fillId="0" borderId="4" xfId="0" applyFont="1" applyFill="1" applyBorder="1" applyAlignment="1">
      <alignment vertical="center"/>
    </xf>
    <xf numFmtId="0" fontId="14" fillId="0" borderId="0" xfId="0" applyFont="1" applyFill="1"/>
    <xf numFmtId="0" fontId="17" fillId="0" borderId="0" xfId="0" applyFont="1" applyFill="1" applyAlignment="1">
      <alignment horizontal="left"/>
    </xf>
    <xf numFmtId="0" fontId="14" fillId="0" borderId="1" xfId="0" applyFont="1" applyFill="1" applyBorder="1"/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1" fillId="0" borderId="4" xfId="6" applyNumberFormat="1" applyFont="1" applyFill="1" applyBorder="1"/>
    <xf numFmtId="9" fontId="10" fillId="0" borderId="0" xfId="3" applyNumberFormat="1" applyFont="1" applyFill="1" applyBorder="1"/>
    <xf numFmtId="167" fontId="4" fillId="0" borderId="0" xfId="6" applyNumberFormat="1" applyFont="1" applyFill="1" applyBorder="1" applyAlignment="1"/>
    <xf numFmtId="5" fontId="4" fillId="0" borderId="0" xfId="0" applyNumberFormat="1" applyFont="1" applyFill="1" applyBorder="1" applyAlignment="1"/>
    <xf numFmtId="166" fontId="4" fillId="0" borderId="0" xfId="3" applyNumberFormat="1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/>
    <xf numFmtId="0" fontId="14" fillId="0" borderId="0" xfId="0" applyFont="1" applyFill="1" applyBorder="1"/>
    <xf numFmtId="0" fontId="3" fillId="0" borderId="1" xfId="0" applyFont="1" applyFill="1" applyBorder="1"/>
    <xf numFmtId="0" fontId="0" fillId="0" borderId="0" xfId="0" applyFill="1" applyAlignment="1">
      <alignment horizontal="left"/>
    </xf>
    <xf numFmtId="43" fontId="4" fillId="0" borderId="1" xfId="3" applyFont="1" applyFill="1" applyBorder="1"/>
    <xf numFmtId="43" fontId="0" fillId="0" borderId="0" xfId="3" applyFont="1" applyFill="1"/>
    <xf numFmtId="43" fontId="29" fillId="0" borderId="0" xfId="3" applyFont="1" applyFill="1"/>
    <xf numFmtId="5" fontId="2" fillId="0" borderId="2" xfId="6" applyNumberFormat="1" applyFill="1" applyBorder="1"/>
    <xf numFmtId="43" fontId="30" fillId="0" borderId="0" xfId="3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43" fontId="2" fillId="0" borderId="0" xfId="3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5" fontId="0" fillId="0" borderId="0" xfId="3" applyNumberFormat="1" applyFont="1" applyFill="1"/>
    <xf numFmtId="0" fontId="0" fillId="0" borderId="0" xfId="0" applyFill="1" applyAlignment="1">
      <alignment wrapText="1"/>
    </xf>
    <xf numFmtId="17" fontId="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0" fillId="0" borderId="0" xfId="0" quotePrefix="1" applyFill="1" applyAlignment="1">
      <alignment wrapText="1"/>
    </xf>
    <xf numFmtId="0" fontId="0" fillId="0" borderId="0" xfId="0" quotePrefix="1" applyFill="1"/>
    <xf numFmtId="44" fontId="0" fillId="0" borderId="0" xfId="0" applyNumberFormat="1" applyFill="1"/>
    <xf numFmtId="0" fontId="2" fillId="0" borderId="0" xfId="0" quotePrefix="1" applyFont="1" applyFill="1" applyAlignment="1">
      <alignment wrapText="1"/>
    </xf>
    <xf numFmtId="44" fontId="2" fillId="0" borderId="0" xfId="6" quotePrefix="1" applyFont="1" applyFill="1" applyBorder="1"/>
    <xf numFmtId="44" fontId="0" fillId="0" borderId="0" xfId="6" applyFont="1" applyFill="1" applyBorder="1"/>
    <xf numFmtId="4" fontId="0" fillId="0" borderId="0" xfId="0" applyNumberFormat="1" applyFill="1"/>
    <xf numFmtId="44" fontId="0" fillId="0" borderId="0" xfId="0" applyNumberFormat="1" applyFill="1" applyBorder="1"/>
    <xf numFmtId="43" fontId="0" fillId="0" borderId="5" xfId="0" applyNumberFormat="1" applyFill="1" applyBorder="1"/>
    <xf numFmtId="5" fontId="0" fillId="0" borderId="0" xfId="0" applyNumberFormat="1" applyFill="1"/>
    <xf numFmtId="43" fontId="0" fillId="0" borderId="0" xfId="0" applyNumberFormat="1" applyFill="1"/>
    <xf numFmtId="0" fontId="2" fillId="0" borderId="0" xfId="0" applyFont="1" applyFill="1" applyAlignment="1">
      <alignment wrapText="1"/>
    </xf>
    <xf numFmtId="164" fontId="0" fillId="0" borderId="0" xfId="0" applyNumberFormat="1" applyFill="1"/>
    <xf numFmtId="0" fontId="19" fillId="0" borderId="0" xfId="0" applyFont="1" applyFill="1"/>
    <xf numFmtId="0" fontId="22" fillId="0" borderId="4" xfId="0" applyFont="1" applyFill="1" applyBorder="1" applyAlignment="1">
      <alignment vertical="center"/>
    </xf>
    <xf numFmtId="17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left" vertical="center"/>
    </xf>
    <xf numFmtId="166" fontId="23" fillId="0" borderId="0" xfId="3" applyNumberFormat="1" applyFont="1" applyFill="1" applyAlignment="1">
      <alignment vertical="center"/>
    </xf>
    <xf numFmtId="166" fontId="19" fillId="0" borderId="0" xfId="0" applyNumberFormat="1" applyFont="1" applyFill="1"/>
    <xf numFmtId="0" fontId="19" fillId="0" borderId="0" xfId="0" applyFont="1" applyFill="1" applyAlignment="1">
      <alignment vertical="center"/>
    </xf>
    <xf numFmtId="166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166" fontId="6" fillId="0" borderId="4" xfId="3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166" fontId="19" fillId="0" borderId="0" xfId="3" applyNumberFormat="1" applyFont="1" applyFill="1"/>
    <xf numFmtId="0" fontId="6" fillId="0" borderId="0" xfId="0" quotePrefix="1" applyFont="1" applyFill="1" applyAlignment="1">
      <alignment horizontal="left" vertical="center"/>
    </xf>
    <xf numFmtId="166" fontId="38" fillId="0" borderId="0" xfId="3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6" fillId="0" borderId="4" xfId="0" applyFont="1" applyFill="1" applyBorder="1" applyAlignment="1">
      <alignment vertical="center"/>
    </xf>
    <xf numFmtId="166" fontId="39" fillId="0" borderId="4" xfId="0" applyNumberFormat="1" applyFont="1" applyFill="1" applyBorder="1" applyAlignment="1">
      <alignment vertical="center"/>
    </xf>
    <xf numFmtId="165" fontId="40" fillId="0" borderId="0" xfId="0" applyNumberFormat="1" applyFont="1" applyFill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5" fontId="6" fillId="0" borderId="3" xfId="0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 vertical="center" wrapText="1"/>
    </xf>
    <xf numFmtId="17" fontId="22" fillId="0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5" fontId="6" fillId="0" borderId="0" xfId="0" applyNumberFormat="1" applyFont="1" applyFill="1" applyBorder="1" applyAlignment="1">
      <alignment vertical="center"/>
    </xf>
    <xf numFmtId="0" fontId="41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24" fillId="0" borderId="0" xfId="0" applyFont="1" applyFill="1"/>
    <xf numFmtId="166" fontId="2" fillId="0" borderId="0" xfId="3" applyNumberForma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5" fontId="35" fillId="0" borderId="0" xfId="3" applyNumberFormat="1" applyFont="1" applyFill="1"/>
    <xf numFmtId="5" fontId="35" fillId="0" borderId="0" xfId="3" applyNumberFormat="1" applyFont="1" applyFill="1" applyProtection="1">
      <protection locked="0"/>
    </xf>
    <xf numFmtId="0" fontId="2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5" fontId="3" fillId="0" borderId="4" xfId="3" applyNumberFormat="1" applyFont="1" applyFill="1" applyBorder="1" applyAlignment="1">
      <alignment horizontal="right" vertical="center"/>
    </xf>
    <xf numFmtId="5" fontId="3" fillId="0" borderId="3" xfId="3" applyNumberFormat="1" applyFont="1" applyFill="1" applyBorder="1" applyAlignment="1">
      <alignment horizontal="right"/>
    </xf>
    <xf numFmtId="166" fontId="2" fillId="0" borderId="0" xfId="3" applyNumberFormat="1" applyFill="1"/>
    <xf numFmtId="5" fontId="0" fillId="0" borderId="1" xfId="0" applyNumberFormat="1" applyFill="1" applyBorder="1"/>
    <xf numFmtId="43" fontId="35" fillId="0" borderId="1" xfId="3" applyNumberFormat="1" applyFont="1" applyFill="1" applyBorder="1"/>
    <xf numFmtId="5" fontId="35" fillId="0" borderId="0" xfId="3" applyNumberFormat="1" applyFont="1" applyFill="1" applyBorder="1"/>
    <xf numFmtId="0" fontId="3" fillId="0" borderId="0" xfId="0" applyFont="1" applyFill="1" applyAlignment="1">
      <alignment horizontal="center"/>
    </xf>
    <xf numFmtId="5" fontId="2" fillId="0" borderId="0" xfId="3" applyNumberFormat="1" applyFill="1" applyBorder="1"/>
    <xf numFmtId="0" fontId="4" fillId="0" borderId="0" xfId="0" applyFont="1" applyFill="1" applyAlignment="1">
      <alignment vertical="top"/>
    </xf>
    <xf numFmtId="5" fontId="3" fillId="0" borderId="0" xfId="3" applyNumberFormat="1" applyFont="1" applyFill="1" applyBorder="1" applyAlignment="1">
      <alignment horizontal="right"/>
    </xf>
    <xf numFmtId="166" fontId="2" fillId="0" borderId="0" xfId="3" applyNumberFormat="1" applyFill="1" applyBorder="1"/>
    <xf numFmtId="168" fontId="2" fillId="0" borderId="0" xfId="3" applyNumberFormat="1" applyFill="1" applyBorder="1"/>
    <xf numFmtId="5" fontId="0" fillId="0" borderId="1" xfId="3" applyNumberFormat="1" applyFont="1" applyFill="1" applyBorder="1"/>
    <xf numFmtId="168" fontId="3" fillId="0" borderId="0" xfId="3" applyNumberFormat="1" applyFont="1" applyFill="1" applyBorder="1"/>
    <xf numFmtId="168" fontId="4" fillId="0" borderId="0" xfId="3" applyNumberFormat="1" applyFont="1" applyFill="1" applyBorder="1"/>
    <xf numFmtId="5" fontId="4" fillId="0" borderId="1" xfId="0" applyNumberFormat="1" applyFont="1" applyFill="1" applyBorder="1"/>
    <xf numFmtId="168" fontId="3" fillId="0" borderId="0" xfId="3" applyNumberFormat="1" applyFont="1" applyFill="1" applyBorder="1" applyAlignment="1">
      <alignment horizontal="right"/>
    </xf>
    <xf numFmtId="166" fontId="35" fillId="0" borderId="0" xfId="3" applyNumberFormat="1" applyFont="1" applyFill="1"/>
    <xf numFmtId="166" fontId="0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2" fillId="0" borderId="0" xfId="6" applyNumberFormat="1" applyFill="1"/>
    <xf numFmtId="165" fontId="2" fillId="0" borderId="0" xfId="6" applyNumberFormat="1" applyFill="1" applyBorder="1"/>
    <xf numFmtId="165" fontId="2" fillId="0" borderId="0" xfId="6" applyNumberFormat="1" applyFill="1"/>
    <xf numFmtId="164" fontId="2" fillId="0" borderId="0" xfId="3" applyNumberFormat="1" applyFill="1" applyBorder="1"/>
    <xf numFmtId="164" fontId="0" fillId="0" borderId="1" xfId="0" applyNumberFormat="1" applyFill="1" applyBorder="1"/>
    <xf numFmtId="164" fontId="3" fillId="0" borderId="0" xfId="3" applyNumberFormat="1" applyFont="1" applyFill="1" applyBorder="1"/>
    <xf numFmtId="164" fontId="3" fillId="0" borderId="4" xfId="0" applyNumberFormat="1" applyFont="1" applyFill="1" applyBorder="1"/>
    <xf numFmtId="164" fontId="0" fillId="0" borderId="0" xfId="0" applyNumberFormat="1" applyFill="1" applyBorder="1"/>
    <xf numFmtId="5" fontId="8" fillId="0" borderId="4" xfId="0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horizontal="right"/>
    </xf>
    <xf numFmtId="164" fontId="8" fillId="0" borderId="4" xfId="3" applyNumberFormat="1" applyFont="1" applyFill="1" applyBorder="1" applyAlignment="1">
      <alignment horizontal="right"/>
    </xf>
    <xf numFmtId="170" fontId="36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4" fillId="0" borderId="0" xfId="3" applyNumberFormat="1" applyFont="1" applyFill="1"/>
    <xf numFmtId="5" fontId="14" fillId="0" borderId="0" xfId="6" applyNumberFormat="1" applyFont="1" applyFill="1" applyBorder="1"/>
    <xf numFmtId="164" fontId="28" fillId="0" borderId="0" xfId="3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5" fontId="35" fillId="0" borderId="0" xfId="6" applyNumberFormat="1" applyFont="1" applyFill="1"/>
    <xf numFmtId="1" fontId="0" fillId="0" borderId="0" xfId="0" applyNumberFormat="1" applyFill="1"/>
    <xf numFmtId="0" fontId="3" fillId="0" borderId="3" xfId="0" applyFont="1" applyFill="1" applyBorder="1" applyAlignment="1">
      <alignment horizontal="center" vertical="center"/>
    </xf>
    <xf numFmtId="5" fontId="3" fillId="0" borderId="3" xfId="0" applyNumberFormat="1" applyFont="1" applyFill="1" applyBorder="1" applyAlignment="1">
      <alignment vertical="center"/>
    </xf>
    <xf numFmtId="164" fontId="3" fillId="0" borderId="0" xfId="0" applyNumberFormat="1" applyFont="1" applyFill="1"/>
    <xf numFmtId="166" fontId="4" fillId="0" borderId="0" xfId="3" applyNumberFormat="1" applyFont="1" applyFill="1"/>
    <xf numFmtId="0" fontId="3" fillId="0" borderId="4" xfId="0" applyFont="1" applyFill="1" applyBorder="1"/>
    <xf numFmtId="5" fontId="3" fillId="0" borderId="4" xfId="3" applyNumberFormat="1" applyFont="1" applyFill="1" applyBorder="1"/>
    <xf numFmtId="169" fontId="3" fillId="0" borderId="1" xfId="0" applyNumberFormat="1" applyFont="1" applyFill="1" applyBorder="1" applyAlignment="1">
      <alignment horizontal="center"/>
    </xf>
    <xf numFmtId="5" fontId="35" fillId="0" borderId="0" xfId="0" applyNumberFormat="1" applyFont="1" applyFill="1" applyBorder="1"/>
    <xf numFmtId="5" fontId="3" fillId="0" borderId="4" xfId="0" applyNumberFormat="1" applyFont="1" applyFill="1" applyBorder="1"/>
    <xf numFmtId="10" fontId="4" fillId="0" borderId="0" xfId="18" applyNumberFormat="1" applyFont="1" applyFill="1" applyBorder="1"/>
    <xf numFmtId="5" fontId="4" fillId="0" borderId="0" xfId="1" applyNumberFormat="1" applyFont="1" applyFill="1" applyBorder="1"/>
    <xf numFmtId="5" fontId="4" fillId="0" borderId="0" xfId="0" applyNumberFormat="1" applyFont="1" applyFill="1" applyBorder="1" applyAlignment="1">
      <alignment vertical="center"/>
    </xf>
    <xf numFmtId="5" fontId="35" fillId="0" borderId="5" xfId="6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9" fontId="4" fillId="0" borderId="0" xfId="3" applyNumberFormat="1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4" fontId="0" fillId="0" borderId="0" xfId="6" applyFont="1" applyFill="1"/>
    <xf numFmtId="43" fontId="4" fillId="0" borderId="0" xfId="3" applyFont="1" applyFill="1" applyBorder="1"/>
    <xf numFmtId="7" fontId="4" fillId="0" borderId="0" xfId="0" applyNumberFormat="1" applyFont="1" applyFill="1" applyBorder="1"/>
    <xf numFmtId="43" fontId="3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4" fillId="0" borderId="0" xfId="4" applyFont="1" applyFill="1" applyBorder="1"/>
    <xf numFmtId="43" fontId="4" fillId="0" borderId="0" xfId="4" applyFont="1" applyFill="1" applyBorder="1" applyAlignment="1">
      <alignment horizontal="center"/>
    </xf>
    <xf numFmtId="10" fontId="4" fillId="0" borderId="0" xfId="19" applyNumberFormat="1" applyFont="1" applyFill="1" applyBorder="1"/>
    <xf numFmtId="10" fontId="0" fillId="0" borderId="0" xfId="18" applyNumberFormat="1" applyFont="1" applyFill="1"/>
    <xf numFmtId="0" fontId="2" fillId="0" borderId="0" xfId="0" applyFont="1" applyFill="1" applyAlignment="1">
      <alignment horizontal="right"/>
    </xf>
    <xf numFmtId="43" fontId="31" fillId="0" borderId="0" xfId="3" applyFont="1" applyFill="1"/>
    <xf numFmtId="166" fontId="4" fillId="0" borderId="0" xfId="4" applyNumberFormat="1" applyFont="1" applyFill="1"/>
    <xf numFmtId="43" fontId="4" fillId="0" borderId="0" xfId="4" applyFont="1" applyFill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right"/>
    </xf>
    <xf numFmtId="5" fontId="4" fillId="0" borderId="0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5" fontId="35" fillId="0" borderId="0" xfId="6" applyNumberFormat="1" applyFont="1" applyFill="1" applyBorder="1" applyAlignment="1">
      <alignment horizontal="right"/>
    </xf>
    <xf numFmtId="164" fontId="37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5" fontId="4" fillId="0" borderId="0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" fontId="4" fillId="0" borderId="4" xfId="6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5" fontId="4" fillId="0" borderId="1" xfId="6" applyNumberFormat="1" applyFont="1" applyFill="1" applyBorder="1" applyAlignment="1">
      <alignment horizontal="right" vertical="center"/>
    </xf>
    <xf numFmtId="5" fontId="3" fillId="0" borderId="5" xfId="6" applyNumberFormat="1" applyFont="1" applyFill="1" applyBorder="1" applyAlignment="1">
      <alignment horizontal="right" vertical="center"/>
    </xf>
    <xf numFmtId="5" fontId="3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71" fontId="38" fillId="0" borderId="0" xfId="0" applyNumberFormat="1" applyFont="1" applyFill="1" applyAlignment="1">
      <alignment horizontal="center"/>
    </xf>
  </cellXfs>
  <cellStyles count="24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2 3" xfId="22"/>
    <cellStyle name="Normal 2 3" xfId="13"/>
    <cellStyle name="Normal 3" xfId="14"/>
    <cellStyle name="Normal 4" xfId="15"/>
    <cellStyle name="Normal 4 2" xfId="23"/>
    <cellStyle name="Normal 5" xfId="16"/>
    <cellStyle name="Normal 5 2" xfId="21"/>
    <cellStyle name="Normal 6" xfId="17"/>
    <cellStyle name="Percent" xfId="18" builtinId="5"/>
    <cellStyle name="Percent 2" xfId="19"/>
    <cellStyle name="Percent 3" xfId="20"/>
  </cellStyles>
  <dxfs count="1"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5"/>
  <sheetViews>
    <sheetView tabSelected="1" workbookViewId="0"/>
  </sheetViews>
  <sheetFormatPr defaultRowHeight="12.75"/>
  <cols>
    <col min="1" max="1" width="9.140625" style="4"/>
    <col min="2" max="2" width="39.28515625" style="4" bestFit="1" customWidth="1"/>
    <col min="3" max="6" width="14" style="4" bestFit="1" customWidth="1"/>
    <col min="7" max="12" width="13.5703125" style="4" bestFit="1" customWidth="1"/>
    <col min="13" max="14" width="14" style="4" bestFit="1" customWidth="1"/>
    <col min="15" max="15" width="78.85546875" style="4" bestFit="1" customWidth="1"/>
    <col min="16" max="16" width="174" style="4" bestFit="1" customWidth="1"/>
    <col min="17" max="16384" width="9.140625" style="4"/>
  </cols>
  <sheetData>
    <row r="1" spans="1:15">
      <c r="O1" s="3" t="s">
        <v>155</v>
      </c>
    </row>
    <row r="2" spans="1:15">
      <c r="C2" s="141">
        <v>43861</v>
      </c>
      <c r="D2" s="141">
        <f>EOMONTH(C2,1)</f>
        <v>43890</v>
      </c>
      <c r="E2" s="141">
        <f t="shared" ref="E2:N2" si="0">EOMONTH(D2,1)</f>
        <v>43921</v>
      </c>
      <c r="F2" s="141">
        <f t="shared" si="0"/>
        <v>43951</v>
      </c>
      <c r="G2" s="141">
        <f t="shared" si="0"/>
        <v>43982</v>
      </c>
      <c r="H2" s="141">
        <f t="shared" si="0"/>
        <v>44012</v>
      </c>
      <c r="I2" s="141">
        <f t="shared" si="0"/>
        <v>44043</v>
      </c>
      <c r="J2" s="141">
        <f t="shared" si="0"/>
        <v>44074</v>
      </c>
      <c r="K2" s="141">
        <f t="shared" si="0"/>
        <v>44104</v>
      </c>
      <c r="L2" s="141">
        <f t="shared" si="0"/>
        <v>44135</v>
      </c>
      <c r="M2" s="141">
        <f t="shared" si="0"/>
        <v>44165</v>
      </c>
      <c r="N2" s="141">
        <f t="shared" si="0"/>
        <v>44196</v>
      </c>
    </row>
    <row r="3" spans="1:15">
      <c r="A3" s="25" t="s">
        <v>161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1:15">
      <c r="B4" s="77" t="s">
        <v>11</v>
      </c>
      <c r="C4" s="79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1:15">
      <c r="A5" s="212">
        <f>'WA Summary '!A15</f>
        <v>9</v>
      </c>
      <c r="B5" s="2" t="s">
        <v>3</v>
      </c>
      <c r="C5" s="213">
        <v>11810646.23</v>
      </c>
      <c r="D5" s="214">
        <v>10948943.210000001</v>
      </c>
      <c r="E5" s="214">
        <v>10208755.66</v>
      </c>
      <c r="F5" s="214">
        <v>9754466.1899999995</v>
      </c>
      <c r="G5" s="214">
        <v>7204007.3300000001</v>
      </c>
      <c r="H5" s="214">
        <v>6832768.3600000003</v>
      </c>
      <c r="I5" s="214">
        <v>7367141.2599999998</v>
      </c>
      <c r="J5" s="214">
        <v>8064915.6600000001</v>
      </c>
      <c r="K5" s="214">
        <v>7448796.1699999999</v>
      </c>
      <c r="L5" s="214">
        <v>7999787.46</v>
      </c>
      <c r="M5" s="214">
        <v>11642227.199999999</v>
      </c>
      <c r="N5" s="214">
        <v>12112599.34</v>
      </c>
    </row>
    <row r="6" spans="1:15">
      <c r="A6" s="212">
        <f>'WA Summary '!A16</f>
        <v>10</v>
      </c>
      <c r="B6" s="2" t="s">
        <v>6</v>
      </c>
      <c r="C6" s="213">
        <v>-5410854.46</v>
      </c>
      <c r="D6" s="214">
        <v>-3688134.45</v>
      </c>
      <c r="E6" s="214">
        <v>-4363040.83</v>
      </c>
      <c r="F6" s="214">
        <v>-6216671.5899999999</v>
      </c>
      <c r="G6" s="214">
        <v>-3992970.36</v>
      </c>
      <c r="H6" s="214">
        <v>-3782255.59</v>
      </c>
      <c r="I6" s="214">
        <v>-5325599.3499999996</v>
      </c>
      <c r="J6" s="214">
        <v>-3215250.64</v>
      </c>
      <c r="K6" s="214">
        <v>-4016772.06</v>
      </c>
      <c r="L6" s="214">
        <v>-3304258.83</v>
      </c>
      <c r="M6" s="214">
        <v>-4468024.59</v>
      </c>
      <c r="N6" s="214">
        <v>-6320022.7000000002</v>
      </c>
    </row>
    <row r="7" spans="1:15">
      <c r="A7" s="212">
        <f>'WA Summary '!A17</f>
        <v>11</v>
      </c>
      <c r="B7" s="2" t="s">
        <v>4</v>
      </c>
      <c r="C7" s="213">
        <v>2892906.32</v>
      </c>
      <c r="D7" s="214">
        <v>2671552.1800000002</v>
      </c>
      <c r="E7" s="214">
        <v>2768328.21</v>
      </c>
      <c r="F7" s="214">
        <v>2491504.9500000002</v>
      </c>
      <c r="G7" s="214">
        <v>1551263.17</v>
      </c>
      <c r="H7" s="214">
        <v>1358750.78</v>
      </c>
      <c r="I7" s="214">
        <v>2219592.2200000002</v>
      </c>
      <c r="J7" s="214">
        <v>2478124.66</v>
      </c>
      <c r="K7" s="214">
        <v>2578207.41</v>
      </c>
      <c r="L7" s="214">
        <v>2592986.98</v>
      </c>
      <c r="M7" s="214">
        <v>2566832.77</v>
      </c>
      <c r="N7" s="214">
        <v>2703883.73</v>
      </c>
    </row>
    <row r="8" spans="1:15">
      <c r="A8" s="212">
        <f>'WA Summary '!A18</f>
        <v>12</v>
      </c>
      <c r="B8" s="2" t="s">
        <v>5</v>
      </c>
      <c r="C8" s="213">
        <v>8800466.8599999994</v>
      </c>
      <c r="D8" s="214">
        <v>7046200.3099999996</v>
      </c>
      <c r="E8" s="214">
        <v>6405716.6299999999</v>
      </c>
      <c r="F8" s="214">
        <v>4139184.54</v>
      </c>
      <c r="G8" s="214">
        <v>1426182.27</v>
      </c>
      <c r="H8" s="214">
        <v>1698326.77</v>
      </c>
      <c r="I8" s="214">
        <v>5653252.0099999998</v>
      </c>
      <c r="J8" s="214">
        <v>7341418.3399999999</v>
      </c>
      <c r="K8" s="214">
        <v>6493557.54</v>
      </c>
      <c r="L8" s="214">
        <v>6103470.4500000002</v>
      </c>
      <c r="M8" s="214">
        <v>6561954.4000000004</v>
      </c>
      <c r="N8" s="214">
        <v>8397560.5700000003</v>
      </c>
    </row>
    <row r="9" spans="1:15">
      <c r="A9" s="212">
        <f>'WA Summary '!A19</f>
        <v>13</v>
      </c>
      <c r="B9" s="2" t="s">
        <v>42</v>
      </c>
      <c r="C9" s="213">
        <v>-1062694.25</v>
      </c>
      <c r="D9" s="214">
        <v>-1178480.71</v>
      </c>
      <c r="E9" s="214">
        <v>-1177115.3999999999</v>
      </c>
      <c r="F9" s="214">
        <v>-1141305.3700000001</v>
      </c>
      <c r="G9" s="214">
        <v>-1253487.52</v>
      </c>
      <c r="H9" s="214">
        <v>-1398528.7</v>
      </c>
      <c r="I9" s="214">
        <v>-1450378.42</v>
      </c>
      <c r="J9" s="214">
        <v>-1346818.86</v>
      </c>
      <c r="K9" s="214">
        <v>-1372212.68</v>
      </c>
      <c r="L9" s="214">
        <v>-1319316.33</v>
      </c>
      <c r="M9" s="214">
        <v>-1257650.3400000001</v>
      </c>
      <c r="N9" s="214">
        <v>-1191496.26</v>
      </c>
    </row>
    <row r="10" spans="1:15">
      <c r="A10" s="212">
        <f>'WA Summary '!A20</f>
        <v>14</v>
      </c>
      <c r="B10" s="2" t="s">
        <v>36</v>
      </c>
      <c r="C10" s="213">
        <v>1386858.05</v>
      </c>
      <c r="D10" s="214">
        <v>1618473.12</v>
      </c>
      <c r="E10" s="214">
        <v>1456728.23</v>
      </c>
      <c r="F10" s="214">
        <v>1423781.13</v>
      </c>
      <c r="G10" s="214">
        <v>1394142.28</v>
      </c>
      <c r="H10" s="214">
        <v>1391307.66</v>
      </c>
      <c r="I10" s="214">
        <v>1452951.07</v>
      </c>
      <c r="J10" s="214">
        <v>1443201.71</v>
      </c>
      <c r="K10" s="214">
        <v>1567440.78</v>
      </c>
      <c r="L10" s="214">
        <v>1406860.96</v>
      </c>
      <c r="M10" s="214">
        <v>1416448.5</v>
      </c>
      <c r="N10" s="214">
        <v>1446134.29</v>
      </c>
    </row>
    <row r="11" spans="1:15">
      <c r="A11" s="212">
        <f>'WA Summary '!A21</f>
        <v>15</v>
      </c>
      <c r="B11" s="2" t="s">
        <v>37</v>
      </c>
      <c r="C11" s="213">
        <v>34250</v>
      </c>
      <c r="D11" s="214">
        <v>34250</v>
      </c>
      <c r="E11" s="214">
        <v>34250</v>
      </c>
      <c r="F11" s="214">
        <v>34250</v>
      </c>
      <c r="G11" s="214">
        <v>34250</v>
      </c>
      <c r="H11" s="214">
        <v>34250</v>
      </c>
      <c r="I11" s="214">
        <v>34250</v>
      </c>
      <c r="J11" s="214">
        <v>34250</v>
      </c>
      <c r="K11" s="214">
        <v>34250</v>
      </c>
      <c r="L11" s="214">
        <v>34250</v>
      </c>
      <c r="M11" s="214">
        <v>34250</v>
      </c>
      <c r="N11" s="214">
        <v>34250</v>
      </c>
    </row>
    <row r="12" spans="1:15">
      <c r="A12" s="88">
        <f>'WA Summary '!A22</f>
        <v>16</v>
      </c>
      <c r="B12" s="3" t="s">
        <v>167</v>
      </c>
      <c r="C12" s="214">
        <v>-165583.32999999999</v>
      </c>
      <c r="D12" s="214">
        <v>-165583.32999999999</v>
      </c>
      <c r="E12" s="214">
        <v>-165583.32999999999</v>
      </c>
      <c r="F12" s="214">
        <v>-165583.32999999999</v>
      </c>
      <c r="G12" s="214">
        <v>-165583.32999999999</v>
      </c>
      <c r="H12" s="214">
        <v>-165583.32999999999</v>
      </c>
      <c r="I12" s="214">
        <v>-165583.32999999999</v>
      </c>
      <c r="J12" s="214">
        <v>-165583.32999999999</v>
      </c>
      <c r="K12" s="214">
        <v>-165583.32999999999</v>
      </c>
      <c r="L12" s="214">
        <v>-165583.32999999999</v>
      </c>
      <c r="M12" s="214">
        <v>-165583.32999999999</v>
      </c>
      <c r="N12" s="214">
        <v>-165583.32999999999</v>
      </c>
      <c r="O12" s="85" t="s">
        <v>182</v>
      </c>
    </row>
    <row r="13" spans="1:15">
      <c r="A13" s="88">
        <f>'WA Summary '!A27</f>
        <v>21</v>
      </c>
      <c r="B13" s="2" t="s">
        <v>71</v>
      </c>
      <c r="C13" s="215">
        <v>0.6573</v>
      </c>
      <c r="D13" s="215">
        <v>0.6573</v>
      </c>
      <c r="E13" s="215">
        <v>0.6573</v>
      </c>
      <c r="F13" s="215">
        <v>0.6573</v>
      </c>
      <c r="G13" s="216">
        <v>0.6573</v>
      </c>
      <c r="H13" s="216">
        <v>0.6573</v>
      </c>
      <c r="I13" s="216">
        <v>0.6573</v>
      </c>
      <c r="J13" s="216">
        <v>0.6573</v>
      </c>
      <c r="K13" s="216">
        <v>0.6573</v>
      </c>
      <c r="L13" s="216">
        <v>0.6573</v>
      </c>
      <c r="M13" s="216">
        <v>0.6573</v>
      </c>
      <c r="N13" s="216">
        <v>0.6573</v>
      </c>
    </row>
    <row r="14" spans="1:15"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6" spans="1:15"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</row>
    <row r="17" spans="1:16">
      <c r="A17" s="25" t="s">
        <v>154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</row>
    <row r="18" spans="1:16">
      <c r="B18" s="51" t="s">
        <v>12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6">
      <c r="A19" s="67">
        <f>'WA Monthly'!A8</f>
        <v>2</v>
      </c>
      <c r="B19" s="2" t="s">
        <v>107</v>
      </c>
      <c r="C19" s="80">
        <f>1399478.7-0.39</f>
        <v>1399478.31</v>
      </c>
      <c r="D19" s="80">
        <v>1399478.7</v>
      </c>
      <c r="E19" s="80">
        <v>1399478.7</v>
      </c>
      <c r="F19" s="80"/>
      <c r="G19" s="80"/>
      <c r="H19" s="80"/>
      <c r="I19" s="80"/>
      <c r="J19" s="80"/>
      <c r="K19" s="80"/>
      <c r="L19" s="80"/>
      <c r="M19" s="80"/>
      <c r="N19" s="80"/>
    </row>
    <row r="20" spans="1:16">
      <c r="A20" s="67">
        <f>'WA Monthly'!A9</f>
        <v>3</v>
      </c>
      <c r="B20" s="2" t="s">
        <v>108</v>
      </c>
      <c r="C20" s="80">
        <f>128229.09-3.36+186</f>
        <v>128411.73</v>
      </c>
      <c r="D20" s="80">
        <f>137329.9+1.03</f>
        <v>137330.93</v>
      </c>
      <c r="E20" s="80">
        <f>81844.87-1.07</f>
        <v>81843.8</v>
      </c>
      <c r="F20" s="80"/>
      <c r="G20" s="80"/>
      <c r="H20" s="80"/>
      <c r="I20" s="80"/>
      <c r="J20" s="80"/>
      <c r="K20" s="80"/>
      <c r="L20" s="86"/>
      <c r="M20" s="80"/>
      <c r="N20" s="80"/>
    </row>
    <row r="21" spans="1:16">
      <c r="A21" s="67">
        <f>'WA Monthly'!A10</f>
        <v>4</v>
      </c>
      <c r="B21" s="87" t="s">
        <v>184</v>
      </c>
      <c r="C21" s="80">
        <v>207000</v>
      </c>
      <c r="D21" s="80">
        <v>207000</v>
      </c>
      <c r="E21" s="80">
        <v>207000</v>
      </c>
      <c r="F21" s="80"/>
      <c r="G21" s="80"/>
      <c r="H21" s="80"/>
      <c r="I21" s="80"/>
      <c r="J21" s="80"/>
      <c r="K21" s="80"/>
      <c r="L21" s="80"/>
      <c r="M21" s="80"/>
      <c r="N21" s="80"/>
    </row>
    <row r="22" spans="1:16">
      <c r="A22" s="67">
        <f>'WA Monthly'!A11</f>
        <v>5</v>
      </c>
      <c r="B22" s="2" t="s">
        <v>109</v>
      </c>
      <c r="C22" s="80">
        <v>845499.03</v>
      </c>
      <c r="D22" s="80">
        <v>845499.03</v>
      </c>
      <c r="E22" s="80">
        <v>845499.03</v>
      </c>
      <c r="F22" s="80"/>
      <c r="G22" s="80"/>
      <c r="H22" s="80"/>
      <c r="I22" s="80"/>
      <c r="J22" s="80"/>
      <c r="K22" s="80"/>
      <c r="L22" s="80"/>
      <c r="M22" s="80"/>
      <c r="N22" s="80"/>
    </row>
    <row r="23" spans="1:16" ht="14.25">
      <c r="A23" s="67">
        <f>'WA Monthly'!A12</f>
        <v>6</v>
      </c>
      <c r="B23" s="3" t="s">
        <v>110</v>
      </c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0"/>
      <c r="N23" s="80"/>
    </row>
    <row r="24" spans="1:16">
      <c r="A24" s="67">
        <f>'WA Monthly'!A13</f>
        <v>7</v>
      </c>
      <c r="B24" s="4" t="s">
        <v>104</v>
      </c>
      <c r="C24" s="80">
        <v>968.55</v>
      </c>
      <c r="D24" s="80">
        <v>1161.75</v>
      </c>
      <c r="E24" s="80">
        <v>1170.1500000000001</v>
      </c>
      <c r="F24" s="80"/>
      <c r="G24" s="80"/>
      <c r="H24" s="80"/>
      <c r="I24" s="80"/>
      <c r="J24" s="80"/>
      <c r="K24" s="80"/>
      <c r="L24" s="80"/>
      <c r="M24" s="80"/>
      <c r="N24" s="80"/>
    </row>
    <row r="25" spans="1:16">
      <c r="A25" s="67">
        <f>'WA Monthly'!A14</f>
        <v>8</v>
      </c>
      <c r="B25" s="25" t="s">
        <v>160</v>
      </c>
      <c r="C25" s="81">
        <f>SUM(C26:C34)</f>
        <v>135480.57999999999</v>
      </c>
      <c r="D25" s="81">
        <f t="shared" ref="D25:N25" si="1">SUM(D26:D34)</f>
        <v>178167.95</v>
      </c>
      <c r="E25" s="81">
        <f t="shared" si="1"/>
        <v>136054.45000000001</v>
      </c>
      <c r="F25" s="81">
        <f t="shared" si="1"/>
        <v>0</v>
      </c>
      <c r="G25" s="81">
        <f t="shared" si="1"/>
        <v>0</v>
      </c>
      <c r="H25" s="81">
        <f t="shared" si="1"/>
        <v>0</v>
      </c>
      <c r="I25" s="81">
        <f t="shared" si="1"/>
        <v>0</v>
      </c>
      <c r="J25" s="81">
        <f t="shared" si="1"/>
        <v>0</v>
      </c>
      <c r="K25" s="81">
        <f t="shared" si="1"/>
        <v>0</v>
      </c>
      <c r="L25" s="81">
        <f t="shared" si="1"/>
        <v>0</v>
      </c>
      <c r="M25" s="81">
        <f t="shared" si="1"/>
        <v>0</v>
      </c>
      <c r="N25" s="81">
        <f t="shared" si="1"/>
        <v>0</v>
      </c>
      <c r="P25" s="27"/>
    </row>
    <row r="26" spans="1:16">
      <c r="A26" s="67"/>
      <c r="B26" s="207" t="s">
        <v>156</v>
      </c>
      <c r="C26" s="80">
        <v>38805.410000000003</v>
      </c>
      <c r="D26" s="80">
        <v>72897.77</v>
      </c>
      <c r="E26" s="80">
        <v>40608.03</v>
      </c>
      <c r="F26" s="80"/>
      <c r="G26" s="80"/>
      <c r="H26" s="80"/>
      <c r="I26" s="80"/>
      <c r="J26" s="80"/>
      <c r="K26" s="80"/>
      <c r="L26" s="80"/>
      <c r="M26" s="80"/>
      <c r="N26" s="80"/>
    </row>
    <row r="27" spans="1:16">
      <c r="A27" s="67"/>
      <c r="B27" s="207" t="s">
        <v>157</v>
      </c>
      <c r="C27" s="80">
        <v>13740.48</v>
      </c>
      <c r="D27" s="80">
        <v>11595.28</v>
      </c>
      <c r="E27" s="80">
        <v>20321.330000000002</v>
      </c>
      <c r="F27" s="80"/>
      <c r="G27" s="80"/>
      <c r="H27" s="80"/>
      <c r="I27" s="80"/>
      <c r="J27" s="80"/>
      <c r="K27" s="80"/>
      <c r="L27" s="80"/>
      <c r="M27" s="80"/>
      <c r="N27" s="80"/>
    </row>
    <row r="28" spans="1:16">
      <c r="A28" s="67"/>
      <c r="B28" s="207" t="s">
        <v>171</v>
      </c>
      <c r="C28" s="80">
        <v>0</v>
      </c>
      <c r="D28" s="80">
        <v>0</v>
      </c>
      <c r="E28" s="80">
        <v>0</v>
      </c>
      <c r="F28" s="80"/>
      <c r="G28" s="80"/>
      <c r="H28" s="80"/>
      <c r="I28" s="80"/>
      <c r="J28" s="80"/>
      <c r="K28" s="80"/>
      <c r="L28" s="80"/>
      <c r="M28" s="80"/>
      <c r="N28" s="80"/>
    </row>
    <row r="29" spans="1:16">
      <c r="A29" s="67"/>
      <c r="B29" s="207" t="s">
        <v>158</v>
      </c>
      <c r="C29" s="80">
        <v>17334.23</v>
      </c>
      <c r="D29" s="80">
        <v>12691.55</v>
      </c>
      <c r="E29" s="80">
        <v>6316.97</v>
      </c>
      <c r="F29" s="80"/>
      <c r="G29" s="80"/>
      <c r="H29" s="80"/>
      <c r="I29" s="80"/>
      <c r="J29" s="80"/>
      <c r="K29" s="80"/>
      <c r="L29" s="80"/>
      <c r="M29" s="80"/>
      <c r="N29" s="80"/>
    </row>
    <row r="30" spans="1:16">
      <c r="A30" s="67"/>
      <c r="B30" s="217" t="s">
        <v>174</v>
      </c>
      <c r="C30" s="80">
        <v>3742.45</v>
      </c>
      <c r="D30" s="80">
        <v>6636.86</v>
      </c>
      <c r="E30" s="80">
        <v>2717.1</v>
      </c>
      <c r="F30" s="80"/>
      <c r="G30" s="80"/>
      <c r="H30" s="80"/>
      <c r="I30" s="80"/>
      <c r="J30" s="80"/>
      <c r="K30" s="80"/>
      <c r="L30" s="80"/>
      <c r="M30" s="80"/>
      <c r="N30" s="80"/>
    </row>
    <row r="31" spans="1:16">
      <c r="A31" s="67"/>
      <c r="B31" s="217" t="s">
        <v>175</v>
      </c>
      <c r="C31" s="80">
        <v>55181.48</v>
      </c>
      <c r="D31" s="80">
        <v>63304.66</v>
      </c>
      <c r="E31" s="80">
        <v>53315.89</v>
      </c>
      <c r="F31" s="80"/>
      <c r="G31" s="80"/>
      <c r="H31" s="80"/>
      <c r="I31" s="80"/>
      <c r="J31" s="80"/>
      <c r="K31" s="80"/>
      <c r="L31" s="80"/>
      <c r="M31" s="80"/>
      <c r="N31" s="80"/>
    </row>
    <row r="32" spans="1:16">
      <c r="A32" s="67"/>
      <c r="B32" s="207" t="s">
        <v>159</v>
      </c>
      <c r="C32" s="80">
        <v>4308.4799999999996</v>
      </c>
      <c r="D32" s="80">
        <v>5505.38</v>
      </c>
      <c r="E32" s="80">
        <v>4227.84</v>
      </c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67"/>
      <c r="B33" s="217" t="s">
        <v>186</v>
      </c>
      <c r="C33" s="80">
        <f>2649.96-368.7</f>
        <v>2281.2600000000002</v>
      </c>
      <c r="D33" s="80">
        <f>3065.64+216.26</f>
        <v>3281.9</v>
      </c>
      <c r="E33" s="80">
        <f>6263.55+111.41</f>
        <v>6374.96</v>
      </c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67"/>
      <c r="B34" s="217" t="s">
        <v>176</v>
      </c>
      <c r="C34" s="80">
        <v>86.79</v>
      </c>
      <c r="D34" s="80">
        <v>2254.5500000000002</v>
      </c>
      <c r="E34" s="80">
        <v>2172.33</v>
      </c>
      <c r="F34" s="80"/>
      <c r="G34" s="80"/>
      <c r="H34" s="80"/>
      <c r="I34" s="80"/>
      <c r="J34" s="80"/>
      <c r="K34" s="80"/>
      <c r="L34" s="80"/>
      <c r="M34" s="80"/>
      <c r="N34" s="80"/>
    </row>
    <row r="35" spans="1:14">
      <c r="A35" s="67">
        <f>'WA Monthly'!A15</f>
        <v>9</v>
      </c>
      <c r="B35" s="85" t="s">
        <v>177</v>
      </c>
      <c r="C35" s="80">
        <v>160535.57999999999</v>
      </c>
      <c r="D35" s="80">
        <v>132053.53</v>
      </c>
      <c r="E35" s="80">
        <f>109927.94-359.84-485.1</f>
        <v>109083</v>
      </c>
      <c r="F35" s="80"/>
      <c r="G35" s="80"/>
      <c r="H35" s="80"/>
      <c r="I35" s="80"/>
      <c r="J35" s="80"/>
      <c r="K35" s="80"/>
      <c r="L35" s="80"/>
      <c r="M35" s="80"/>
      <c r="N35" s="80"/>
    </row>
    <row r="36" spans="1:14">
      <c r="A36" s="67">
        <f>'WA Monthly'!A16</f>
        <v>10</v>
      </c>
      <c r="B36" s="85" t="s">
        <v>214</v>
      </c>
      <c r="C36" s="80">
        <v>220402.28</v>
      </c>
      <c r="D36" s="80">
        <v>348736.64</v>
      </c>
      <c r="E36" s="80">
        <v>173787.24</v>
      </c>
      <c r="F36" s="80"/>
      <c r="G36" s="80"/>
      <c r="H36" s="80"/>
      <c r="I36" s="80"/>
      <c r="J36" s="80"/>
      <c r="K36" s="80"/>
      <c r="L36" s="80"/>
      <c r="M36" s="80"/>
      <c r="N36" s="80"/>
    </row>
    <row r="37" spans="1:14">
      <c r="A37" s="67">
        <f>'WA Monthly'!A17</f>
        <v>11</v>
      </c>
      <c r="B37" s="85" t="s">
        <v>178</v>
      </c>
      <c r="C37" s="80">
        <v>539215.56000000006</v>
      </c>
      <c r="D37" s="80">
        <v>522866.52</v>
      </c>
      <c r="E37" s="80">
        <v>444785.4</v>
      </c>
      <c r="F37" s="80"/>
      <c r="G37" s="80"/>
      <c r="H37" s="80"/>
      <c r="I37" s="80"/>
      <c r="J37" s="80"/>
      <c r="K37" s="80"/>
      <c r="L37" s="80"/>
      <c r="M37" s="80"/>
      <c r="N37" s="80"/>
    </row>
    <row r="38" spans="1:14">
      <c r="A38" s="67">
        <f>'WA Monthly'!A18</f>
        <v>12</v>
      </c>
      <c r="B38" s="85" t="s">
        <v>179</v>
      </c>
      <c r="C38" s="80">
        <f>1477.81-1788.48</f>
        <v>-310.67</v>
      </c>
      <c r="D38" s="80">
        <v>1667.01</v>
      </c>
      <c r="E38" s="80">
        <v>1578.6</v>
      </c>
      <c r="F38" s="80"/>
      <c r="G38" s="80"/>
      <c r="H38" s="80"/>
      <c r="I38" s="80"/>
      <c r="J38" s="80"/>
      <c r="K38" s="80"/>
      <c r="L38" s="80"/>
      <c r="M38" s="80"/>
      <c r="N38" s="80"/>
    </row>
    <row r="39" spans="1:14">
      <c r="A39" s="67">
        <f>'WA Monthly'!A19</f>
        <v>13</v>
      </c>
      <c r="B39" s="3" t="s">
        <v>105</v>
      </c>
      <c r="C39" s="80">
        <f>2407481.68+167.54+7091.73</f>
        <v>2414740.9500000002</v>
      </c>
      <c r="D39" s="80">
        <f>2311087.43+1124.92+4278.98+11394</f>
        <v>2327885.33</v>
      </c>
      <c r="E39" s="80">
        <f>2420195.83+155.26+6768.92</f>
        <v>2427120.0099999998</v>
      </c>
      <c r="F39" s="80"/>
      <c r="G39" s="80"/>
      <c r="H39" s="80"/>
      <c r="I39" s="80"/>
      <c r="J39" s="80"/>
      <c r="K39" s="80"/>
      <c r="L39" s="86"/>
      <c r="M39" s="80"/>
      <c r="N39" s="80"/>
    </row>
    <row r="40" spans="1:14">
      <c r="A40" s="67">
        <f>'WA Monthly'!A20</f>
        <v>14</v>
      </c>
      <c r="B40" s="3" t="s">
        <v>116</v>
      </c>
      <c r="C40" s="80">
        <v>3334132.48</v>
      </c>
      <c r="D40" s="80">
        <v>2160327.6800000002</v>
      </c>
      <c r="E40" s="80">
        <v>2406190.0800000001</v>
      </c>
      <c r="F40" s="80"/>
      <c r="G40" s="80"/>
      <c r="H40" s="80"/>
      <c r="I40" s="80"/>
      <c r="J40" s="80"/>
      <c r="K40" s="80"/>
      <c r="L40" s="80"/>
      <c r="M40" s="80"/>
      <c r="N40" s="80"/>
    </row>
    <row r="41" spans="1:14">
      <c r="A41" s="67"/>
      <c r="B41" s="3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4">
      <c r="A42" s="67"/>
      <c r="B42" s="78" t="s">
        <v>48</v>
      </c>
      <c r="C42" s="218"/>
      <c r="D42" s="218"/>
      <c r="E42" s="218"/>
      <c r="F42" s="218"/>
      <c r="G42" s="81"/>
      <c r="H42" s="81"/>
      <c r="I42" s="81"/>
      <c r="J42" s="81"/>
      <c r="K42" s="81"/>
      <c r="L42" s="81"/>
      <c r="M42" s="218"/>
      <c r="N42" s="218"/>
    </row>
    <row r="43" spans="1:14"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4">
      <c r="B44" s="51" t="s">
        <v>21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>
      <c r="A45" s="67">
        <f>'WA Monthly'!A42</f>
        <v>19</v>
      </c>
      <c r="B45" s="4" t="s">
        <v>27</v>
      </c>
      <c r="C45" s="80">
        <v>-114195.96</v>
      </c>
      <c r="D45" s="80">
        <v>-57978.06</v>
      </c>
      <c r="E45" s="80">
        <v>-77242.25</v>
      </c>
      <c r="F45" s="80"/>
      <c r="G45" s="80"/>
      <c r="H45" s="80"/>
      <c r="I45" s="80"/>
      <c r="J45" s="80"/>
      <c r="K45" s="80"/>
      <c r="L45" s="80"/>
      <c r="M45" s="80"/>
      <c r="N45" s="80"/>
    </row>
    <row r="46" spans="1:14">
      <c r="A46" s="67">
        <f>'WA Monthly'!A43</f>
        <v>20</v>
      </c>
      <c r="B46" s="3" t="s">
        <v>164</v>
      </c>
      <c r="C46" s="80">
        <f>-SUM(1045.5+5766+3065.18+3065.18)</f>
        <v>-12941.86</v>
      </c>
      <c r="D46" s="83">
        <f>-SUM(1016.25+5394+2884.61+2884.61)</f>
        <v>-12179.47</v>
      </c>
      <c r="E46" s="80">
        <f>-SUM(887+5758.25+2990.36+2990.36)</f>
        <v>-12625.97</v>
      </c>
      <c r="F46" s="80"/>
      <c r="G46" s="80"/>
      <c r="H46" s="80"/>
      <c r="I46" s="80"/>
      <c r="J46" s="80"/>
      <c r="K46" s="80"/>
      <c r="L46" s="80"/>
      <c r="M46" s="80"/>
      <c r="N46" s="80"/>
    </row>
    <row r="47" spans="1:14">
      <c r="A47" s="67">
        <f>'WA Monthly'!A44</f>
        <v>21</v>
      </c>
      <c r="B47" s="4" t="s">
        <v>31</v>
      </c>
      <c r="C47" s="80">
        <f>-SUM(9420.08+9420.08+23445.52+4860.45+4860.45+5580)</f>
        <v>-57586.58</v>
      </c>
      <c r="D47" s="83">
        <f>-SUM(7447.28+7447.28+18535.44+4470.64+4470.64+5220)</f>
        <v>-47591.28</v>
      </c>
      <c r="E47" s="80">
        <f>-SUM(9300.15+9300.15+23147.04+3852.68+3852.68+5572.5)</f>
        <v>-55025.2</v>
      </c>
      <c r="F47" s="80"/>
      <c r="G47" s="80"/>
      <c r="H47" s="80"/>
      <c r="I47" s="80"/>
      <c r="J47" s="80"/>
      <c r="K47" s="80"/>
      <c r="L47" s="80"/>
      <c r="M47" s="80"/>
      <c r="N47" s="80"/>
    </row>
    <row r="48" spans="1:14">
      <c r="A48" s="67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spans="1:14">
      <c r="A49" s="67"/>
      <c r="B49" s="51" t="s">
        <v>23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14">
      <c r="A50" s="67">
        <f>'WA Monthly'!A67</f>
        <v>29</v>
      </c>
      <c r="B50" s="4" t="s">
        <v>16</v>
      </c>
      <c r="C50" s="167">
        <v>53540</v>
      </c>
      <c r="D50" s="167">
        <v>47910</v>
      </c>
      <c r="E50" s="167">
        <v>43672</v>
      </c>
      <c r="F50" s="167"/>
      <c r="G50" s="167"/>
      <c r="H50" s="167"/>
      <c r="I50" s="167"/>
      <c r="J50" s="167"/>
      <c r="K50" s="167"/>
      <c r="L50" s="167"/>
      <c r="M50" s="167"/>
      <c r="N50" s="167"/>
    </row>
    <row r="51" spans="1:14">
      <c r="A51" s="67">
        <f>'WA Monthly'!A68</f>
        <v>30</v>
      </c>
      <c r="B51" s="4" t="s">
        <v>25</v>
      </c>
      <c r="C51" s="167">
        <v>94106</v>
      </c>
      <c r="D51" s="167">
        <v>71708</v>
      </c>
      <c r="E51" s="167">
        <v>82836</v>
      </c>
      <c r="F51" s="167"/>
      <c r="G51" s="167"/>
      <c r="H51" s="167"/>
      <c r="I51" s="167"/>
      <c r="J51" s="167"/>
      <c r="K51" s="167"/>
      <c r="L51" s="167"/>
      <c r="M51" s="167"/>
      <c r="N51" s="167"/>
    </row>
    <row r="52" spans="1:14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1:14">
      <c r="A53" s="25" t="s">
        <v>166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</row>
    <row r="54" spans="1:14">
      <c r="A54" s="67">
        <v>8</v>
      </c>
      <c r="B54" s="143" t="s">
        <v>162</v>
      </c>
      <c r="C54" s="167">
        <f>537508770/1000</f>
        <v>537509</v>
      </c>
      <c r="D54" s="167">
        <f>504891976/1000</f>
        <v>504892</v>
      </c>
      <c r="E54" s="167">
        <f>472624763/1000</f>
        <v>472625</v>
      </c>
      <c r="F54" s="167"/>
      <c r="G54" s="167"/>
      <c r="H54" s="167"/>
      <c r="I54" s="167"/>
      <c r="J54" s="167"/>
      <c r="K54" s="167"/>
      <c r="L54" s="167"/>
      <c r="M54" s="167"/>
      <c r="N54" s="167"/>
    </row>
    <row r="55" spans="1:14">
      <c r="A55" s="67">
        <v>10</v>
      </c>
      <c r="B55" s="143" t="s">
        <v>163</v>
      </c>
      <c r="C55" s="167">
        <f>299486124/1000</f>
        <v>299486</v>
      </c>
      <c r="D55" s="167">
        <f>269928387/1000</f>
        <v>269928</v>
      </c>
      <c r="E55" s="167">
        <f>266976274/1000</f>
        <v>266976</v>
      </c>
      <c r="F55" s="167"/>
      <c r="G55" s="167"/>
      <c r="H55" s="167"/>
      <c r="I55" s="167"/>
      <c r="J55" s="167"/>
      <c r="K55" s="167"/>
      <c r="L55" s="167"/>
      <c r="M55" s="167"/>
      <c r="N55" s="167"/>
    </row>
    <row r="56" spans="1:14">
      <c r="A56" s="67">
        <v>12</v>
      </c>
      <c r="B56" s="143" t="s">
        <v>132</v>
      </c>
      <c r="C56" s="219">
        <v>556117</v>
      </c>
      <c r="D56" s="219">
        <v>486363</v>
      </c>
      <c r="E56" s="219">
        <v>477535</v>
      </c>
      <c r="F56" s="219">
        <v>431246</v>
      </c>
      <c r="G56" s="219">
        <v>432473</v>
      </c>
      <c r="H56" s="219">
        <v>424693</v>
      </c>
      <c r="I56" s="219">
        <v>490670</v>
      </c>
      <c r="J56" s="219">
        <v>464617</v>
      </c>
      <c r="K56" s="219">
        <v>435934</v>
      </c>
      <c r="L56" s="219">
        <v>436959</v>
      </c>
      <c r="M56" s="219">
        <v>468856</v>
      </c>
      <c r="N56" s="219">
        <v>553150</v>
      </c>
    </row>
    <row r="57" spans="1:14">
      <c r="A57" s="67">
        <v>14</v>
      </c>
      <c r="B57" s="143" t="s">
        <v>133</v>
      </c>
      <c r="C57" s="220">
        <v>18.11</v>
      </c>
      <c r="D57" s="220">
        <v>18.11</v>
      </c>
      <c r="E57" s="220">
        <v>18.11</v>
      </c>
      <c r="F57" s="220">
        <v>18.11</v>
      </c>
      <c r="G57" s="220">
        <v>18.11</v>
      </c>
      <c r="H57" s="220">
        <v>18.11</v>
      </c>
      <c r="I57" s="220">
        <v>18.11</v>
      </c>
      <c r="J57" s="220">
        <v>18.11</v>
      </c>
      <c r="K57" s="220">
        <v>18.11</v>
      </c>
      <c r="L57" s="220">
        <v>18.11</v>
      </c>
      <c r="M57" s="220">
        <v>18.11</v>
      </c>
      <c r="N57" s="220">
        <v>18.11</v>
      </c>
    </row>
    <row r="58" spans="1:14">
      <c r="A58" s="67"/>
      <c r="B58" s="143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>
      <c r="A59" s="67"/>
      <c r="B59" s="143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1:14"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4"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</row>
    <row r="63" spans="1:14"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</row>
    <row r="64" spans="1:14"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</row>
    <row r="65" spans="3:14"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3:14"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3:14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3:14"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3:14"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</row>
    <row r="70" spans="3:14"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3:14"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3:14"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3:14"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</row>
    <row r="74" spans="3:14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3:14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</row>
    <row r="76" spans="3:14"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</row>
    <row r="77" spans="3:14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</row>
    <row r="78" spans="3:14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</row>
    <row r="79" spans="3:14"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</row>
    <row r="80" spans="3:14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3:14"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3:14"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</row>
    <row r="83" spans="3:14"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</row>
    <row r="84" spans="3:14"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</row>
    <row r="85" spans="3:14"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3:14"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</row>
    <row r="87" spans="3:14"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3:14"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3:14"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3:14"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</row>
    <row r="91" spans="3:14"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3:14"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3:14"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3:14"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</row>
    <row r="95" spans="3:14"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</row>
    <row r="96" spans="3:14"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</row>
    <row r="97" spans="3:14"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</row>
    <row r="98" spans="3:14"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3:14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3:14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3:14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3:14"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</row>
    <row r="103" spans="3:14"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</row>
    <row r="104" spans="3:14"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3:14"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3:14"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</row>
    <row r="107" spans="3:14"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3:14"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3:14"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</row>
    <row r="110" spans="3:14"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  <row r="111" spans="3:14"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</row>
    <row r="112" spans="3:14"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</row>
    <row r="113" spans="3:14"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</row>
    <row r="114" spans="3:14"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</row>
    <row r="115" spans="3:14"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</row>
    <row r="116" spans="3:14"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</row>
    <row r="117" spans="3:14"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</row>
    <row r="118" spans="3:14"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3:14"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3:14"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spans="3:14"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3:14"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3:14"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3:14"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3:14"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</row>
    <row r="126" spans="3:14"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</row>
    <row r="127" spans="3:14"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3:14"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3:14"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3:14"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3:14"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3:14"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</row>
    <row r="133" spans="3:14"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3:14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</row>
    <row r="135" spans="3:14"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3:14"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3:14"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3:14"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3:14"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3:14"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3:14"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3:14"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</row>
    <row r="143" spans="3:14"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3:14"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</row>
    <row r="145" spans="3:14"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</row>
    <row r="146" spans="3:14"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</row>
    <row r="147" spans="3:14"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</row>
    <row r="148" spans="3:14"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</row>
    <row r="149" spans="3:14"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</row>
    <row r="150" spans="3:14"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</row>
    <row r="151" spans="3:14"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</row>
    <row r="152" spans="3:14"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</row>
    <row r="153" spans="3:14"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</row>
    <row r="154" spans="3:14"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</row>
    <row r="155" spans="3:14"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3:14"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</row>
    <row r="157" spans="3:14"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</row>
    <row r="158" spans="3:14"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</row>
    <row r="159" spans="3:14"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</row>
    <row r="160" spans="3:14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</row>
    <row r="161" spans="3:14"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</row>
    <row r="162" spans="3:14"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</row>
    <row r="163" spans="3:14"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</row>
    <row r="164" spans="3:14"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</row>
    <row r="165" spans="3:14"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</row>
    <row r="166" spans="3:14"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3:14"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</row>
    <row r="168" spans="3:14"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3:14"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</row>
    <row r="170" spans="3:14"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</row>
    <row r="171" spans="3:14"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</row>
    <row r="172" spans="3:14"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</row>
    <row r="173" spans="3:14"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</row>
    <row r="174" spans="3:14"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</row>
    <row r="175" spans="3:14"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</row>
    <row r="176" spans="3:14"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</row>
    <row r="177" spans="3:14"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</row>
    <row r="178" spans="3:14"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</row>
    <row r="179" spans="3:14"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</row>
    <row r="180" spans="3:14"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</row>
    <row r="181" spans="3:14"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</row>
    <row r="182" spans="3:14"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</row>
    <row r="183" spans="3:14"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</row>
    <row r="184" spans="3:14"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</row>
    <row r="185" spans="3:14"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</row>
    <row r="186" spans="3:14"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</row>
    <row r="187" spans="3:14"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</row>
    <row r="188" spans="3:14"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</row>
    <row r="189" spans="3:14"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</row>
    <row r="190" spans="3:14"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</row>
    <row r="191" spans="3:14"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</row>
    <row r="192" spans="3:14"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</row>
    <row r="193" spans="3:14"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</row>
    <row r="194" spans="3:14"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</row>
    <row r="195" spans="3:14"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</row>
    <row r="196" spans="3:14"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</row>
    <row r="197" spans="3:14"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</row>
    <row r="198" spans="3:14"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</row>
    <row r="199" spans="3:14"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</row>
    <row r="200" spans="3:14"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</row>
    <row r="201" spans="3:14"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</row>
    <row r="202" spans="3:14"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</row>
    <row r="203" spans="3:14"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</row>
    <row r="204" spans="3:14"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</row>
    <row r="205" spans="3:14"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</row>
    <row r="206" spans="3:14"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</row>
    <row r="207" spans="3:14"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</row>
    <row r="208" spans="3:14"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</row>
    <row r="209" spans="3:14"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</row>
    <row r="210" spans="3:14"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</row>
    <row r="211" spans="3:14"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</row>
    <row r="212" spans="3:14"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</row>
    <row r="213" spans="3:14"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</row>
    <row r="214" spans="3:14"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</row>
    <row r="215" spans="3:14"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</row>
    <row r="216" spans="3:14"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</row>
    <row r="217" spans="3:14"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</row>
    <row r="218" spans="3:14"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</row>
    <row r="219" spans="3:14"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</row>
    <row r="220" spans="3:14"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</row>
    <row r="221" spans="3:14"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</row>
    <row r="222" spans="3:14"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</row>
    <row r="223" spans="3:14"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</row>
    <row r="224" spans="3:14"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</row>
    <row r="225" spans="3:14"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</row>
    <row r="226" spans="3:14"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</row>
    <row r="227" spans="3:14"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</row>
    <row r="228" spans="3:14"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</row>
    <row r="229" spans="3:14"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</row>
    <row r="230" spans="3:14"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</row>
    <row r="231" spans="3:14"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</row>
    <row r="232" spans="3:14"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</row>
    <row r="233" spans="3:14"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</row>
    <row r="234" spans="3:14"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</row>
    <row r="235" spans="3:14"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</row>
    <row r="236" spans="3:14"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</row>
    <row r="237" spans="3:14"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</row>
    <row r="238" spans="3:14"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</row>
    <row r="239" spans="3:14"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</row>
    <row r="240" spans="3:14"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</row>
    <row r="241" spans="3:14"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</row>
    <row r="242" spans="3:14"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</row>
    <row r="243" spans="3:14"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</row>
    <row r="244" spans="3:14"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</row>
    <row r="245" spans="3:14"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</row>
    <row r="246" spans="3:14"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</row>
    <row r="247" spans="3:14"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</row>
    <row r="248" spans="3:14"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</row>
    <row r="249" spans="3:14"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</row>
    <row r="250" spans="3:14"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</row>
    <row r="251" spans="3:14"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</row>
    <row r="252" spans="3:14"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</row>
    <row r="253" spans="3:14"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</row>
    <row r="254" spans="3:14"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</row>
    <row r="255" spans="3:14"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</row>
    <row r="256" spans="3:14"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</row>
    <row r="257" spans="3:14"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</row>
    <row r="258" spans="3:14"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</row>
    <row r="259" spans="3:14"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</row>
    <row r="260" spans="3:14"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</row>
    <row r="261" spans="3:14"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</row>
    <row r="262" spans="3:14"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</row>
    <row r="263" spans="3:14"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</row>
    <row r="264" spans="3:14"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</row>
    <row r="265" spans="3:14"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</row>
    <row r="266" spans="3:14"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</row>
    <row r="267" spans="3:14"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</row>
    <row r="268" spans="3:14"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</row>
    <row r="269" spans="3:14"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</row>
    <row r="270" spans="3:14"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</row>
    <row r="271" spans="3:14"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</row>
    <row r="272" spans="3:14"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</row>
    <row r="273" spans="3:14"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</row>
    <row r="274" spans="3:14"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spans="3:14"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</row>
    <row r="276" spans="3:14"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</row>
    <row r="277" spans="3:14"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</row>
    <row r="278" spans="3:14"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</row>
    <row r="279" spans="3:14"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</row>
    <row r="280" spans="3:14"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</row>
    <row r="281" spans="3:14"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</row>
    <row r="282" spans="3:14"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</row>
    <row r="283" spans="3:14"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</row>
    <row r="284" spans="3:14"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</row>
    <row r="285" spans="3:14"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</row>
    <row r="286" spans="3:14"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</row>
    <row r="287" spans="3:14"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</row>
    <row r="288" spans="3:14"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</row>
    <row r="289" spans="3:14"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</row>
    <row r="290" spans="3:14"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</row>
    <row r="291" spans="3:14"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</row>
    <row r="292" spans="3:14"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</row>
    <row r="293" spans="3:14"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</row>
    <row r="294" spans="3:14"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</row>
    <row r="295" spans="3:14"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</row>
    <row r="296" spans="3:14"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</row>
    <row r="297" spans="3:14"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</row>
    <row r="298" spans="3:14"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</row>
    <row r="299" spans="3:14"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</row>
    <row r="300" spans="3:14"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</row>
    <row r="301" spans="3:14"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</row>
    <row r="302" spans="3:14"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</row>
    <row r="303" spans="3:14"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</row>
    <row r="304" spans="3:14"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</row>
    <row r="305" spans="3:14"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</row>
    <row r="306" spans="3:14"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</row>
    <row r="307" spans="3:14"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</row>
    <row r="308" spans="3:14"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</row>
    <row r="309" spans="3:14"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</row>
    <row r="310" spans="3:14"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</row>
    <row r="311" spans="3:14"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</row>
    <row r="312" spans="3:14"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</row>
    <row r="313" spans="3:14"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</row>
    <row r="314" spans="3:14"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</row>
    <row r="315" spans="3:14"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</row>
    <row r="316" spans="3:14"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</row>
    <row r="317" spans="3:14"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</row>
    <row r="318" spans="3:14"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</row>
    <row r="319" spans="3:14"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</row>
    <row r="320" spans="3:14"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</row>
    <row r="321" spans="3:14"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</row>
    <row r="322" spans="3:14"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</row>
    <row r="323" spans="3:14"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</row>
    <row r="324" spans="3:14"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</row>
    <row r="325" spans="3:14"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zoomScaleNormal="100" workbookViewId="0">
      <pane xSplit="3" ySplit="5" topLeftCell="D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Q1"/>
    </sheetView>
  </sheetViews>
  <sheetFormatPr defaultRowHeight="12.75" outlineLevelRow="1" outlineLevelCol="1"/>
  <cols>
    <col min="1" max="1" width="4.85546875" style="8" customWidth="1"/>
    <col min="2" max="2" width="10.7109375" style="2" customWidth="1"/>
    <col min="3" max="3" width="24.28515625" style="2" customWidth="1"/>
    <col min="4" max="4" width="9" style="2" customWidth="1" outlineLevel="1"/>
    <col min="5" max="5" width="5.28515625" style="2" customWidth="1" outlineLevel="1"/>
    <col min="6" max="6" width="14.5703125" style="2" bestFit="1" customWidth="1"/>
    <col min="7" max="10" width="15.7109375" style="2" bestFit="1" customWidth="1"/>
    <col min="11" max="11" width="12.7109375" style="2" customWidth="1"/>
    <col min="12" max="17" width="15.7109375" style="2" bestFit="1" customWidth="1"/>
    <col min="18" max="18" width="13.140625" style="2" customWidth="1"/>
    <col min="19" max="19" width="13.85546875" style="2" customWidth="1"/>
    <col min="20" max="20" width="13.140625" style="2" customWidth="1"/>
    <col min="21" max="16384" width="9.140625" style="2"/>
  </cols>
  <sheetData>
    <row r="1" spans="1:19">
      <c r="A1" s="221" t="s">
        <v>73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2" spans="1:19" ht="15.75">
      <c r="A2" s="222" t="s">
        <v>30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pans="1:19">
      <c r="A3" s="61" t="s">
        <v>0</v>
      </c>
    </row>
    <row r="4" spans="1:19">
      <c r="A4" s="8" t="s">
        <v>1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>
      <c r="B5" s="77" t="s">
        <v>74</v>
      </c>
      <c r="C5" s="60"/>
      <c r="D5" s="224" t="s">
        <v>9</v>
      </c>
      <c r="E5" s="224"/>
      <c r="F5" s="141">
        <v>43861</v>
      </c>
      <c r="G5" s="141">
        <f>EOMONTH(F5,1)</f>
        <v>43890</v>
      </c>
      <c r="H5" s="141">
        <f t="shared" ref="H5:Q5" si="0">EOMONTH(G5,1)</f>
        <v>43921</v>
      </c>
      <c r="I5" s="141">
        <f t="shared" si="0"/>
        <v>43951</v>
      </c>
      <c r="J5" s="141">
        <f t="shared" si="0"/>
        <v>43982</v>
      </c>
      <c r="K5" s="141">
        <f t="shared" si="0"/>
        <v>44012</v>
      </c>
      <c r="L5" s="141">
        <f t="shared" si="0"/>
        <v>44043</v>
      </c>
      <c r="M5" s="141">
        <f t="shared" si="0"/>
        <v>44074</v>
      </c>
      <c r="N5" s="141">
        <f t="shared" si="0"/>
        <v>44104</v>
      </c>
      <c r="O5" s="141">
        <f t="shared" si="0"/>
        <v>44135</v>
      </c>
      <c r="P5" s="141">
        <f t="shared" si="0"/>
        <v>44165</v>
      </c>
      <c r="Q5" s="141">
        <f t="shared" si="0"/>
        <v>44196</v>
      </c>
    </row>
    <row r="6" spans="1:19" ht="15.95" customHeight="1">
      <c r="A6" s="8">
        <v>1</v>
      </c>
      <c r="B6" s="2" t="s">
        <v>3</v>
      </c>
      <c r="D6" s="225">
        <f>SUM(F6:Q6)</f>
        <v>33167082</v>
      </c>
      <c r="E6" s="225"/>
      <c r="F6" s="14">
        <f>'WA Monthly'!E23</f>
        <v>13017722</v>
      </c>
      <c r="G6" s="14">
        <f>'WA Monthly'!F23</f>
        <v>11062158</v>
      </c>
      <c r="H6" s="14">
        <f>'WA Monthly'!G23</f>
        <v>9087202</v>
      </c>
      <c r="I6" s="14">
        <f>'WA Monthly'!H23</f>
        <v>0</v>
      </c>
      <c r="J6" s="14">
        <f>'WA Monthly'!I23</f>
        <v>0</v>
      </c>
      <c r="K6" s="14">
        <f>'WA Monthly'!J23</f>
        <v>0</v>
      </c>
      <c r="L6" s="14">
        <f>'WA Monthly'!K23</f>
        <v>0</v>
      </c>
      <c r="M6" s="14">
        <f>'WA Monthly'!L23</f>
        <v>0</v>
      </c>
      <c r="N6" s="14">
        <f>'WA Monthly'!M23</f>
        <v>0</v>
      </c>
      <c r="O6" s="14">
        <f>'WA Monthly'!N23</f>
        <v>0</v>
      </c>
      <c r="P6" s="14">
        <f>'WA Monthly'!O23</f>
        <v>0</v>
      </c>
      <c r="Q6" s="14">
        <f>'WA Monthly'!P23</f>
        <v>0</v>
      </c>
    </row>
    <row r="7" spans="1:19" ht="15.95" customHeight="1">
      <c r="A7" s="8">
        <f t="shared" ref="A7:A13" si="1">A6+1</f>
        <v>2</v>
      </c>
      <c r="B7" s="2" t="s">
        <v>6</v>
      </c>
      <c r="D7" s="226">
        <f t="shared" ref="D7:D13" si="2">SUM(F7:Q7)</f>
        <v>-21931145</v>
      </c>
      <c r="E7" s="226"/>
      <c r="F7" s="14">
        <f>'WA Monthly'!E46</f>
        <v>-7818222</v>
      </c>
      <c r="G7" s="14">
        <f>'WA Monthly'!F46</f>
        <v>-6959624</v>
      </c>
      <c r="H7" s="14">
        <f>'WA Monthly'!G46</f>
        <v>-7153299</v>
      </c>
      <c r="I7" s="14">
        <f>'WA Monthly'!H46</f>
        <v>0</v>
      </c>
      <c r="J7" s="14">
        <f>'WA Monthly'!I46</f>
        <v>0</v>
      </c>
      <c r="K7" s="14">
        <f>'WA Monthly'!J46</f>
        <v>0</v>
      </c>
      <c r="L7" s="14">
        <f>'WA Monthly'!K46</f>
        <v>0</v>
      </c>
      <c r="M7" s="14">
        <f>'WA Monthly'!L46</f>
        <v>0</v>
      </c>
      <c r="N7" s="14">
        <f>'WA Monthly'!M46</f>
        <v>0</v>
      </c>
      <c r="O7" s="14">
        <f>'WA Monthly'!N46</f>
        <v>0</v>
      </c>
      <c r="P7" s="14">
        <f>'WA Monthly'!O46</f>
        <v>0</v>
      </c>
      <c r="Q7" s="14">
        <f>'WA Monthly'!P46</f>
        <v>0</v>
      </c>
    </row>
    <row r="8" spans="1:19" ht="15.95" customHeight="1">
      <c r="A8" s="8">
        <f t="shared" si="1"/>
        <v>3</v>
      </c>
      <c r="B8" s="2" t="s">
        <v>4</v>
      </c>
      <c r="D8" s="223">
        <f t="shared" si="2"/>
        <v>9516828</v>
      </c>
      <c r="E8" s="223"/>
      <c r="F8" s="14">
        <f>'WA Monthly'!E64</f>
        <v>3239078</v>
      </c>
      <c r="G8" s="14">
        <f>'WA Monthly'!F64</f>
        <v>3399540</v>
      </c>
      <c r="H8" s="14">
        <f>'WA Monthly'!G64</f>
        <v>2878210</v>
      </c>
      <c r="I8" s="14">
        <f>'WA Monthly'!H64</f>
        <v>0</v>
      </c>
      <c r="J8" s="14">
        <f>'WA Monthly'!I64</f>
        <v>0</v>
      </c>
      <c r="K8" s="14">
        <f>'WA Monthly'!J64</f>
        <v>0</v>
      </c>
      <c r="L8" s="14">
        <f>'WA Monthly'!K64</f>
        <v>0</v>
      </c>
      <c r="M8" s="14">
        <f>'WA Monthly'!L64</f>
        <v>0</v>
      </c>
      <c r="N8" s="14">
        <f>'WA Monthly'!M64</f>
        <v>0</v>
      </c>
      <c r="O8" s="14">
        <f>'WA Monthly'!N64</f>
        <v>0</v>
      </c>
      <c r="P8" s="14">
        <f>'WA Monthly'!O64</f>
        <v>0</v>
      </c>
      <c r="Q8" s="14">
        <f>'WA Monthly'!P64</f>
        <v>0</v>
      </c>
    </row>
    <row r="9" spans="1:19" ht="15.95" customHeight="1">
      <c r="A9" s="8">
        <f t="shared" si="1"/>
        <v>4</v>
      </c>
      <c r="B9" s="2" t="s">
        <v>5</v>
      </c>
      <c r="D9" s="223">
        <f t="shared" si="2"/>
        <v>14499932</v>
      </c>
      <c r="E9" s="223"/>
      <c r="F9" s="14">
        <f>'WA Monthly'!E81</f>
        <v>4925752</v>
      </c>
      <c r="G9" s="14">
        <f>'WA Monthly'!F81</f>
        <v>4098939</v>
      </c>
      <c r="H9" s="14">
        <f>'WA Monthly'!G81</f>
        <v>5475241</v>
      </c>
      <c r="I9" s="14">
        <f>'WA Monthly'!H81</f>
        <v>0</v>
      </c>
      <c r="J9" s="14">
        <f>'WA Monthly'!I81</f>
        <v>0</v>
      </c>
      <c r="K9" s="14">
        <f>'WA Monthly'!J81</f>
        <v>0</v>
      </c>
      <c r="L9" s="14">
        <f>'WA Monthly'!K81</f>
        <v>0</v>
      </c>
      <c r="M9" s="14">
        <f>'WA Monthly'!L81</f>
        <v>0</v>
      </c>
      <c r="N9" s="14">
        <f>'WA Monthly'!M81</f>
        <v>0</v>
      </c>
      <c r="O9" s="14">
        <f>'WA Monthly'!N81</f>
        <v>0</v>
      </c>
      <c r="P9" s="14">
        <f>'WA Monthly'!O81</f>
        <v>0</v>
      </c>
      <c r="Q9" s="14">
        <f>'WA Monthly'!P81</f>
        <v>0</v>
      </c>
    </row>
    <row r="10" spans="1:19" ht="15.95" customHeight="1">
      <c r="A10" s="8">
        <f t="shared" si="1"/>
        <v>5</v>
      </c>
      <c r="B10" s="2" t="s">
        <v>42</v>
      </c>
      <c r="C10" s="1"/>
      <c r="D10" s="226">
        <f t="shared" si="2"/>
        <v>-4088599</v>
      </c>
      <c r="E10" s="226"/>
      <c r="F10" s="14">
        <f>'WA Monthly'!E95</f>
        <v>-1243451</v>
      </c>
      <c r="G10" s="14">
        <f>'WA Monthly'!F95</f>
        <v>-1543693</v>
      </c>
      <c r="H10" s="14">
        <f>'WA Monthly'!G95</f>
        <v>-1301455</v>
      </c>
      <c r="I10" s="14">
        <f>'WA Monthly'!H95</f>
        <v>0</v>
      </c>
      <c r="J10" s="14">
        <f>'WA Monthly'!I95</f>
        <v>0</v>
      </c>
      <c r="K10" s="14">
        <f>'WA Monthly'!J95</f>
        <v>0</v>
      </c>
      <c r="L10" s="14">
        <f>'WA Monthly'!K95</f>
        <v>0</v>
      </c>
      <c r="M10" s="14">
        <f>'WA Monthly'!L95</f>
        <v>0</v>
      </c>
      <c r="N10" s="14">
        <f>'WA Monthly'!M95</f>
        <v>0</v>
      </c>
      <c r="O10" s="14">
        <f>'WA Monthly'!N95</f>
        <v>0</v>
      </c>
      <c r="P10" s="14">
        <f>'WA Monthly'!O95</f>
        <v>0</v>
      </c>
      <c r="Q10" s="14">
        <f>'WA Monthly'!P95</f>
        <v>0</v>
      </c>
    </row>
    <row r="11" spans="1:19" ht="15.95" customHeight="1">
      <c r="A11" s="8">
        <f t="shared" si="1"/>
        <v>6</v>
      </c>
      <c r="B11" s="2" t="s">
        <v>36</v>
      </c>
      <c r="C11" s="1"/>
      <c r="D11" s="223">
        <f t="shared" si="2"/>
        <v>4180256</v>
      </c>
      <c r="E11" s="223"/>
      <c r="F11" s="14">
        <f>'WA Monthly'!E101</f>
        <v>1402067</v>
      </c>
      <c r="G11" s="14">
        <f>'WA Monthly'!F101</f>
        <v>1376344</v>
      </c>
      <c r="H11" s="14">
        <f>'WA Monthly'!G101</f>
        <v>1401845</v>
      </c>
      <c r="I11" s="14">
        <f>'WA Monthly'!H101</f>
        <v>0</v>
      </c>
      <c r="J11" s="14">
        <f>'WA Monthly'!I101</f>
        <v>0</v>
      </c>
      <c r="K11" s="14">
        <f>'WA Monthly'!J101</f>
        <v>0</v>
      </c>
      <c r="L11" s="14">
        <f>'WA Monthly'!K101</f>
        <v>0</v>
      </c>
      <c r="M11" s="14">
        <f>'WA Monthly'!L101</f>
        <v>0</v>
      </c>
      <c r="N11" s="14">
        <f>'WA Monthly'!M101</f>
        <v>0</v>
      </c>
      <c r="O11" s="14">
        <f>'WA Monthly'!N101</f>
        <v>0</v>
      </c>
      <c r="P11" s="14">
        <f>'WA Monthly'!O101</f>
        <v>0</v>
      </c>
      <c r="Q11" s="14">
        <f>'WA Monthly'!P101</f>
        <v>0</v>
      </c>
    </row>
    <row r="12" spans="1:19" ht="15.95" customHeight="1">
      <c r="A12" s="8">
        <f t="shared" si="1"/>
        <v>7</v>
      </c>
      <c r="B12" s="2" t="s">
        <v>37</v>
      </c>
      <c r="C12" s="1"/>
      <c r="D12" s="223">
        <f t="shared" si="2"/>
        <v>120470</v>
      </c>
      <c r="E12" s="223"/>
      <c r="F12" s="14">
        <f>'WA Monthly'!E108</f>
        <v>38542</v>
      </c>
      <c r="G12" s="14">
        <f>'WA Monthly'!F108</f>
        <v>36423</v>
      </c>
      <c r="H12" s="14">
        <f>'WA Monthly'!G108</f>
        <v>45505</v>
      </c>
      <c r="I12" s="14">
        <f>'WA Monthly'!H108</f>
        <v>0</v>
      </c>
      <c r="J12" s="14">
        <f>'WA Monthly'!I108</f>
        <v>0</v>
      </c>
      <c r="K12" s="14">
        <f>'WA Monthly'!J108</f>
        <v>0</v>
      </c>
      <c r="L12" s="14">
        <f>'WA Monthly'!K108</f>
        <v>0</v>
      </c>
      <c r="M12" s="14">
        <f>'WA Monthly'!L108</f>
        <v>0</v>
      </c>
      <c r="N12" s="14">
        <f>'WA Monthly'!M108</f>
        <v>0</v>
      </c>
      <c r="O12" s="14">
        <f>'WA Monthly'!N108</f>
        <v>0</v>
      </c>
      <c r="P12" s="14">
        <f>'WA Monthly'!O108</f>
        <v>0</v>
      </c>
      <c r="Q12" s="14">
        <f>'WA Monthly'!P108</f>
        <v>0</v>
      </c>
    </row>
    <row r="13" spans="1:19" ht="15.95" customHeight="1">
      <c r="A13" s="8">
        <f t="shared" si="1"/>
        <v>8</v>
      </c>
      <c r="B13" s="193" t="s">
        <v>10</v>
      </c>
      <c r="C13" s="193"/>
      <c r="D13" s="227">
        <f t="shared" si="2"/>
        <v>35464824</v>
      </c>
      <c r="E13" s="227"/>
      <c r="F13" s="194">
        <f t="shared" ref="F13:Q13" si="3">SUM(F6:F12)</f>
        <v>13561488</v>
      </c>
      <c r="G13" s="194">
        <f t="shared" si="3"/>
        <v>11470087</v>
      </c>
      <c r="H13" s="194">
        <f t="shared" si="3"/>
        <v>10433249</v>
      </c>
      <c r="I13" s="194">
        <f t="shared" si="3"/>
        <v>0</v>
      </c>
      <c r="J13" s="194">
        <f t="shared" si="3"/>
        <v>0</v>
      </c>
      <c r="K13" s="194">
        <f t="shared" si="3"/>
        <v>0</v>
      </c>
      <c r="L13" s="194">
        <f t="shared" si="3"/>
        <v>0</v>
      </c>
      <c r="M13" s="194">
        <f t="shared" si="3"/>
        <v>0</v>
      </c>
      <c r="N13" s="194">
        <f t="shared" si="3"/>
        <v>0</v>
      </c>
      <c r="O13" s="194">
        <f t="shared" si="3"/>
        <v>0</v>
      </c>
      <c r="P13" s="194">
        <f t="shared" si="3"/>
        <v>0</v>
      </c>
      <c r="Q13" s="194">
        <f t="shared" si="3"/>
        <v>0</v>
      </c>
    </row>
    <row r="14" spans="1:19" ht="37.5" customHeight="1">
      <c r="B14" s="77" t="s">
        <v>11</v>
      </c>
      <c r="C14" s="60"/>
      <c r="D14" s="229" t="s">
        <v>215</v>
      </c>
      <c r="E14" s="230"/>
      <c r="F14" s="195">
        <f>F5</f>
        <v>43861</v>
      </c>
      <c r="G14" s="195">
        <f>G5</f>
        <v>43890</v>
      </c>
      <c r="H14" s="195">
        <f t="shared" ref="H14:Q14" si="4">H5</f>
        <v>43921</v>
      </c>
      <c r="I14" s="195">
        <f t="shared" si="4"/>
        <v>43951</v>
      </c>
      <c r="J14" s="195">
        <f t="shared" si="4"/>
        <v>43982</v>
      </c>
      <c r="K14" s="195">
        <f t="shared" si="4"/>
        <v>44012</v>
      </c>
      <c r="L14" s="195">
        <f t="shared" si="4"/>
        <v>44043</v>
      </c>
      <c r="M14" s="195">
        <f t="shared" si="4"/>
        <v>44074</v>
      </c>
      <c r="N14" s="195">
        <f t="shared" si="4"/>
        <v>44104</v>
      </c>
      <c r="O14" s="195">
        <f t="shared" si="4"/>
        <v>44135</v>
      </c>
      <c r="P14" s="195">
        <f t="shared" si="4"/>
        <v>44165</v>
      </c>
      <c r="Q14" s="195">
        <f t="shared" si="4"/>
        <v>44196</v>
      </c>
    </row>
    <row r="15" spans="1:19" ht="15.95" customHeight="1">
      <c r="A15" s="8">
        <f>A13+1</f>
        <v>9</v>
      </c>
      <c r="B15" s="2" t="s">
        <v>3</v>
      </c>
      <c r="C15" s="1"/>
      <c r="D15" s="228">
        <f t="shared" ref="D15:D22" si="5">SUM(F15:H15)</f>
        <v>32968345</v>
      </c>
      <c r="E15" s="228"/>
      <c r="F15" s="46">
        <f>'Input Tab'!C5</f>
        <v>11810646</v>
      </c>
      <c r="G15" s="46">
        <f>'Input Tab'!D5</f>
        <v>10948943</v>
      </c>
      <c r="H15" s="46">
        <f>'Input Tab'!E5</f>
        <v>10208756</v>
      </c>
      <c r="I15" s="46">
        <f>'Input Tab'!F5</f>
        <v>9754466</v>
      </c>
      <c r="J15" s="46">
        <f>'Input Tab'!G5</f>
        <v>7204007</v>
      </c>
      <c r="K15" s="46">
        <f>'Input Tab'!H5</f>
        <v>6832768</v>
      </c>
      <c r="L15" s="46">
        <f>'Input Tab'!I5</f>
        <v>7367141</v>
      </c>
      <c r="M15" s="46">
        <f>'Input Tab'!J5</f>
        <v>8064916</v>
      </c>
      <c r="N15" s="46">
        <f>'Input Tab'!K5</f>
        <v>7448796</v>
      </c>
      <c r="O15" s="46">
        <f>'Input Tab'!L5</f>
        <v>7999787</v>
      </c>
      <c r="P15" s="46">
        <f>'Input Tab'!M5</f>
        <v>11642227</v>
      </c>
      <c r="Q15" s="46">
        <f>'Input Tab'!N5</f>
        <v>12112599</v>
      </c>
      <c r="R15" s="42"/>
      <c r="S15" s="6"/>
    </row>
    <row r="16" spans="1:19" ht="15.95" customHeight="1">
      <c r="A16" s="8">
        <f t="shared" ref="A16:A33" si="6">A15+1</f>
        <v>10</v>
      </c>
      <c r="B16" s="2" t="s">
        <v>6</v>
      </c>
      <c r="C16" s="1"/>
      <c r="D16" s="228">
        <f t="shared" si="5"/>
        <v>-13462029</v>
      </c>
      <c r="E16" s="228"/>
      <c r="F16" s="154">
        <f>'Input Tab'!C6</f>
        <v>-5410854</v>
      </c>
      <c r="G16" s="154">
        <f>'Input Tab'!D6</f>
        <v>-3688134</v>
      </c>
      <c r="H16" s="154">
        <f>'Input Tab'!E6</f>
        <v>-4363041</v>
      </c>
      <c r="I16" s="154">
        <f>'Input Tab'!F6</f>
        <v>-6216672</v>
      </c>
      <c r="J16" s="154">
        <f>'Input Tab'!G6</f>
        <v>-3992970</v>
      </c>
      <c r="K16" s="154">
        <f>'Input Tab'!H6</f>
        <v>-3782256</v>
      </c>
      <c r="L16" s="154">
        <f>'Input Tab'!I6</f>
        <v>-5325599</v>
      </c>
      <c r="M16" s="154">
        <f>'Input Tab'!J6</f>
        <v>-3215251</v>
      </c>
      <c r="N16" s="154">
        <f>'Input Tab'!K6</f>
        <v>-4016772</v>
      </c>
      <c r="O16" s="154">
        <f>'Input Tab'!L6</f>
        <v>-3304259</v>
      </c>
      <c r="P16" s="154">
        <f>'Input Tab'!M6</f>
        <v>-4468025</v>
      </c>
      <c r="Q16" s="154">
        <f>'Input Tab'!N6</f>
        <v>-6320023</v>
      </c>
      <c r="R16" s="42"/>
      <c r="S16" s="6"/>
    </row>
    <row r="17" spans="1:19" ht="15.95" customHeight="1">
      <c r="A17" s="8">
        <f>A16+1</f>
        <v>11</v>
      </c>
      <c r="B17" s="2" t="s">
        <v>4</v>
      </c>
      <c r="C17" s="1"/>
      <c r="D17" s="228">
        <f t="shared" si="5"/>
        <v>8332786</v>
      </c>
      <c r="E17" s="228"/>
      <c r="F17" s="46">
        <f>'Input Tab'!C7</f>
        <v>2892906</v>
      </c>
      <c r="G17" s="46">
        <f>'Input Tab'!D7</f>
        <v>2671552</v>
      </c>
      <c r="H17" s="46">
        <f>'Input Tab'!E7</f>
        <v>2768328</v>
      </c>
      <c r="I17" s="46">
        <f>'Input Tab'!F7</f>
        <v>2491505</v>
      </c>
      <c r="J17" s="46">
        <f>'Input Tab'!G7</f>
        <v>1551263</v>
      </c>
      <c r="K17" s="46">
        <f>'Input Tab'!H7</f>
        <v>1358751</v>
      </c>
      <c r="L17" s="46">
        <f>'Input Tab'!I7</f>
        <v>2219592</v>
      </c>
      <c r="M17" s="46">
        <f>'Input Tab'!J7</f>
        <v>2478125</v>
      </c>
      <c r="N17" s="46">
        <f>'Input Tab'!K7</f>
        <v>2578207</v>
      </c>
      <c r="O17" s="46">
        <f>'Input Tab'!L7</f>
        <v>2592987</v>
      </c>
      <c r="P17" s="46">
        <f>'Input Tab'!M7</f>
        <v>2566833</v>
      </c>
      <c r="Q17" s="46">
        <f>'Input Tab'!N7</f>
        <v>2703884</v>
      </c>
      <c r="R17" s="42"/>
      <c r="S17" s="6"/>
    </row>
    <row r="18" spans="1:19" ht="15.95" customHeight="1">
      <c r="A18" s="8">
        <f t="shared" si="6"/>
        <v>12</v>
      </c>
      <c r="B18" s="2" t="s">
        <v>5</v>
      </c>
      <c r="C18" s="1"/>
      <c r="D18" s="228">
        <f t="shared" si="5"/>
        <v>22252384</v>
      </c>
      <c r="E18" s="228"/>
      <c r="F18" s="46">
        <f>'Input Tab'!C8</f>
        <v>8800467</v>
      </c>
      <c r="G18" s="46">
        <f>'Input Tab'!D8</f>
        <v>7046200</v>
      </c>
      <c r="H18" s="46">
        <f>'Input Tab'!E8</f>
        <v>6405717</v>
      </c>
      <c r="I18" s="46">
        <f>'Input Tab'!F8</f>
        <v>4139185</v>
      </c>
      <c r="J18" s="46">
        <f>'Input Tab'!G8</f>
        <v>1426182</v>
      </c>
      <c r="K18" s="46">
        <f>'Input Tab'!H8</f>
        <v>1698327</v>
      </c>
      <c r="L18" s="46">
        <f>'Input Tab'!I8</f>
        <v>5653252</v>
      </c>
      <c r="M18" s="46">
        <f>'Input Tab'!J8</f>
        <v>7341418</v>
      </c>
      <c r="N18" s="46">
        <f>'Input Tab'!K8</f>
        <v>6493558</v>
      </c>
      <c r="O18" s="46">
        <f>'Input Tab'!L8</f>
        <v>6103470</v>
      </c>
      <c r="P18" s="46">
        <f>'Input Tab'!M8</f>
        <v>6561954</v>
      </c>
      <c r="Q18" s="46">
        <f>'Input Tab'!N8</f>
        <v>8397561</v>
      </c>
      <c r="R18" s="42"/>
    </row>
    <row r="19" spans="1:19" ht="15.95" customHeight="1">
      <c r="A19" s="8">
        <f t="shared" si="6"/>
        <v>13</v>
      </c>
      <c r="B19" s="2" t="s">
        <v>42</v>
      </c>
      <c r="C19" s="1"/>
      <c r="D19" s="228">
        <f t="shared" si="5"/>
        <v>-3418290</v>
      </c>
      <c r="E19" s="228"/>
      <c r="F19" s="154">
        <f>'Input Tab'!C9</f>
        <v>-1062694</v>
      </c>
      <c r="G19" s="154">
        <f>'Input Tab'!D9</f>
        <v>-1178481</v>
      </c>
      <c r="H19" s="154">
        <f>'Input Tab'!E9</f>
        <v>-1177115</v>
      </c>
      <c r="I19" s="154">
        <f>'Input Tab'!F9</f>
        <v>-1141305</v>
      </c>
      <c r="J19" s="154">
        <f>'Input Tab'!G9</f>
        <v>-1253488</v>
      </c>
      <c r="K19" s="154">
        <f>'Input Tab'!H9</f>
        <v>-1398529</v>
      </c>
      <c r="L19" s="154">
        <f>'Input Tab'!I9</f>
        <v>-1450378</v>
      </c>
      <c r="M19" s="154">
        <f>'Input Tab'!J9</f>
        <v>-1346819</v>
      </c>
      <c r="N19" s="154">
        <f>'Input Tab'!K9</f>
        <v>-1372213</v>
      </c>
      <c r="O19" s="154">
        <f>'Input Tab'!L9</f>
        <v>-1319316</v>
      </c>
      <c r="P19" s="154">
        <f>'Input Tab'!M9</f>
        <v>-1257650</v>
      </c>
      <c r="Q19" s="154">
        <f>'Input Tab'!N9</f>
        <v>-1191496</v>
      </c>
      <c r="R19" s="42"/>
    </row>
    <row r="20" spans="1:19" ht="15.95" customHeight="1">
      <c r="A20" s="8">
        <f t="shared" si="6"/>
        <v>14</v>
      </c>
      <c r="B20" s="2" t="s">
        <v>36</v>
      </c>
      <c r="C20" s="1"/>
      <c r="D20" s="228">
        <f t="shared" si="5"/>
        <v>4462059</v>
      </c>
      <c r="E20" s="228"/>
      <c r="F20" s="196">
        <f>'Input Tab'!C10</f>
        <v>1386858</v>
      </c>
      <c r="G20" s="196">
        <f>'Input Tab'!D10</f>
        <v>1618473</v>
      </c>
      <c r="H20" s="196">
        <f>'Input Tab'!E10</f>
        <v>1456728</v>
      </c>
      <c r="I20" s="196">
        <f>'Input Tab'!F10</f>
        <v>1423781</v>
      </c>
      <c r="J20" s="196">
        <f>'Input Tab'!G10</f>
        <v>1394142</v>
      </c>
      <c r="K20" s="196">
        <f>'Input Tab'!H10</f>
        <v>1391308</v>
      </c>
      <c r="L20" s="196">
        <f>'Input Tab'!I10</f>
        <v>1452951</v>
      </c>
      <c r="M20" s="196">
        <f>'Input Tab'!J10</f>
        <v>1443202</v>
      </c>
      <c r="N20" s="196">
        <f>'Input Tab'!K10</f>
        <v>1567441</v>
      </c>
      <c r="O20" s="196">
        <f>'Input Tab'!L10</f>
        <v>1406861</v>
      </c>
      <c r="P20" s="196">
        <f>'Input Tab'!M10</f>
        <v>1416449</v>
      </c>
      <c r="Q20" s="196">
        <f>'Input Tab'!N10</f>
        <v>1446134</v>
      </c>
      <c r="R20" s="42"/>
    </row>
    <row r="21" spans="1:19" ht="15.95" customHeight="1">
      <c r="A21" s="8">
        <f t="shared" si="6"/>
        <v>15</v>
      </c>
      <c r="B21" s="2" t="s">
        <v>37</v>
      </c>
      <c r="D21" s="228">
        <f t="shared" si="5"/>
        <v>102750</v>
      </c>
      <c r="E21" s="228"/>
      <c r="F21" s="46">
        <f>'Input Tab'!C11</f>
        <v>34250</v>
      </c>
      <c r="G21" s="46">
        <f>'Input Tab'!D11</f>
        <v>34250</v>
      </c>
      <c r="H21" s="46">
        <f>'Input Tab'!E11</f>
        <v>34250</v>
      </c>
      <c r="I21" s="46">
        <f>'Input Tab'!F11</f>
        <v>34250</v>
      </c>
      <c r="J21" s="46">
        <f>'Input Tab'!G11</f>
        <v>34250</v>
      </c>
      <c r="K21" s="46">
        <f>'Input Tab'!H11</f>
        <v>34250</v>
      </c>
      <c r="L21" s="46">
        <f>'Input Tab'!I11</f>
        <v>34250</v>
      </c>
      <c r="M21" s="46">
        <f>'Input Tab'!J11</f>
        <v>34250</v>
      </c>
      <c r="N21" s="46">
        <f>'Input Tab'!K11</f>
        <v>34250</v>
      </c>
      <c r="O21" s="46">
        <f>'Input Tab'!L11</f>
        <v>34250</v>
      </c>
      <c r="P21" s="46">
        <f>'Input Tab'!M11</f>
        <v>34250</v>
      </c>
      <c r="Q21" s="46">
        <f>'Input Tab'!N11</f>
        <v>34250</v>
      </c>
      <c r="R21" s="42"/>
    </row>
    <row r="22" spans="1:19" ht="15.95" customHeight="1">
      <c r="A22" s="8">
        <f>A21+1</f>
        <v>16</v>
      </c>
      <c r="B22" s="2" t="s">
        <v>168</v>
      </c>
      <c r="D22" s="228">
        <f t="shared" si="5"/>
        <v>-755742</v>
      </c>
      <c r="E22" s="228"/>
      <c r="F22" s="46">
        <f>('Input Tab'!C12)/'Input Tab'!C13</f>
        <v>-251914</v>
      </c>
      <c r="G22" s="46">
        <f>('Input Tab'!D12)/'Input Tab'!D13</f>
        <v>-251914</v>
      </c>
      <c r="H22" s="46">
        <f>('Input Tab'!E12)/'Input Tab'!E13</f>
        <v>-251914</v>
      </c>
      <c r="I22" s="46">
        <f>('Input Tab'!F12)/'Input Tab'!F13</f>
        <v>-251914</v>
      </c>
      <c r="J22" s="46">
        <f>('Input Tab'!G12)/'Input Tab'!G13</f>
        <v>-251914</v>
      </c>
      <c r="K22" s="46">
        <f>('Input Tab'!H12)/'Input Tab'!H13</f>
        <v>-251914</v>
      </c>
      <c r="L22" s="46">
        <f>('Input Tab'!I12)/'Input Tab'!I13</f>
        <v>-251914</v>
      </c>
      <c r="M22" s="46">
        <f>('Input Tab'!J12)/'Input Tab'!J13</f>
        <v>-251914</v>
      </c>
      <c r="N22" s="46">
        <f>('Input Tab'!K12)/'Input Tab'!K13</f>
        <v>-251914</v>
      </c>
      <c r="O22" s="46">
        <f>('Input Tab'!L12)/'Input Tab'!L13</f>
        <v>-251914</v>
      </c>
      <c r="P22" s="46">
        <f>('Input Tab'!M12)/'Input Tab'!M13</f>
        <v>-251914</v>
      </c>
      <c r="Q22" s="46">
        <f>('Input Tab'!N12)/'Input Tab'!N13</f>
        <v>-251914</v>
      </c>
      <c r="R22" s="42"/>
    </row>
    <row r="23" spans="1:19" ht="20.25" customHeight="1">
      <c r="A23" s="8">
        <f>A22+1</f>
        <v>17</v>
      </c>
      <c r="B23" s="193" t="s">
        <v>7</v>
      </c>
      <c r="C23" s="193"/>
      <c r="D23" s="227">
        <f>SUM(D15:E22)</f>
        <v>50482263</v>
      </c>
      <c r="E23" s="227"/>
      <c r="F23" s="197">
        <f>SUM(F15:F22)</f>
        <v>18199665</v>
      </c>
      <c r="G23" s="197">
        <f t="shared" ref="G23:Q23" si="7">SUM(G15:G22)</f>
        <v>17200889</v>
      </c>
      <c r="H23" s="197">
        <f t="shared" si="7"/>
        <v>15081709</v>
      </c>
      <c r="I23" s="197">
        <f t="shared" si="7"/>
        <v>10233296</v>
      </c>
      <c r="J23" s="197">
        <f t="shared" si="7"/>
        <v>6111472</v>
      </c>
      <c r="K23" s="197">
        <f t="shared" si="7"/>
        <v>5882705</v>
      </c>
      <c r="L23" s="197">
        <f t="shared" si="7"/>
        <v>9699295</v>
      </c>
      <c r="M23" s="197">
        <f t="shared" si="7"/>
        <v>14547927</v>
      </c>
      <c r="N23" s="197">
        <f t="shared" si="7"/>
        <v>12481353</v>
      </c>
      <c r="O23" s="197">
        <f t="shared" si="7"/>
        <v>13261866</v>
      </c>
      <c r="P23" s="197">
        <f t="shared" si="7"/>
        <v>16244124</v>
      </c>
      <c r="Q23" s="197">
        <f t="shared" si="7"/>
        <v>16930995</v>
      </c>
      <c r="R23" s="42"/>
    </row>
    <row r="24" spans="1:19" ht="28.5" customHeight="1">
      <c r="A24" s="8">
        <f t="shared" si="6"/>
        <v>18</v>
      </c>
      <c r="B24" s="193" t="s">
        <v>8</v>
      </c>
      <c r="C24" s="193"/>
      <c r="D24" s="239">
        <f>SUM(F24:H24)</f>
        <v>-15017439</v>
      </c>
      <c r="E24" s="239" t="str">
        <f t="shared" ref="E24:Q24" si="8">IF(E13=0," ",E13-E23)</f>
        <v xml:space="preserve"> </v>
      </c>
      <c r="F24" s="197">
        <f t="shared" si="8"/>
        <v>-4638177</v>
      </c>
      <c r="G24" s="197">
        <f t="shared" si="8"/>
        <v>-5730802</v>
      </c>
      <c r="H24" s="197">
        <f t="shared" si="8"/>
        <v>-4648460</v>
      </c>
      <c r="I24" s="197" t="str">
        <f t="shared" si="8"/>
        <v xml:space="preserve"> </v>
      </c>
      <c r="J24" s="197" t="str">
        <f t="shared" si="8"/>
        <v xml:space="preserve"> </v>
      </c>
      <c r="K24" s="197" t="str">
        <f t="shared" si="8"/>
        <v xml:space="preserve"> </v>
      </c>
      <c r="L24" s="197" t="str">
        <f t="shared" si="8"/>
        <v xml:space="preserve"> </v>
      </c>
      <c r="M24" s="197" t="str">
        <f t="shared" si="8"/>
        <v xml:space="preserve"> </v>
      </c>
      <c r="N24" s="197" t="str">
        <f t="shared" si="8"/>
        <v xml:space="preserve"> </v>
      </c>
      <c r="O24" s="197" t="str">
        <f t="shared" si="8"/>
        <v xml:space="preserve"> </v>
      </c>
      <c r="P24" s="197" t="str">
        <f t="shared" si="8"/>
        <v xml:space="preserve"> </v>
      </c>
      <c r="Q24" s="197" t="str">
        <f t="shared" si="8"/>
        <v xml:space="preserve"> </v>
      </c>
    </row>
    <row r="25" spans="1:19" ht="26.25" customHeight="1">
      <c r="A25" s="8">
        <f t="shared" si="6"/>
        <v>19</v>
      </c>
      <c r="B25" s="28" t="s">
        <v>123</v>
      </c>
      <c r="C25" s="28"/>
      <c r="D25" s="235">
        <f>SUM(F25:Q25)</f>
        <v>731649</v>
      </c>
      <c r="E25" s="235"/>
      <c r="F25" s="29">
        <f>'WA Monthly'!E139</f>
        <v>490080</v>
      </c>
      <c r="G25" s="29">
        <f>'WA Monthly'!F139</f>
        <v>92925</v>
      </c>
      <c r="H25" s="29">
        <f>'WA Monthly'!G139</f>
        <v>148644</v>
      </c>
      <c r="I25" s="29" t="str">
        <f>'WA Monthly'!H139</f>
        <v xml:space="preserve"> </v>
      </c>
      <c r="J25" s="29" t="str">
        <f>'WA Monthly'!I139</f>
        <v xml:space="preserve"> </v>
      </c>
      <c r="K25" s="29" t="str">
        <f>'WA Monthly'!J139</f>
        <v xml:space="preserve"> </v>
      </c>
      <c r="L25" s="29" t="str">
        <f>'WA Monthly'!K139</f>
        <v xml:space="preserve"> </v>
      </c>
      <c r="M25" s="29" t="str">
        <f>'WA Monthly'!L139</f>
        <v xml:space="preserve"> </v>
      </c>
      <c r="N25" s="29" t="str">
        <f>'WA Monthly'!M139</f>
        <v xml:space="preserve"> </v>
      </c>
      <c r="O25" s="29" t="str">
        <f>'WA Monthly'!N139</f>
        <v xml:space="preserve"> </v>
      </c>
      <c r="P25" s="29" t="str">
        <f>'WA Monthly'!O139</f>
        <v xml:space="preserve"> </v>
      </c>
      <c r="Q25" s="29" t="str">
        <f>'WA Monthly'!P139</f>
        <v xml:space="preserve"> </v>
      </c>
      <c r="S25" s="9"/>
    </row>
    <row r="26" spans="1:19" ht="19.5" customHeight="1">
      <c r="A26" s="8">
        <f>A25+1</f>
        <v>20</v>
      </c>
      <c r="B26" s="28" t="s">
        <v>39</v>
      </c>
      <c r="C26" s="28"/>
      <c r="D26" s="235">
        <f>SUM(F26:Q26)</f>
        <v>-14285790</v>
      </c>
      <c r="E26" s="235"/>
      <c r="F26" s="29">
        <f>+F24+F25</f>
        <v>-4148097</v>
      </c>
      <c r="G26" s="29">
        <f t="shared" ref="G26:Q26" si="9">IF(G13=0,0,+G24+G25)</f>
        <v>-5637877</v>
      </c>
      <c r="H26" s="29">
        <f t="shared" si="9"/>
        <v>-4499816</v>
      </c>
      <c r="I26" s="29">
        <f t="shared" si="9"/>
        <v>0</v>
      </c>
      <c r="J26" s="29">
        <f t="shared" si="9"/>
        <v>0</v>
      </c>
      <c r="K26" s="29">
        <f t="shared" si="9"/>
        <v>0</v>
      </c>
      <c r="L26" s="29">
        <f t="shared" si="9"/>
        <v>0</v>
      </c>
      <c r="M26" s="29">
        <f t="shared" si="9"/>
        <v>0</v>
      </c>
      <c r="N26" s="29">
        <f t="shared" si="9"/>
        <v>0</v>
      </c>
      <c r="O26" s="29">
        <f t="shared" si="9"/>
        <v>0</v>
      </c>
      <c r="P26" s="29">
        <f t="shared" si="9"/>
        <v>0</v>
      </c>
      <c r="Q26" s="29">
        <f t="shared" si="9"/>
        <v>0</v>
      </c>
    </row>
    <row r="27" spans="1:19" ht="18.75" customHeight="1">
      <c r="A27" s="8">
        <f t="shared" si="6"/>
        <v>21</v>
      </c>
      <c r="B27" s="2" t="s">
        <v>71</v>
      </c>
      <c r="D27" s="13"/>
      <c r="E27" s="13"/>
      <c r="F27" s="198">
        <f>'Input Tab'!C13</f>
        <v>0.6573</v>
      </c>
      <c r="G27" s="198">
        <f>'Input Tab'!D13</f>
        <v>0.6573</v>
      </c>
      <c r="H27" s="198">
        <f>'Input Tab'!E13</f>
        <v>0.6573</v>
      </c>
      <c r="I27" s="198">
        <f>'Input Tab'!F13</f>
        <v>0.6573</v>
      </c>
      <c r="J27" s="198">
        <f>'Input Tab'!G13</f>
        <v>0.6573</v>
      </c>
      <c r="K27" s="198">
        <f>'Input Tab'!H13</f>
        <v>0.6573</v>
      </c>
      <c r="L27" s="198">
        <f>'Input Tab'!I13</f>
        <v>0.6573</v>
      </c>
      <c r="M27" s="198">
        <f>'Input Tab'!J13</f>
        <v>0.6573</v>
      </c>
      <c r="N27" s="198">
        <f>'Input Tab'!K13</f>
        <v>0.6573</v>
      </c>
      <c r="O27" s="198">
        <f>'Input Tab'!L13</f>
        <v>0.6573</v>
      </c>
      <c r="P27" s="198">
        <f>'Input Tab'!M13</f>
        <v>0.6573</v>
      </c>
      <c r="Q27" s="198">
        <f>'Input Tab'!N13</f>
        <v>0.6573</v>
      </c>
    </row>
    <row r="28" spans="1:19" ht="20.25" customHeight="1">
      <c r="A28" s="8">
        <f t="shared" si="6"/>
        <v>22</v>
      </c>
      <c r="B28" s="2" t="s">
        <v>72</v>
      </c>
      <c r="D28" s="231">
        <f>SUM(F28:H28)</f>
        <v>-9390050</v>
      </c>
      <c r="E28" s="231"/>
      <c r="F28" s="199">
        <f>+F26*F27</f>
        <v>-2726544</v>
      </c>
      <c r="G28" s="199">
        <f>+G26*G27</f>
        <v>-3705777</v>
      </c>
      <c r="H28" s="199">
        <f>+H26*H27</f>
        <v>-2957729</v>
      </c>
      <c r="I28" s="199">
        <f t="shared" ref="I28:Q28" si="10">+I26*I27</f>
        <v>0</v>
      </c>
      <c r="J28" s="199">
        <f t="shared" si="10"/>
        <v>0</v>
      </c>
      <c r="K28" s="199">
        <f t="shared" si="10"/>
        <v>0</v>
      </c>
      <c r="L28" s="199">
        <f t="shared" si="10"/>
        <v>0</v>
      </c>
      <c r="M28" s="199">
        <f t="shared" si="10"/>
        <v>0</v>
      </c>
      <c r="N28" s="199">
        <f t="shared" si="10"/>
        <v>0</v>
      </c>
      <c r="O28" s="199">
        <f t="shared" si="10"/>
        <v>0</v>
      </c>
      <c r="P28" s="199">
        <f t="shared" si="10"/>
        <v>0</v>
      </c>
      <c r="Q28" s="199">
        <f t="shared" si="10"/>
        <v>0</v>
      </c>
    </row>
    <row r="29" spans="1:19" ht="20.25" customHeight="1">
      <c r="A29" s="8">
        <f>A28+1</f>
        <v>23</v>
      </c>
      <c r="B29" s="2" t="s">
        <v>150</v>
      </c>
      <c r="D29" s="231">
        <f>SUM(F29:H29)</f>
        <v>0</v>
      </c>
      <c r="E29" s="231"/>
      <c r="F29" s="199">
        <f>'WA Monthly'!E137</f>
        <v>0</v>
      </c>
      <c r="G29" s="199">
        <f>'WA Monthly'!F137</f>
        <v>0</v>
      </c>
      <c r="H29" s="199">
        <f>'WA Monthly'!G137</f>
        <v>0</v>
      </c>
      <c r="I29" s="199">
        <f>'WA Monthly'!H137</f>
        <v>0</v>
      </c>
      <c r="J29" s="199">
        <f>'WA Monthly'!I137</f>
        <v>0</v>
      </c>
      <c r="K29" s="199">
        <f>'WA Monthly'!J137</f>
        <v>0</v>
      </c>
      <c r="L29" s="199">
        <f>'WA Monthly'!K137</f>
        <v>0</v>
      </c>
      <c r="M29" s="199">
        <f>'WA Monthly'!L137</f>
        <v>0</v>
      </c>
      <c r="N29" s="199">
        <f>'WA Monthly'!M137</f>
        <v>0</v>
      </c>
      <c r="O29" s="199">
        <f>'WA Monthly'!N137</f>
        <v>0</v>
      </c>
      <c r="P29" s="199">
        <f>'WA Monthly'!O137</f>
        <v>0</v>
      </c>
      <c r="Q29" s="199">
        <f>'WA Monthly'!P137</f>
        <v>0</v>
      </c>
    </row>
    <row r="30" spans="1:19" ht="29.25" customHeight="1">
      <c r="A30" s="8">
        <f t="shared" si="6"/>
        <v>24</v>
      </c>
      <c r="B30" s="233" t="s">
        <v>99</v>
      </c>
      <c r="C30" s="233"/>
      <c r="D30" s="237">
        <f>SUM(F30:Q30)</f>
        <v>711506</v>
      </c>
      <c r="E30" s="237"/>
      <c r="F30" s="200">
        <f>'WA RRC'!B19</f>
        <v>369390</v>
      </c>
      <c r="G30" s="200">
        <f>'WA RRC'!C19</f>
        <v>199735</v>
      </c>
      <c r="H30" s="200">
        <f>'WA RRC'!D19</f>
        <v>142381</v>
      </c>
      <c r="I30" s="200" t="str">
        <f>'WA RRC'!E19</f>
        <v xml:space="preserve"> </v>
      </c>
      <c r="J30" s="200" t="str">
        <f>'WA RRC'!F19</f>
        <v xml:space="preserve"> </v>
      </c>
      <c r="K30" s="200" t="str">
        <f>'WA RRC'!G19</f>
        <v xml:space="preserve"> </v>
      </c>
      <c r="L30" s="200" t="str">
        <f>'WA RRC'!H19</f>
        <v xml:space="preserve"> </v>
      </c>
      <c r="M30" s="200" t="str">
        <f>'WA RRC'!I19</f>
        <v xml:space="preserve"> </v>
      </c>
      <c r="N30" s="200" t="str">
        <f>'WA RRC'!J19</f>
        <v xml:space="preserve"> </v>
      </c>
      <c r="O30" s="200" t="str">
        <f>'WA RRC'!K19</f>
        <v xml:space="preserve"> </v>
      </c>
      <c r="P30" s="200" t="str">
        <f>'WA RRC'!L19</f>
        <v xml:space="preserve"> </v>
      </c>
      <c r="Q30" s="200" t="str">
        <f>'WA RRC'!M19</f>
        <v xml:space="preserve"> </v>
      </c>
    </row>
    <row r="31" spans="1:19" ht="27" customHeight="1">
      <c r="A31" s="8">
        <f t="shared" si="6"/>
        <v>25</v>
      </c>
      <c r="B31" s="236" t="s">
        <v>62</v>
      </c>
      <c r="C31" s="236"/>
      <c r="D31" s="238">
        <f>SUM(F31:H31)</f>
        <v>-8678544</v>
      </c>
      <c r="E31" s="238"/>
      <c r="F31" s="26">
        <f>IF(F13=0," ",F28+F30+F29)</f>
        <v>-2357154</v>
      </c>
      <c r="G31" s="26">
        <f t="shared" ref="G31:Q31" si="11">IF(G13=0," ",G28+G30+G29)</f>
        <v>-3506042</v>
      </c>
      <c r="H31" s="26">
        <f t="shared" si="11"/>
        <v>-2815348</v>
      </c>
      <c r="I31" s="26" t="str">
        <f t="shared" si="11"/>
        <v xml:space="preserve"> </v>
      </c>
      <c r="J31" s="26" t="str">
        <f t="shared" si="11"/>
        <v xml:space="preserve"> </v>
      </c>
      <c r="K31" s="26" t="str">
        <f t="shared" si="11"/>
        <v xml:space="preserve"> </v>
      </c>
      <c r="L31" s="26" t="str">
        <f t="shared" si="11"/>
        <v xml:space="preserve"> </v>
      </c>
      <c r="M31" s="26" t="str">
        <f t="shared" si="11"/>
        <v xml:space="preserve"> </v>
      </c>
      <c r="N31" s="26" t="str">
        <f t="shared" si="11"/>
        <v xml:space="preserve"> </v>
      </c>
      <c r="O31" s="26" t="str">
        <f t="shared" si="11"/>
        <v xml:space="preserve"> </v>
      </c>
      <c r="P31" s="26" t="str">
        <f t="shared" si="11"/>
        <v xml:space="preserve"> </v>
      </c>
      <c r="Q31" s="26" t="str">
        <f t="shared" si="11"/>
        <v xml:space="preserve"> </v>
      </c>
    </row>
    <row r="32" spans="1:19" ht="21" hidden="1" customHeight="1">
      <c r="A32" s="8">
        <f t="shared" si="6"/>
        <v>26</v>
      </c>
      <c r="B32" s="234" t="s">
        <v>122</v>
      </c>
      <c r="C32" s="234"/>
      <c r="D32" s="40"/>
      <c r="E32" s="40"/>
      <c r="F32" s="26"/>
      <c r="G32" s="26"/>
      <c r="H32" s="26"/>
      <c r="I32" s="26"/>
      <c r="J32" s="26"/>
      <c r="K32" s="26"/>
      <c r="L32" s="201">
        <v>0</v>
      </c>
      <c r="M32" s="26"/>
      <c r="N32" s="26"/>
      <c r="O32" s="26"/>
      <c r="P32" s="26"/>
      <c r="Q32" s="26"/>
    </row>
    <row r="33" spans="1:19" ht="28.5" customHeight="1">
      <c r="A33" s="8">
        <f t="shared" si="6"/>
        <v>27</v>
      </c>
      <c r="B33" s="193" t="s">
        <v>115</v>
      </c>
      <c r="C33" s="193"/>
      <c r="D33" s="69"/>
      <c r="E33" s="69"/>
      <c r="F33" s="12">
        <f>IF(F13=0," ",F31)</f>
        <v>-2357154</v>
      </c>
      <c r="G33" s="12">
        <f t="shared" ref="G33:Q33" si="12">IF(G13=0," ",+F33+G31)</f>
        <v>-5863196</v>
      </c>
      <c r="H33" s="12">
        <f t="shared" si="12"/>
        <v>-8678544</v>
      </c>
      <c r="I33" s="12" t="str">
        <f t="shared" si="12"/>
        <v xml:space="preserve"> </v>
      </c>
      <c r="J33" s="12" t="str">
        <f t="shared" si="12"/>
        <v xml:space="preserve"> </v>
      </c>
      <c r="K33" s="12" t="str">
        <f t="shared" si="12"/>
        <v xml:space="preserve"> </v>
      </c>
      <c r="L33" s="12" t="str">
        <f t="shared" si="12"/>
        <v xml:space="preserve"> </v>
      </c>
      <c r="M33" s="12" t="str">
        <f t="shared" si="12"/>
        <v xml:space="preserve"> </v>
      </c>
      <c r="N33" s="12" t="str">
        <f t="shared" si="12"/>
        <v xml:space="preserve"> </v>
      </c>
      <c r="O33" s="12" t="str">
        <f t="shared" si="12"/>
        <v xml:space="preserve"> </v>
      </c>
      <c r="P33" s="12" t="str">
        <f t="shared" si="12"/>
        <v xml:space="preserve"> </v>
      </c>
      <c r="Q33" s="12" t="str">
        <f t="shared" si="12"/>
        <v xml:space="preserve"> </v>
      </c>
      <c r="R33" s="9"/>
    </row>
    <row r="34" spans="1:19" ht="30.75" hidden="1" customHeight="1" outlineLevel="1">
      <c r="A34" s="2" t="s">
        <v>33</v>
      </c>
      <c r="B34" s="202">
        <v>10000000</v>
      </c>
      <c r="C34" s="203" t="s">
        <v>34</v>
      </c>
      <c r="D34" s="70">
        <v>0.9</v>
      </c>
      <c r="E34" s="70">
        <v>0.9</v>
      </c>
      <c r="F34" s="13">
        <f t="shared" ref="F34:Q34" si="13">IF(F13=0," ",IF(ABS(F$33)&lt;$B34,0,(ABS(F$33)-$B34)*SIGN(F$33)))</f>
        <v>0</v>
      </c>
      <c r="G34" s="13">
        <f t="shared" si="13"/>
        <v>0</v>
      </c>
      <c r="H34" s="13">
        <f t="shared" si="13"/>
        <v>0</v>
      </c>
      <c r="I34" s="13" t="str">
        <f t="shared" si="13"/>
        <v xml:space="preserve"> </v>
      </c>
      <c r="J34" s="13" t="str">
        <f t="shared" si="13"/>
        <v xml:space="preserve"> </v>
      </c>
      <c r="K34" s="13" t="str">
        <f t="shared" si="13"/>
        <v xml:space="preserve"> </v>
      </c>
      <c r="L34" s="13" t="str">
        <f t="shared" si="13"/>
        <v xml:space="preserve"> </v>
      </c>
      <c r="M34" s="13" t="str">
        <f t="shared" si="13"/>
        <v xml:space="preserve"> </v>
      </c>
      <c r="N34" s="13" t="str">
        <f t="shared" si="13"/>
        <v xml:space="preserve"> </v>
      </c>
      <c r="O34" s="13" t="str">
        <f t="shared" si="13"/>
        <v xml:space="preserve"> </v>
      </c>
      <c r="P34" s="13" t="str">
        <f t="shared" si="13"/>
        <v xml:space="preserve"> </v>
      </c>
      <c r="Q34" s="13" t="str">
        <f t="shared" si="13"/>
        <v xml:space="preserve"> </v>
      </c>
      <c r="R34" s="10"/>
      <c r="S34" s="204"/>
    </row>
    <row r="35" spans="1:19" ht="19.5" hidden="1" customHeight="1" outlineLevel="1">
      <c r="A35" s="2" t="s">
        <v>33</v>
      </c>
      <c r="B35" s="202">
        <v>4000000</v>
      </c>
      <c r="C35" s="203" t="str">
        <f>"to "&amp;TEXT(B34,"$#,##0,,")&amp;"M"</f>
        <v>to $10M</v>
      </c>
      <c r="D35" s="70">
        <v>0.5</v>
      </c>
      <c r="E35" s="70">
        <v>0.75</v>
      </c>
      <c r="F35" s="13">
        <f t="shared" ref="F35:Q35" si="14">IF(F13=0," ",IF(ABS(F$33)&lt;$B35,0,MIN($B$34-$B$35,ABS(F$33)-$B35)*SIGN(F$33)))</f>
        <v>0</v>
      </c>
      <c r="G35" s="13">
        <f t="shared" si="14"/>
        <v>-1863196</v>
      </c>
      <c r="H35" s="13">
        <f t="shared" si="14"/>
        <v>-4678544</v>
      </c>
      <c r="I35" s="13" t="str">
        <f t="shared" si="14"/>
        <v xml:space="preserve"> </v>
      </c>
      <c r="J35" s="13" t="str">
        <f t="shared" si="14"/>
        <v xml:space="preserve"> </v>
      </c>
      <c r="K35" s="13" t="str">
        <f t="shared" si="14"/>
        <v xml:space="preserve"> </v>
      </c>
      <c r="L35" s="13" t="str">
        <f t="shared" si="14"/>
        <v xml:space="preserve"> </v>
      </c>
      <c r="M35" s="13" t="str">
        <f t="shared" si="14"/>
        <v xml:space="preserve"> </v>
      </c>
      <c r="N35" s="13" t="str">
        <f t="shared" si="14"/>
        <v xml:space="preserve"> </v>
      </c>
      <c r="O35" s="13" t="str">
        <f t="shared" si="14"/>
        <v xml:space="preserve"> </v>
      </c>
      <c r="P35" s="13" t="str">
        <f t="shared" si="14"/>
        <v xml:space="preserve"> </v>
      </c>
      <c r="Q35" s="13" t="str">
        <f t="shared" si="14"/>
        <v xml:space="preserve"> </v>
      </c>
      <c r="R35" s="10"/>
      <c r="S35" s="204"/>
    </row>
    <row r="36" spans="1:19" ht="21.75" hidden="1" customHeight="1" outlineLevel="1">
      <c r="A36" s="2" t="s">
        <v>33</v>
      </c>
      <c r="B36" s="202">
        <v>0</v>
      </c>
      <c r="C36" s="203" t="str">
        <f>"to "&amp;TEXT(B35,"$#,##0,,")&amp;"M"</f>
        <v>to $4M</v>
      </c>
      <c r="D36" s="70">
        <v>0</v>
      </c>
      <c r="E36" s="70">
        <v>0</v>
      </c>
      <c r="F36" s="13">
        <f t="shared" ref="F36:Q36" si="15">IF(F13=0," ",IF(ABS(F$33)&lt;$B36,0,MIN($B$35-$B$36,ABS(F$33)-$B36)*SIGN(F$33)))</f>
        <v>-2357154</v>
      </c>
      <c r="G36" s="13">
        <f t="shared" si="15"/>
        <v>-4000000</v>
      </c>
      <c r="H36" s="13">
        <f t="shared" si="15"/>
        <v>-4000000</v>
      </c>
      <c r="I36" s="13" t="str">
        <f t="shared" si="15"/>
        <v xml:space="preserve"> </v>
      </c>
      <c r="J36" s="13" t="str">
        <f t="shared" si="15"/>
        <v xml:space="preserve"> </v>
      </c>
      <c r="K36" s="13" t="str">
        <f t="shared" si="15"/>
        <v xml:space="preserve"> </v>
      </c>
      <c r="L36" s="13" t="str">
        <f t="shared" si="15"/>
        <v xml:space="preserve"> </v>
      </c>
      <c r="M36" s="13" t="str">
        <f t="shared" si="15"/>
        <v xml:space="preserve"> </v>
      </c>
      <c r="N36" s="13" t="str">
        <f t="shared" si="15"/>
        <v xml:space="preserve"> </v>
      </c>
      <c r="O36" s="13" t="str">
        <f t="shared" si="15"/>
        <v xml:space="preserve"> </v>
      </c>
      <c r="P36" s="13" t="str">
        <f t="shared" si="15"/>
        <v xml:space="preserve"> </v>
      </c>
      <c r="Q36" s="13" t="str">
        <f t="shared" si="15"/>
        <v xml:space="preserve"> </v>
      </c>
      <c r="R36" s="10"/>
    </row>
    <row r="37" spans="1:19" ht="15.95" hidden="1" customHeight="1" outlineLevel="1">
      <c r="A37" s="2"/>
      <c r="B37" s="205"/>
      <c r="C37" s="2" t="s">
        <v>35</v>
      </c>
      <c r="D37" s="71"/>
      <c r="E37" s="71"/>
      <c r="F37" s="72">
        <f t="shared" ref="F37:Q37" si="16">IF(F13=0," ",SUM(F34:F36)-F33)</f>
        <v>0</v>
      </c>
      <c r="G37" s="72">
        <f t="shared" si="16"/>
        <v>0</v>
      </c>
      <c r="H37" s="72">
        <f t="shared" si="16"/>
        <v>0</v>
      </c>
      <c r="I37" s="72" t="str">
        <f t="shared" si="16"/>
        <v xml:space="preserve"> </v>
      </c>
      <c r="J37" s="72" t="str">
        <f t="shared" si="16"/>
        <v xml:space="preserve"> </v>
      </c>
      <c r="K37" s="72" t="str">
        <f t="shared" si="16"/>
        <v xml:space="preserve"> </v>
      </c>
      <c r="L37" s="72" t="str">
        <f t="shared" si="16"/>
        <v xml:space="preserve"> </v>
      </c>
      <c r="M37" s="72" t="str">
        <f t="shared" si="16"/>
        <v xml:space="preserve"> </v>
      </c>
      <c r="N37" s="72" t="str">
        <f t="shared" si="16"/>
        <v xml:space="preserve"> </v>
      </c>
      <c r="O37" s="72" t="str">
        <f t="shared" si="16"/>
        <v xml:space="preserve"> </v>
      </c>
      <c r="P37" s="72" t="str">
        <f t="shared" si="16"/>
        <v xml:space="preserve"> </v>
      </c>
      <c r="Q37" s="72" t="str">
        <f t="shared" si="16"/>
        <v xml:space="preserve"> </v>
      </c>
      <c r="R37" s="11"/>
    </row>
    <row r="38" spans="1:19" ht="23.25" customHeight="1" collapsed="1">
      <c r="A38" s="2" t="s">
        <v>100</v>
      </c>
      <c r="D38" s="73"/>
      <c r="E38" s="73"/>
      <c r="F38" s="13">
        <f t="shared" ref="F38:Q38" si="17">IF(F13=0," ",SUMPRODUCT(IF(F33&gt;0,$D$34:$D$36,$E$34:$E$36),F34:F36))</f>
        <v>0</v>
      </c>
      <c r="G38" s="13">
        <f t="shared" si="17"/>
        <v>-1397397</v>
      </c>
      <c r="H38" s="13">
        <f t="shared" si="17"/>
        <v>-3508908</v>
      </c>
      <c r="I38" s="13" t="str">
        <f t="shared" si="17"/>
        <v xml:space="preserve"> </v>
      </c>
      <c r="J38" s="13" t="str">
        <f t="shared" si="17"/>
        <v xml:space="preserve"> </v>
      </c>
      <c r="K38" s="13" t="str">
        <f t="shared" si="17"/>
        <v xml:space="preserve"> </v>
      </c>
      <c r="L38" s="13" t="str">
        <f t="shared" si="17"/>
        <v xml:space="preserve"> </v>
      </c>
      <c r="M38" s="13" t="str">
        <f t="shared" si="17"/>
        <v xml:space="preserve"> </v>
      </c>
      <c r="N38" s="13" t="str">
        <f t="shared" si="17"/>
        <v xml:space="preserve"> </v>
      </c>
      <c r="O38" s="13" t="str">
        <f t="shared" si="17"/>
        <v xml:space="preserve"> </v>
      </c>
      <c r="P38" s="13" t="str">
        <f t="shared" si="17"/>
        <v xml:space="preserve"> </v>
      </c>
      <c r="Q38" s="13" t="str">
        <f t="shared" si="17"/>
        <v xml:space="preserve"> </v>
      </c>
      <c r="R38" s="10" t="s">
        <v>101</v>
      </c>
    </row>
    <row r="39" spans="1:19" ht="20.25" customHeight="1">
      <c r="A39" s="2" t="s">
        <v>151</v>
      </c>
      <c r="D39" s="74"/>
      <c r="E39" s="74"/>
      <c r="F39" s="13">
        <f>IF(F13=0," ",F38-D38)</f>
        <v>0</v>
      </c>
      <c r="G39" s="13">
        <f t="shared" ref="G39:Q39" si="18">IF(G13=0," ",G38-F38)</f>
        <v>-1397397</v>
      </c>
      <c r="H39" s="13">
        <f t="shared" si="18"/>
        <v>-2111511</v>
      </c>
      <c r="I39" s="13" t="str">
        <f t="shared" si="18"/>
        <v xml:space="preserve"> </v>
      </c>
      <c r="J39" s="13" t="str">
        <f t="shared" si="18"/>
        <v xml:space="preserve"> </v>
      </c>
      <c r="K39" s="13" t="str">
        <f t="shared" si="18"/>
        <v xml:space="preserve"> </v>
      </c>
      <c r="L39" s="13" t="str">
        <f t="shared" si="18"/>
        <v xml:space="preserve"> </v>
      </c>
      <c r="M39" s="13" t="str">
        <f t="shared" si="18"/>
        <v xml:space="preserve"> </v>
      </c>
      <c r="N39" s="13" t="str">
        <f t="shared" si="18"/>
        <v xml:space="preserve"> </v>
      </c>
      <c r="O39" s="13" t="str">
        <f t="shared" si="18"/>
        <v xml:space="preserve"> </v>
      </c>
      <c r="P39" s="13" t="str">
        <f t="shared" si="18"/>
        <v xml:space="preserve"> </v>
      </c>
      <c r="Q39" s="13" t="str">
        <f t="shared" si="18"/>
        <v xml:space="preserve"> </v>
      </c>
      <c r="R39" s="11"/>
    </row>
    <row r="40" spans="1:19" ht="24.75" customHeight="1">
      <c r="A40" s="234" t="s">
        <v>103</v>
      </c>
      <c r="B40" s="234"/>
      <c r="C40" s="234"/>
      <c r="D40" s="238">
        <f>SUM(F40:H40)</f>
        <v>3508908</v>
      </c>
      <c r="E40" s="238"/>
      <c r="F40" s="15">
        <f t="shared" ref="F40:Q40" si="19">IF(F13=0," ",-F39)</f>
        <v>0</v>
      </c>
      <c r="G40" s="15">
        <f t="shared" si="19"/>
        <v>1397397</v>
      </c>
      <c r="H40" s="15">
        <f t="shared" si="19"/>
        <v>2111511</v>
      </c>
      <c r="I40" s="15" t="str">
        <f t="shared" si="19"/>
        <v xml:space="preserve"> </v>
      </c>
      <c r="J40" s="15" t="str">
        <f t="shared" si="19"/>
        <v xml:space="preserve"> </v>
      </c>
      <c r="K40" s="15" t="str">
        <f t="shared" si="19"/>
        <v xml:space="preserve"> </v>
      </c>
      <c r="L40" s="15" t="str">
        <f t="shared" si="19"/>
        <v xml:space="preserve"> </v>
      </c>
      <c r="M40" s="15" t="str">
        <f t="shared" si="19"/>
        <v xml:space="preserve"> </v>
      </c>
      <c r="N40" s="15" t="str">
        <f t="shared" si="19"/>
        <v xml:space="preserve"> </v>
      </c>
      <c r="O40" s="15" t="str">
        <f t="shared" si="19"/>
        <v xml:space="preserve"> </v>
      </c>
      <c r="P40" s="15" t="str">
        <f t="shared" si="19"/>
        <v xml:space="preserve"> </v>
      </c>
      <c r="Q40" s="15" t="str">
        <f t="shared" si="19"/>
        <v xml:space="preserve"> </v>
      </c>
      <c r="R40" s="10"/>
    </row>
    <row r="41" spans="1:19" ht="26.25" customHeight="1" thickBot="1">
      <c r="A41" s="232" t="s">
        <v>38</v>
      </c>
      <c r="B41" s="232"/>
      <c r="C41" s="232"/>
      <c r="D41" s="75"/>
      <c r="E41" s="75"/>
      <c r="F41" s="17">
        <f t="shared" ref="F41:Q41" si="20">IF(F13=0," ",F33-F38)</f>
        <v>-2357154</v>
      </c>
      <c r="G41" s="17">
        <f t="shared" si="20"/>
        <v>-4465799</v>
      </c>
      <c r="H41" s="17">
        <f t="shared" si="20"/>
        <v>-5169636</v>
      </c>
      <c r="I41" s="17" t="str">
        <f t="shared" si="20"/>
        <v xml:space="preserve"> </v>
      </c>
      <c r="J41" s="17" t="str">
        <f t="shared" si="20"/>
        <v xml:space="preserve"> </v>
      </c>
      <c r="K41" s="17" t="str">
        <f t="shared" si="20"/>
        <v xml:space="preserve"> </v>
      </c>
      <c r="L41" s="17" t="str">
        <f t="shared" si="20"/>
        <v xml:space="preserve"> </v>
      </c>
      <c r="M41" s="17" t="str">
        <f t="shared" si="20"/>
        <v xml:space="preserve"> </v>
      </c>
      <c r="N41" s="17" t="str">
        <f t="shared" si="20"/>
        <v xml:space="preserve"> </v>
      </c>
      <c r="O41" s="17" t="str">
        <f t="shared" si="20"/>
        <v xml:space="preserve"> </v>
      </c>
      <c r="P41" s="17" t="str">
        <f t="shared" si="20"/>
        <v xml:space="preserve"> </v>
      </c>
      <c r="Q41" s="17" t="str">
        <f t="shared" si="20"/>
        <v xml:space="preserve"> </v>
      </c>
      <c r="R41" s="2" t="s">
        <v>41</v>
      </c>
    </row>
    <row r="42" spans="1:19" ht="13.5" thickTop="1">
      <c r="A42" s="206"/>
    </row>
    <row r="43" spans="1:19">
      <c r="E43" s="207"/>
      <c r="F43" s="208"/>
      <c r="Q43" s="13"/>
      <c r="R43" s="9"/>
    </row>
    <row r="44" spans="1:19">
      <c r="E44" s="49"/>
      <c r="F44" s="4"/>
      <c r="H44" s="209"/>
      <c r="I44" s="209"/>
      <c r="J44" s="209"/>
      <c r="K44" s="209"/>
      <c r="Q44" s="38"/>
      <c r="R44" s="9"/>
    </row>
    <row r="45" spans="1:19">
      <c r="E45" s="207"/>
      <c r="F45" s="95"/>
      <c r="H45" s="209"/>
      <c r="I45" s="209"/>
      <c r="J45" s="209"/>
      <c r="K45" s="209"/>
      <c r="Q45" s="38"/>
      <c r="R45" s="9"/>
    </row>
    <row r="46" spans="1:19">
      <c r="H46" s="209"/>
      <c r="I46" s="209"/>
      <c r="J46" s="209"/>
      <c r="K46" s="209"/>
    </row>
    <row r="47" spans="1:19">
      <c r="F47" s="210"/>
      <c r="H47" s="209"/>
      <c r="I47" s="209"/>
      <c r="J47" s="209"/>
      <c r="K47" s="209"/>
    </row>
    <row r="48" spans="1:19">
      <c r="F48" s="210"/>
      <c r="H48" s="209"/>
      <c r="I48" s="209"/>
      <c r="J48" s="209"/>
      <c r="K48" s="209"/>
      <c r="Q48" s="9"/>
    </row>
    <row r="49" spans="8:11">
      <c r="H49" s="209"/>
      <c r="I49" s="209"/>
      <c r="J49" s="209"/>
      <c r="K49" s="209"/>
    </row>
    <row r="50" spans="8:11">
      <c r="H50" s="209"/>
      <c r="I50" s="209"/>
      <c r="J50" s="209"/>
      <c r="K50" s="209"/>
    </row>
    <row r="51" spans="8:11">
      <c r="H51" s="209"/>
      <c r="I51" s="209"/>
      <c r="J51" s="209"/>
      <c r="K51" s="209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  <mergeCell ref="D21:E21"/>
    <mergeCell ref="D29:E29"/>
    <mergeCell ref="D20:E20"/>
    <mergeCell ref="D18:E18"/>
    <mergeCell ref="D19:E19"/>
    <mergeCell ref="D22:E22"/>
    <mergeCell ref="D13:E13"/>
    <mergeCell ref="D17:E17"/>
    <mergeCell ref="D8:E8"/>
    <mergeCell ref="D9:E9"/>
    <mergeCell ref="D10:E10"/>
    <mergeCell ref="D16:E16"/>
    <mergeCell ref="D14:E14"/>
    <mergeCell ref="D15:E15"/>
    <mergeCell ref="A1:Q1"/>
    <mergeCell ref="A2:Q2"/>
    <mergeCell ref="D11:E11"/>
    <mergeCell ref="D12:E12"/>
    <mergeCell ref="D5:E5"/>
    <mergeCell ref="D6:E6"/>
    <mergeCell ref="D7:E7"/>
  </mergeCells>
  <phoneticPr fontId="12" type="noConversion"/>
  <conditionalFormatting sqref="F37:R37">
    <cfRule type="expression" dxfId="0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T500"/>
  <sheetViews>
    <sheetView zoomScaleNormal="100" zoomScaleSheetLayoutView="100" workbookViewId="0">
      <pane xSplit="4" ySplit="5" topLeftCell="E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R1"/>
    </sheetView>
  </sheetViews>
  <sheetFormatPr defaultColWidth="11.42578125" defaultRowHeight="12.75" outlineLevelRow="2" outlineLevelCol="1"/>
  <cols>
    <col min="1" max="1" width="5" style="78" customWidth="1"/>
    <col min="2" max="2" width="46.140625" style="4" customWidth="1"/>
    <col min="3" max="3" width="33.5703125" style="4" hidden="1" customWidth="1" outlineLevel="1"/>
    <col min="4" max="4" width="13.42578125" style="4" bestFit="1" customWidth="1" collapsed="1"/>
    <col min="5" max="5" width="13.7109375" style="4" customWidth="1"/>
    <col min="6" max="6" width="12.7109375" style="4" customWidth="1"/>
    <col min="7" max="7" width="12.42578125" style="4" customWidth="1"/>
    <col min="8" max="8" width="12.5703125" style="4" customWidth="1"/>
    <col min="9" max="9" width="12.140625" style="4" customWidth="1"/>
    <col min="10" max="10" width="12.5703125" style="4" customWidth="1"/>
    <col min="11" max="16" width="12.7109375" style="4" customWidth="1"/>
    <col min="17" max="17" width="2.7109375" style="5" hidden="1" customWidth="1" outlineLevel="1"/>
    <col min="18" max="18" width="14.28515625" style="4" hidden="1" customWidth="1" outlineLevel="1"/>
    <col min="19" max="19" width="11.42578125" style="4" collapsed="1"/>
    <col min="20" max="20" width="13.28515625" style="4" bestFit="1" customWidth="1"/>
    <col min="21" max="16384" width="11.42578125" style="4"/>
  </cols>
  <sheetData>
    <row r="1" spans="1:18">
      <c r="A1" s="240" t="s">
        <v>73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</row>
    <row r="2" spans="1:18">
      <c r="A2" s="240" t="s">
        <v>86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</row>
    <row r="3" spans="1:18" ht="38.25" customHeight="1">
      <c r="A3" s="4"/>
    </row>
    <row r="4" spans="1:18">
      <c r="A4" s="67" t="s">
        <v>0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8">
      <c r="A5" s="139" t="s">
        <v>1</v>
      </c>
      <c r="C5" s="4" t="s">
        <v>90</v>
      </c>
      <c r="D5" s="140" t="s">
        <v>9</v>
      </c>
      <c r="E5" s="141">
        <v>43861</v>
      </c>
      <c r="F5" s="141">
        <f t="shared" ref="F5:P5" si="0">EOMONTH(E5,1)</f>
        <v>43890</v>
      </c>
      <c r="G5" s="141">
        <f t="shared" si="0"/>
        <v>43921</v>
      </c>
      <c r="H5" s="141">
        <f t="shared" si="0"/>
        <v>43951</v>
      </c>
      <c r="I5" s="141">
        <f t="shared" si="0"/>
        <v>43982</v>
      </c>
      <c r="J5" s="141">
        <f t="shared" si="0"/>
        <v>44012</v>
      </c>
      <c r="K5" s="141">
        <f t="shared" si="0"/>
        <v>44043</v>
      </c>
      <c r="L5" s="141">
        <f t="shared" si="0"/>
        <v>44074</v>
      </c>
      <c r="M5" s="141">
        <f t="shared" si="0"/>
        <v>44104</v>
      </c>
      <c r="N5" s="141">
        <f t="shared" si="0"/>
        <v>44135</v>
      </c>
      <c r="O5" s="141">
        <f t="shared" si="0"/>
        <v>44165</v>
      </c>
      <c r="P5" s="141">
        <f t="shared" si="0"/>
        <v>44196</v>
      </c>
      <c r="Q5" s="142"/>
      <c r="R5" s="141" t="s">
        <v>67</v>
      </c>
    </row>
    <row r="6" spans="1:18">
      <c r="A6" s="67"/>
      <c r="B6" s="51" t="s">
        <v>12</v>
      </c>
      <c r="C6" s="57"/>
    </row>
    <row r="7" spans="1:18">
      <c r="A7" s="67">
        <f>A6+1</f>
        <v>1</v>
      </c>
      <c r="B7" s="3" t="s">
        <v>102</v>
      </c>
      <c r="C7" s="27"/>
      <c r="D7" s="18">
        <f>SUM(E7:P7)</f>
        <v>6555263</v>
      </c>
      <c r="E7" s="18">
        <f>E23-SUM(E8:E22)</f>
        <v>3386200</v>
      </c>
      <c r="F7" s="18">
        <f t="shared" ref="F7:P7" si="1">F23-SUM(F8:F22)</f>
        <v>2505205</v>
      </c>
      <c r="G7" s="18">
        <f t="shared" si="1"/>
        <v>663858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43"/>
      <c r="R7" s="89">
        <f t="shared" ref="R7:R22" si="2">SUM(E7:P7)</f>
        <v>6555263</v>
      </c>
    </row>
    <row r="8" spans="1:18">
      <c r="A8" s="67">
        <v>2</v>
      </c>
      <c r="B8" s="143" t="s">
        <v>107</v>
      </c>
      <c r="C8" s="144">
        <v>100096</v>
      </c>
      <c r="D8" s="18">
        <f t="shared" ref="D8:D22" si="3">SUM(E8:P8)</f>
        <v>4198436</v>
      </c>
      <c r="E8" s="145">
        <f>'Input Tab'!C19</f>
        <v>1399478</v>
      </c>
      <c r="F8" s="145">
        <f>'Input Tab'!D19</f>
        <v>1399479</v>
      </c>
      <c r="G8" s="145">
        <f>'Input Tab'!E19</f>
        <v>1399479</v>
      </c>
      <c r="H8" s="145">
        <f>'Input Tab'!F19</f>
        <v>0</v>
      </c>
      <c r="I8" s="145">
        <f>'Input Tab'!G19</f>
        <v>0</v>
      </c>
      <c r="J8" s="145">
        <f>'Input Tab'!H19</f>
        <v>0</v>
      </c>
      <c r="K8" s="145">
        <f>'Input Tab'!I19</f>
        <v>0</v>
      </c>
      <c r="L8" s="145">
        <f>'Input Tab'!J19</f>
        <v>0</v>
      </c>
      <c r="M8" s="145">
        <f>'Input Tab'!K19</f>
        <v>0</v>
      </c>
      <c r="N8" s="145">
        <f>'Input Tab'!L19</f>
        <v>0</v>
      </c>
      <c r="O8" s="145">
        <f>'Input Tab'!M19</f>
        <v>0</v>
      </c>
      <c r="P8" s="145">
        <f>'Input Tab'!N19</f>
        <v>0</v>
      </c>
      <c r="Q8" s="43"/>
      <c r="R8" s="89">
        <f t="shared" si="2"/>
        <v>4198436</v>
      </c>
    </row>
    <row r="9" spans="1:18">
      <c r="A9" s="67">
        <v>3</v>
      </c>
      <c r="B9" s="143" t="s">
        <v>108</v>
      </c>
      <c r="C9" s="144">
        <v>107240</v>
      </c>
      <c r="D9" s="18">
        <f t="shared" si="3"/>
        <v>347587</v>
      </c>
      <c r="E9" s="145">
        <f>'Input Tab'!C20</f>
        <v>128412</v>
      </c>
      <c r="F9" s="145">
        <f>'Input Tab'!D20</f>
        <v>137331</v>
      </c>
      <c r="G9" s="145">
        <f>'Input Tab'!E20</f>
        <v>81844</v>
      </c>
      <c r="H9" s="145">
        <f>'Input Tab'!F20</f>
        <v>0</v>
      </c>
      <c r="I9" s="145">
        <f>'Input Tab'!G20</f>
        <v>0</v>
      </c>
      <c r="J9" s="145">
        <f>'Input Tab'!H20</f>
        <v>0</v>
      </c>
      <c r="K9" s="145">
        <f>'Input Tab'!I20</f>
        <v>0</v>
      </c>
      <c r="L9" s="145">
        <f>'Input Tab'!J20</f>
        <v>0</v>
      </c>
      <c r="M9" s="145">
        <f>'Input Tab'!K20</f>
        <v>0</v>
      </c>
      <c r="N9" s="145">
        <f>'Input Tab'!L20</f>
        <v>0</v>
      </c>
      <c r="O9" s="145">
        <f>'Input Tab'!M20</f>
        <v>0</v>
      </c>
      <c r="P9" s="145">
        <f>'Input Tab'!N20</f>
        <v>0</v>
      </c>
      <c r="Q9" s="43"/>
      <c r="R9" s="89">
        <f>SUM(E9:P9)</f>
        <v>347587</v>
      </c>
    </row>
    <row r="10" spans="1:18">
      <c r="A10" s="67">
        <v>4</v>
      </c>
      <c r="B10" s="3" t="s">
        <v>111</v>
      </c>
      <c r="C10" s="27">
        <v>100131</v>
      </c>
      <c r="D10" s="18">
        <f t="shared" si="3"/>
        <v>621000</v>
      </c>
      <c r="E10" s="145">
        <f>'Input Tab'!C21</f>
        <v>207000</v>
      </c>
      <c r="F10" s="145">
        <f>'Input Tab'!D21</f>
        <v>207000</v>
      </c>
      <c r="G10" s="145">
        <f>'Input Tab'!E21</f>
        <v>207000</v>
      </c>
      <c r="H10" s="145">
        <f>'Input Tab'!F21</f>
        <v>0</v>
      </c>
      <c r="I10" s="145">
        <f>'Input Tab'!G21</f>
        <v>0</v>
      </c>
      <c r="J10" s="145">
        <f>'Input Tab'!H21</f>
        <v>0</v>
      </c>
      <c r="K10" s="145">
        <f>'Input Tab'!I21</f>
        <v>0</v>
      </c>
      <c r="L10" s="145">
        <f>'Input Tab'!J21</f>
        <v>0</v>
      </c>
      <c r="M10" s="145">
        <f>'Input Tab'!K21</f>
        <v>0</v>
      </c>
      <c r="N10" s="145">
        <f>'Input Tab'!L21</f>
        <v>0</v>
      </c>
      <c r="O10" s="145">
        <f>'Input Tab'!M21</f>
        <v>0</v>
      </c>
      <c r="P10" s="145">
        <f>'Input Tab'!N21</f>
        <v>0</v>
      </c>
      <c r="Q10" s="43"/>
      <c r="R10" s="89">
        <f t="shared" si="2"/>
        <v>621000</v>
      </c>
    </row>
    <row r="11" spans="1:18" ht="13.5" customHeight="1">
      <c r="A11" s="67">
        <v>5</v>
      </c>
      <c r="B11" s="3" t="s">
        <v>109</v>
      </c>
      <c r="C11" s="27">
        <v>100085</v>
      </c>
      <c r="D11" s="18">
        <f t="shared" si="3"/>
        <v>2536497</v>
      </c>
      <c r="E11" s="146">
        <f>'Input Tab'!C22</f>
        <v>845499</v>
      </c>
      <c r="F11" s="146">
        <f>'Input Tab'!D22</f>
        <v>845499</v>
      </c>
      <c r="G11" s="146">
        <f>'Input Tab'!E22</f>
        <v>845499</v>
      </c>
      <c r="H11" s="146">
        <f>'Input Tab'!F22</f>
        <v>0</v>
      </c>
      <c r="I11" s="146">
        <f>'Input Tab'!G22</f>
        <v>0</v>
      </c>
      <c r="J11" s="146">
        <f>'Input Tab'!H22</f>
        <v>0</v>
      </c>
      <c r="K11" s="146">
        <f>'Input Tab'!I22</f>
        <v>0</v>
      </c>
      <c r="L11" s="146">
        <f>'Input Tab'!J22</f>
        <v>0</v>
      </c>
      <c r="M11" s="146">
        <f>'Input Tab'!K22</f>
        <v>0</v>
      </c>
      <c r="N11" s="146">
        <f>'Input Tab'!L22</f>
        <v>0</v>
      </c>
      <c r="O11" s="146">
        <f>'Input Tab'!M22</f>
        <v>0</v>
      </c>
      <c r="P11" s="146">
        <f>'Input Tab'!N22</f>
        <v>0</v>
      </c>
      <c r="Q11" s="43"/>
      <c r="R11" s="89">
        <f t="shared" si="2"/>
        <v>2536497</v>
      </c>
    </row>
    <row r="12" spans="1:18" ht="14.25">
      <c r="A12" s="67">
        <f>A11+1</f>
        <v>6</v>
      </c>
      <c r="B12" s="3" t="s">
        <v>110</v>
      </c>
      <c r="C12" s="78" t="s">
        <v>91</v>
      </c>
      <c r="D12" s="18">
        <f t="shared" si="3"/>
        <v>0</v>
      </c>
      <c r="E12" s="146">
        <f>'Input Tab'!C23</f>
        <v>0</v>
      </c>
      <c r="F12" s="146">
        <f>'Input Tab'!D23</f>
        <v>0</v>
      </c>
      <c r="G12" s="146">
        <f>'Input Tab'!E23</f>
        <v>0</v>
      </c>
      <c r="H12" s="146">
        <f>'Input Tab'!F23</f>
        <v>0</v>
      </c>
      <c r="I12" s="146">
        <f>'Input Tab'!G23</f>
        <v>0</v>
      </c>
      <c r="J12" s="146">
        <f>'Input Tab'!H23</f>
        <v>0</v>
      </c>
      <c r="K12" s="146">
        <f>'Input Tab'!I23</f>
        <v>0</v>
      </c>
      <c r="L12" s="146">
        <f>'Input Tab'!J23</f>
        <v>0</v>
      </c>
      <c r="M12" s="145">
        <f>'Input Tab'!K23</f>
        <v>0</v>
      </c>
      <c r="N12" s="145">
        <f>'Input Tab'!L23</f>
        <v>0</v>
      </c>
      <c r="O12" s="146">
        <f>'Input Tab'!M23</f>
        <v>0</v>
      </c>
      <c r="P12" s="146">
        <f>'Input Tab'!N23</f>
        <v>0</v>
      </c>
      <c r="Q12" s="43"/>
      <c r="R12" s="89">
        <f t="shared" si="2"/>
        <v>0</v>
      </c>
    </row>
    <row r="13" spans="1:18">
      <c r="A13" s="67">
        <f t="shared" ref="A13:A23" si="4">A12+1</f>
        <v>7</v>
      </c>
      <c r="B13" s="4" t="s">
        <v>104</v>
      </c>
      <c r="C13" s="78">
        <v>100137</v>
      </c>
      <c r="D13" s="18">
        <f t="shared" si="3"/>
        <v>3301</v>
      </c>
      <c r="E13" s="146">
        <f>'Input Tab'!C24</f>
        <v>969</v>
      </c>
      <c r="F13" s="146">
        <f>'Input Tab'!D24</f>
        <v>1162</v>
      </c>
      <c r="G13" s="146">
        <f>'Input Tab'!E24</f>
        <v>1170</v>
      </c>
      <c r="H13" s="146">
        <f>'Input Tab'!F24</f>
        <v>0</v>
      </c>
      <c r="I13" s="146">
        <f>'Input Tab'!G24</f>
        <v>0</v>
      </c>
      <c r="J13" s="146">
        <f>'Input Tab'!H24</f>
        <v>0</v>
      </c>
      <c r="K13" s="146">
        <f>'Input Tab'!I24</f>
        <v>0</v>
      </c>
      <c r="L13" s="146">
        <f>'Input Tab'!J24</f>
        <v>0</v>
      </c>
      <c r="M13" s="146">
        <f>'Input Tab'!K24</f>
        <v>0</v>
      </c>
      <c r="N13" s="146">
        <f>'Input Tab'!L24</f>
        <v>0</v>
      </c>
      <c r="O13" s="146">
        <f>'Input Tab'!M24</f>
        <v>0</v>
      </c>
      <c r="P13" s="146">
        <f>'Input Tab'!N24</f>
        <v>0</v>
      </c>
      <c r="Q13" s="43"/>
      <c r="R13" s="89">
        <f t="shared" si="2"/>
        <v>3301</v>
      </c>
    </row>
    <row r="14" spans="1:18">
      <c r="A14" s="67">
        <f t="shared" si="4"/>
        <v>8</v>
      </c>
      <c r="B14" s="4" t="s">
        <v>13</v>
      </c>
      <c r="C14" s="27" t="s">
        <v>148</v>
      </c>
      <c r="D14" s="18">
        <f t="shared" si="3"/>
        <v>449703</v>
      </c>
      <c r="E14" s="146">
        <f>'Input Tab'!C25</f>
        <v>135481</v>
      </c>
      <c r="F14" s="146">
        <f>'Input Tab'!D25</f>
        <v>178168</v>
      </c>
      <c r="G14" s="146">
        <f>'Input Tab'!E25</f>
        <v>136054</v>
      </c>
      <c r="H14" s="146">
        <f>'Input Tab'!F25</f>
        <v>0</v>
      </c>
      <c r="I14" s="146">
        <f>'Input Tab'!G25</f>
        <v>0</v>
      </c>
      <c r="J14" s="146">
        <f>'Input Tab'!H25</f>
        <v>0</v>
      </c>
      <c r="K14" s="146">
        <f>'Input Tab'!I25</f>
        <v>0</v>
      </c>
      <c r="L14" s="146">
        <f>'Input Tab'!J25</f>
        <v>0</v>
      </c>
      <c r="M14" s="146">
        <f>'Input Tab'!K25</f>
        <v>0</v>
      </c>
      <c r="N14" s="146">
        <f>'Input Tab'!L25</f>
        <v>0</v>
      </c>
      <c r="O14" s="146">
        <f>'Input Tab'!M25</f>
        <v>0</v>
      </c>
      <c r="P14" s="146">
        <f>'Input Tab'!N25</f>
        <v>0</v>
      </c>
      <c r="Q14" s="43"/>
      <c r="R14" s="89">
        <f t="shared" si="2"/>
        <v>449703</v>
      </c>
    </row>
    <row r="15" spans="1:18">
      <c r="A15" s="67">
        <f t="shared" si="4"/>
        <v>9</v>
      </c>
      <c r="B15" s="3" t="s">
        <v>40</v>
      </c>
      <c r="C15" s="27">
        <v>185895</v>
      </c>
      <c r="D15" s="18">
        <f t="shared" si="3"/>
        <v>401673</v>
      </c>
      <c r="E15" s="146">
        <f>'Input Tab'!C35</f>
        <v>160536</v>
      </c>
      <c r="F15" s="146">
        <f>'Input Tab'!D35</f>
        <v>132054</v>
      </c>
      <c r="G15" s="146">
        <f>'Input Tab'!E35</f>
        <v>109083</v>
      </c>
      <c r="H15" s="146">
        <f>'Input Tab'!F35</f>
        <v>0</v>
      </c>
      <c r="I15" s="146">
        <f>'Input Tab'!G35</f>
        <v>0</v>
      </c>
      <c r="J15" s="146">
        <f>'Input Tab'!H35</f>
        <v>0</v>
      </c>
      <c r="K15" s="146">
        <f>'Input Tab'!I35</f>
        <v>0</v>
      </c>
      <c r="L15" s="146">
        <f>'Input Tab'!J35</f>
        <v>0</v>
      </c>
      <c r="M15" s="146">
        <f>'Input Tab'!K35</f>
        <v>0</v>
      </c>
      <c r="N15" s="146">
        <f>'Input Tab'!L35</f>
        <v>0</v>
      </c>
      <c r="O15" s="146">
        <f>'Input Tab'!M35</f>
        <v>0</v>
      </c>
      <c r="P15" s="146">
        <f>'Input Tab'!N35</f>
        <v>0</v>
      </c>
      <c r="Q15" s="43"/>
      <c r="R15" s="89">
        <f t="shared" si="2"/>
        <v>401673</v>
      </c>
    </row>
    <row r="16" spans="1:18" ht="12.75" customHeight="1">
      <c r="A16" s="67">
        <f t="shared" si="4"/>
        <v>10</v>
      </c>
      <c r="B16" s="4" t="s">
        <v>89</v>
      </c>
      <c r="C16" s="27">
        <v>186298</v>
      </c>
      <c r="D16" s="18">
        <f t="shared" si="3"/>
        <v>742926</v>
      </c>
      <c r="E16" s="146">
        <f>'Input Tab'!C36</f>
        <v>220402</v>
      </c>
      <c r="F16" s="146">
        <f>'Input Tab'!D36</f>
        <v>348737</v>
      </c>
      <c r="G16" s="146">
        <f>'Input Tab'!E36</f>
        <v>173787</v>
      </c>
      <c r="H16" s="146">
        <f>'Input Tab'!F36</f>
        <v>0</v>
      </c>
      <c r="I16" s="146">
        <f>'Input Tab'!G36</f>
        <v>0</v>
      </c>
      <c r="J16" s="146">
        <f>'Input Tab'!H36</f>
        <v>0</v>
      </c>
      <c r="K16" s="146">
        <f>'Input Tab'!I36</f>
        <v>0</v>
      </c>
      <c r="L16" s="146">
        <f>'Input Tab'!J36</f>
        <v>0</v>
      </c>
      <c r="M16" s="146">
        <f>'Input Tab'!K36</f>
        <v>0</v>
      </c>
      <c r="N16" s="146">
        <f>'Input Tab'!L36</f>
        <v>0</v>
      </c>
      <c r="O16" s="146">
        <f>'Input Tab'!M36</f>
        <v>0</v>
      </c>
      <c r="P16" s="146">
        <f>'Input Tab'!N36</f>
        <v>0</v>
      </c>
      <c r="Q16" s="43"/>
      <c r="R16" s="89">
        <f t="shared" si="2"/>
        <v>742926</v>
      </c>
    </row>
    <row r="17" spans="1:20">
      <c r="A17" s="67">
        <f>A16+1</f>
        <v>11</v>
      </c>
      <c r="B17" s="3" t="s">
        <v>117</v>
      </c>
      <c r="C17" s="27">
        <v>223063</v>
      </c>
      <c r="D17" s="18">
        <f t="shared" si="3"/>
        <v>1506868</v>
      </c>
      <c r="E17" s="146">
        <f>'Input Tab'!C37</f>
        <v>539216</v>
      </c>
      <c r="F17" s="146">
        <f>'Input Tab'!D37</f>
        <v>522867</v>
      </c>
      <c r="G17" s="146">
        <f>'Input Tab'!E37</f>
        <v>444785</v>
      </c>
      <c r="H17" s="146">
        <f>'Input Tab'!F37</f>
        <v>0</v>
      </c>
      <c r="I17" s="146">
        <f>'Input Tab'!G37</f>
        <v>0</v>
      </c>
      <c r="J17" s="146">
        <f>'Input Tab'!H37</f>
        <v>0</v>
      </c>
      <c r="K17" s="146">
        <f>'Input Tab'!I37</f>
        <v>0</v>
      </c>
      <c r="L17" s="146">
        <f>'Input Tab'!J37</f>
        <v>0</v>
      </c>
      <c r="M17" s="146">
        <f>'Input Tab'!K37</f>
        <v>0</v>
      </c>
      <c r="N17" s="146">
        <f>'Input Tab'!L37</f>
        <v>0</v>
      </c>
      <c r="O17" s="146">
        <f>'Input Tab'!M37</f>
        <v>0</v>
      </c>
      <c r="P17" s="146">
        <f>'Input Tab'!N37</f>
        <v>0</v>
      </c>
      <c r="Q17" s="43"/>
      <c r="R17" s="89">
        <f t="shared" si="2"/>
        <v>1506868</v>
      </c>
    </row>
    <row r="18" spans="1:20">
      <c r="A18" s="67">
        <f>A17+1</f>
        <v>12</v>
      </c>
      <c r="B18" s="85" t="s">
        <v>180</v>
      </c>
      <c r="C18" s="27">
        <v>102475</v>
      </c>
      <c r="D18" s="18">
        <f t="shared" si="3"/>
        <v>2935</v>
      </c>
      <c r="E18" s="145">
        <f>'Input Tab'!C38</f>
        <v>-311</v>
      </c>
      <c r="F18" s="145">
        <f>'Input Tab'!D38</f>
        <v>1667</v>
      </c>
      <c r="G18" s="145">
        <f>'Input Tab'!E38</f>
        <v>1579</v>
      </c>
      <c r="H18" s="145">
        <f>'Input Tab'!F38</f>
        <v>0</v>
      </c>
      <c r="I18" s="145">
        <f>'Input Tab'!G38</f>
        <v>0</v>
      </c>
      <c r="J18" s="145">
        <f>'Input Tab'!H38</f>
        <v>0</v>
      </c>
      <c r="K18" s="145">
        <f>'Input Tab'!I38</f>
        <v>0</v>
      </c>
      <c r="L18" s="145">
        <f>'Input Tab'!J38</f>
        <v>0</v>
      </c>
      <c r="M18" s="145">
        <f>'Input Tab'!K38</f>
        <v>0</v>
      </c>
      <c r="N18" s="145">
        <f>'Input Tab'!L38</f>
        <v>0</v>
      </c>
      <c r="O18" s="145">
        <f>'Input Tab'!M38</f>
        <v>0</v>
      </c>
      <c r="P18" s="145">
        <f>'Input Tab'!N38</f>
        <v>0</v>
      </c>
      <c r="Q18" s="43"/>
      <c r="R18" s="89">
        <f t="shared" si="2"/>
        <v>2935</v>
      </c>
    </row>
    <row r="19" spans="1:20">
      <c r="A19" s="67">
        <f>A18+1</f>
        <v>13</v>
      </c>
      <c r="B19" s="3" t="s">
        <v>105</v>
      </c>
      <c r="C19" s="27" t="s">
        <v>106</v>
      </c>
      <c r="D19" s="18">
        <f t="shared" si="3"/>
        <v>7169746</v>
      </c>
      <c r="E19" s="145">
        <f>'Input Tab'!C39</f>
        <v>2414741</v>
      </c>
      <c r="F19" s="145">
        <f>'Input Tab'!D39</f>
        <v>2327885</v>
      </c>
      <c r="G19" s="145">
        <f>'Input Tab'!E39</f>
        <v>2427120</v>
      </c>
      <c r="H19" s="145">
        <f>'Input Tab'!F39</f>
        <v>0</v>
      </c>
      <c r="I19" s="145">
        <f>'Input Tab'!G39</f>
        <v>0</v>
      </c>
      <c r="J19" s="145">
        <f>'Input Tab'!H39</f>
        <v>0</v>
      </c>
      <c r="K19" s="145">
        <f>'Input Tab'!I39</f>
        <v>0</v>
      </c>
      <c r="L19" s="145">
        <f>'Input Tab'!J39</f>
        <v>0</v>
      </c>
      <c r="M19" s="145">
        <f>'Input Tab'!K39</f>
        <v>0</v>
      </c>
      <c r="N19" s="145">
        <f>'Input Tab'!L39</f>
        <v>0</v>
      </c>
      <c r="O19" s="145">
        <f>'Input Tab'!M39</f>
        <v>0</v>
      </c>
      <c r="P19" s="145">
        <f>'Input Tab'!N39</f>
        <v>0</v>
      </c>
      <c r="Q19" s="43"/>
      <c r="R19" s="89">
        <f t="shared" si="2"/>
        <v>7169746</v>
      </c>
    </row>
    <row r="20" spans="1:20">
      <c r="A20" s="67">
        <f>A19+1</f>
        <v>14</v>
      </c>
      <c r="B20" s="3" t="s">
        <v>116</v>
      </c>
      <c r="C20" s="27">
        <v>181462</v>
      </c>
      <c r="D20" s="18">
        <f t="shared" si="3"/>
        <v>7900650</v>
      </c>
      <c r="E20" s="145">
        <f>'Input Tab'!C40</f>
        <v>3334132</v>
      </c>
      <c r="F20" s="145">
        <f>'Input Tab'!D40</f>
        <v>2160328</v>
      </c>
      <c r="G20" s="145">
        <f>'Input Tab'!E40</f>
        <v>2406190</v>
      </c>
      <c r="H20" s="145">
        <f>'Input Tab'!F40</f>
        <v>0</v>
      </c>
      <c r="I20" s="145">
        <f>'Input Tab'!G40</f>
        <v>0</v>
      </c>
      <c r="J20" s="145">
        <f>'Input Tab'!H40</f>
        <v>0</v>
      </c>
      <c r="K20" s="145">
        <f>'Input Tab'!I40</f>
        <v>0</v>
      </c>
      <c r="L20" s="145">
        <f>'Input Tab'!J40</f>
        <v>0</v>
      </c>
      <c r="M20" s="145">
        <f>'Input Tab'!K40</f>
        <v>0</v>
      </c>
      <c r="N20" s="145">
        <f>'Input Tab'!L40</f>
        <v>0</v>
      </c>
      <c r="O20" s="145">
        <f>'Input Tab'!M40</f>
        <v>0</v>
      </c>
      <c r="P20" s="145">
        <f>'Input Tab'!N40</f>
        <v>0</v>
      </c>
      <c r="Q20" s="43"/>
      <c r="R20" s="89">
        <f t="shared" si="2"/>
        <v>7900650</v>
      </c>
    </row>
    <row r="21" spans="1:20">
      <c r="A21" s="67">
        <f>A20+1</f>
        <v>15</v>
      </c>
      <c r="B21" s="4" t="s">
        <v>28</v>
      </c>
      <c r="C21" s="78"/>
      <c r="D21" s="18">
        <f t="shared" si="3"/>
        <v>733020</v>
      </c>
      <c r="E21" s="20">
        <f>E35</f>
        <v>230471</v>
      </c>
      <c r="F21" s="20">
        <f>F35</f>
        <v>284988</v>
      </c>
      <c r="G21" s="20">
        <f t="shared" ref="G21:P21" si="5">G35</f>
        <v>217561</v>
      </c>
      <c r="H21" s="20">
        <f t="shared" si="5"/>
        <v>0</v>
      </c>
      <c r="I21" s="20">
        <f t="shared" si="5"/>
        <v>0</v>
      </c>
      <c r="J21" s="20">
        <f t="shared" si="5"/>
        <v>0</v>
      </c>
      <c r="K21" s="20">
        <f t="shared" si="5"/>
        <v>0</v>
      </c>
      <c r="L21" s="20">
        <f t="shared" si="5"/>
        <v>0</v>
      </c>
      <c r="M21" s="20">
        <f>M35</f>
        <v>0</v>
      </c>
      <c r="N21" s="20">
        <f>N35</f>
        <v>0</v>
      </c>
      <c r="O21" s="20">
        <f t="shared" si="5"/>
        <v>0</v>
      </c>
      <c r="P21" s="20">
        <f t="shared" si="5"/>
        <v>0</v>
      </c>
      <c r="Q21" s="20"/>
      <c r="R21" s="89">
        <f t="shared" si="2"/>
        <v>733020</v>
      </c>
    </row>
    <row r="22" spans="1:20">
      <c r="A22" s="67">
        <f t="shared" si="4"/>
        <v>16</v>
      </c>
      <c r="B22" s="85" t="s">
        <v>14</v>
      </c>
      <c r="C22" s="147"/>
      <c r="D22" s="18">
        <f t="shared" si="3"/>
        <v>-2523</v>
      </c>
      <c r="E22" s="21">
        <f>E33</f>
        <v>15496</v>
      </c>
      <c r="F22" s="21">
        <f>F33</f>
        <v>9788</v>
      </c>
      <c r="G22" s="21">
        <f t="shared" ref="G22:P22" si="6">G33</f>
        <v>-27807</v>
      </c>
      <c r="H22" s="21">
        <f t="shared" si="6"/>
        <v>0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1">
        <f t="shared" si="6"/>
        <v>0</v>
      </c>
      <c r="N22" s="21">
        <f>N33</f>
        <v>0</v>
      </c>
      <c r="O22" s="21">
        <f t="shared" si="6"/>
        <v>0</v>
      </c>
      <c r="P22" s="21">
        <f t="shared" si="6"/>
        <v>0</v>
      </c>
      <c r="Q22" s="21"/>
      <c r="R22" s="89">
        <f t="shared" si="2"/>
        <v>-2523</v>
      </c>
    </row>
    <row r="23" spans="1:20" s="25" customFormat="1" ht="13.5" thickBot="1">
      <c r="A23" s="148">
        <f t="shared" si="4"/>
        <v>17</v>
      </c>
      <c r="B23" s="52" t="s">
        <v>80</v>
      </c>
      <c r="C23" s="52"/>
      <c r="D23" s="33">
        <f>SUM(E23:P23)</f>
        <v>33167082</v>
      </c>
      <c r="E23" s="149">
        <f>E38</f>
        <v>13017722</v>
      </c>
      <c r="F23" s="149">
        <f t="shared" ref="F23:P23" si="7">F38</f>
        <v>11062158</v>
      </c>
      <c r="G23" s="149">
        <f>G38</f>
        <v>9087202</v>
      </c>
      <c r="H23" s="149">
        <f t="shared" si="7"/>
        <v>0</v>
      </c>
      <c r="I23" s="149">
        <f t="shared" si="7"/>
        <v>0</v>
      </c>
      <c r="J23" s="149">
        <f t="shared" si="7"/>
        <v>0</v>
      </c>
      <c r="K23" s="149">
        <f t="shared" si="7"/>
        <v>0</v>
      </c>
      <c r="L23" s="149">
        <f t="shared" si="7"/>
        <v>0</v>
      </c>
      <c r="M23" s="149">
        <f>M38</f>
        <v>0</v>
      </c>
      <c r="N23" s="149">
        <f>N38</f>
        <v>0</v>
      </c>
      <c r="O23" s="149">
        <f t="shared" si="7"/>
        <v>0</v>
      </c>
      <c r="P23" s="149">
        <f t="shared" si="7"/>
        <v>0</v>
      </c>
      <c r="Q23" s="22"/>
      <c r="R23" s="150">
        <f>SUM(R7:R21)</f>
        <v>33169605</v>
      </c>
    </row>
    <row r="24" spans="1:20" ht="13.5" thickTop="1">
      <c r="A24" s="67"/>
      <c r="E24" s="32" t="s">
        <v>24</v>
      </c>
      <c r="F24" s="102" t="s">
        <v>24</v>
      </c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20">
      <c r="A25" s="67"/>
      <c r="B25" s="3" t="s">
        <v>81</v>
      </c>
      <c r="C25" s="3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T25" s="151"/>
    </row>
    <row r="26" spans="1:20" outlineLevel="1">
      <c r="A26" s="67"/>
      <c r="B26" s="48" t="s">
        <v>12</v>
      </c>
      <c r="C26" s="48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20" outlineLevel="1">
      <c r="A27" s="67"/>
      <c r="B27" s="4">
        <v>555000</v>
      </c>
      <c r="D27" s="102">
        <f>SUM(E27:P27)</f>
        <v>30452728</v>
      </c>
      <c r="E27" s="13">
        <f>_xll.Get_Balance(E$85,"PTD","USD","Total","A","","001","555000","ED","AN","DL")</f>
        <v>11300933</v>
      </c>
      <c r="F27" s="13">
        <f>_xll.Get_Balance(F$85,"PTD","USD","Total","A","","001","555000","ED","AN","DL")</f>
        <v>9783421</v>
      </c>
      <c r="G27" s="13">
        <f>_xll.Get_Balance(G$85,"PTD","USD","Total","A","","001","555000","ED","AN","DL")</f>
        <v>9368374</v>
      </c>
      <c r="H27" s="13">
        <f>_xll.Get_Balance(H$85,"PTD","USD","Total","A","","001","555000","ED","AN","DL")</f>
        <v>0</v>
      </c>
      <c r="I27" s="13">
        <f>_xll.Get_Balance(I$85,"PTD","USD","Total","A","","001","555000","ED","AN","DL")</f>
        <v>0</v>
      </c>
      <c r="J27" s="13">
        <f>_xll.Get_Balance(J$85,"PTD","USD","Total","A","","001","555000","ED","AN","DL")</f>
        <v>0</v>
      </c>
      <c r="K27" s="13">
        <f>_xll.Get_Balance(K$85,"PTD","USD","Total","A","","001","555000","ED","AN","DL")</f>
        <v>0</v>
      </c>
      <c r="L27" s="13">
        <f>_xll.Get_Balance(L$85,"PTD","USD","Total","A","","001","555000","ED","AN","DL")</f>
        <v>0</v>
      </c>
      <c r="M27" s="13">
        <f>_xll.Get_Balance(M$85,"PTD","USD","Total","A","","001","555000","ED","AN","DL")</f>
        <v>0</v>
      </c>
      <c r="N27" s="13">
        <f>_xll.Get_Balance(N$85,"PTD","USD","Total","A","","001","555000","ED","AN","DL")</f>
        <v>0</v>
      </c>
      <c r="O27" s="13">
        <f>_xll.Get_Balance(O$85,"PTD","USD","Total","A","","001","555000","ED","AN","DL")</f>
        <v>0</v>
      </c>
      <c r="P27" s="13">
        <f>_xll.Get_Balance(P$85,"PTD","USD","Total","A","","001","555000","ED","AN","DL")</f>
        <v>0</v>
      </c>
      <c r="Q27" s="43"/>
      <c r="R27" s="89">
        <f t="shared" ref="R27:R37" si="8">SUM(E27:P27)</f>
        <v>30452728</v>
      </c>
    </row>
    <row r="28" spans="1:20" outlineLevel="1">
      <c r="A28" s="67"/>
      <c r="B28" s="4">
        <v>555030</v>
      </c>
      <c r="D28" s="102">
        <f>SUM(E28:P28)</f>
        <v>0</v>
      </c>
      <c r="E28" s="13">
        <f>_xll.Get_Balance(E$85,"PTD","USD","Total","A","","001","555030","ED","AN","DL")</f>
        <v>0</v>
      </c>
      <c r="F28" s="13">
        <f>_xll.Get_Balance(F$85,"PTD","USD","Total","A","","001","555030","ED","AN","DL")</f>
        <v>0</v>
      </c>
      <c r="G28" s="13">
        <f>_xll.Get_Balance(G$85,"PTD","USD","Total","A","","001","555030","ED","AN","DL")</f>
        <v>0</v>
      </c>
      <c r="H28" s="13">
        <f>_xll.Get_Balance(H$85,"PTD","USD","Total","A","","001","555030","ED","AN","DL")</f>
        <v>0</v>
      </c>
      <c r="I28" s="13">
        <f>_xll.Get_Balance(I$85,"PTD","USD","Total","A","","001","555030","ED","AN","DL")</f>
        <v>0</v>
      </c>
      <c r="J28" s="13">
        <f>_xll.Get_Balance(J$85,"PTD","USD","Total","A","","001","555030","ED","AN","DL")</f>
        <v>0</v>
      </c>
      <c r="K28" s="13">
        <f>_xll.Get_Balance(K$85,"PTD","USD","Total","A","","001","555030","ED","AN","DL")</f>
        <v>0</v>
      </c>
      <c r="L28" s="13">
        <f>_xll.Get_Balance(L$85,"PTD","USD","Total","A","","001","555030","ED","AN","DL")</f>
        <v>0</v>
      </c>
      <c r="M28" s="13">
        <f>_xll.Get_Balance(M$85,"PTD","USD","Total","A","","001","555030","ED","AN","DL")</f>
        <v>0</v>
      </c>
      <c r="N28" s="13">
        <f>_xll.Get_Balance(N$85,"PTD","USD","Total","A","","001","555030","ED","AN","DL")</f>
        <v>0</v>
      </c>
      <c r="O28" s="13">
        <f>_xll.Get_Balance(O$85,"PTD","USD","Total","A","","001","555030","ED","AN","DL")</f>
        <v>0</v>
      </c>
      <c r="P28" s="13">
        <f>_xll.Get_Balance(P$85,"PTD","USD","Total","A","","001","555030","ED","AN","DL")</f>
        <v>0</v>
      </c>
      <c r="Q28" s="43"/>
      <c r="R28" s="89"/>
    </row>
    <row r="29" spans="1:20" outlineLevel="1">
      <c r="A29" s="67"/>
      <c r="B29" s="4">
        <v>555100</v>
      </c>
      <c r="C29" s="4" t="s">
        <v>92</v>
      </c>
      <c r="D29" s="102">
        <f t="shared" ref="D29:D37" si="9">SUM(E29:P29)</f>
        <v>1494108</v>
      </c>
      <c r="E29" s="13">
        <f>_xll.Get_Balance(E$85,"PTD","USD","Total","A","","001","555100","ED","AN","DL")</f>
        <v>1256392</v>
      </c>
      <c r="F29" s="13">
        <f>_xll.Get_Balance(F$85,"PTD","USD","Total","A","","001","555100","ED","AN","DL")</f>
        <v>900700</v>
      </c>
      <c r="G29" s="13">
        <f>_xll.Get_Balance(G$85,"PTD","USD","Total","A","","001","555100","ED","AN","DL")</f>
        <v>-662984</v>
      </c>
      <c r="H29" s="13">
        <f>_xll.Get_Balance(H$85,"PTD","USD","Total","A","","001","555100","ED","AN","DL")</f>
        <v>0</v>
      </c>
      <c r="I29" s="13">
        <f>_xll.Get_Balance(I$85,"PTD","USD","Total","A","","001","555100","ED","AN","DL")</f>
        <v>0</v>
      </c>
      <c r="J29" s="13">
        <f>_xll.Get_Balance(J$85,"PTD","USD","Total","A","","001","555100","ED","AN","DL")</f>
        <v>0</v>
      </c>
      <c r="K29" s="13">
        <f>_xll.Get_Balance(K$85,"PTD","USD","Total","A","","001","555100","ED","AN","DL")</f>
        <v>0</v>
      </c>
      <c r="L29" s="13">
        <f>_xll.Get_Balance(L$85,"PTD","USD","Total","A","","001","555100","ED","AN","DL")</f>
        <v>0</v>
      </c>
      <c r="M29" s="13">
        <f>_xll.Get_Balance(M$85,"PTD","USD","Total","A","","001","555100","ED","AN","DL")</f>
        <v>0</v>
      </c>
      <c r="N29" s="13">
        <f>_xll.Get_Balance(N$85,"PTD","USD","Total","A","","001","555100","ED","AN","DL")</f>
        <v>0</v>
      </c>
      <c r="O29" s="13">
        <f>_xll.Get_Balance(O$85,"PTD","USD","Total","A","","001","555100","ED","AN","DL")</f>
        <v>0</v>
      </c>
      <c r="P29" s="13">
        <f>_xll.Get_Balance(P$85,"PTD","USD","Total","A","","001","555100","ED","AN","DL")</f>
        <v>0</v>
      </c>
      <c r="Q29" s="43"/>
      <c r="R29" s="89">
        <f t="shared" si="8"/>
        <v>1494108</v>
      </c>
    </row>
    <row r="30" spans="1:20" outlineLevel="1">
      <c r="A30" s="67"/>
      <c r="B30" s="3">
        <v>555312</v>
      </c>
      <c r="C30" s="3" t="s">
        <v>60</v>
      </c>
      <c r="D30" s="102">
        <f t="shared" si="9"/>
        <v>0</v>
      </c>
      <c r="E30" s="13">
        <f>_xll.Get_Balance(E$85,"PTD","USD","Total","A","","001","555312","ED","AN","DL")</f>
        <v>0</v>
      </c>
      <c r="F30" s="13">
        <f>_xll.Get_Balance(F$85,"PTD","USD","Total","A","","001","555312","ED","AN","DL")</f>
        <v>0</v>
      </c>
      <c r="G30" s="13">
        <f>_xll.Get_Balance(G$85,"PTD","USD","Total","A","","001","555312","ED","AN","DL")</f>
        <v>0</v>
      </c>
      <c r="H30" s="13">
        <f>_xll.Get_Balance(H$85,"PTD","USD","Total","A","","001","555312","ED","AN","DL")</f>
        <v>0</v>
      </c>
      <c r="I30" s="13">
        <f>_xll.Get_Balance(I$85,"PTD","USD","Total","A","","001","555312","ED","AN","DL")</f>
        <v>0</v>
      </c>
      <c r="J30" s="13">
        <f>_xll.Get_Balance(J$85,"PTD","USD","Total","A","","001","555312","ED","AN","DL")</f>
        <v>0</v>
      </c>
      <c r="K30" s="13">
        <f>_xll.Get_Balance(K$85,"PTD","USD","Total","A","","001","555312","ED","AN","DL")</f>
        <v>0</v>
      </c>
      <c r="L30" s="13">
        <f>_xll.Get_Balance(L$85,"PTD","USD","Total","A","","001","555312","ED","AN","DL")</f>
        <v>0</v>
      </c>
      <c r="M30" s="13">
        <f>_xll.Get_Balance(M$85,"PTD","USD","Total","A","","001","555312","ED","AN","DL")</f>
        <v>0</v>
      </c>
      <c r="N30" s="13">
        <f>_xll.Get_Balance(N$85,"PTD","USD","Total","A","","001","555312","ED","AN","DL")</f>
        <v>0</v>
      </c>
      <c r="O30" s="13">
        <f>_xll.Get_Balance(O$85,"PTD","USD","Total","A","","001","555312","ED","AN","DL")</f>
        <v>0</v>
      </c>
      <c r="P30" s="13">
        <f>_xll.Get_Balance(P$85,"PTD","USD","Total","A","","001","555312","ED","AN","DL")</f>
        <v>0</v>
      </c>
      <c r="Q30" s="43"/>
      <c r="R30" s="89">
        <f>SUM(E30:P30)</f>
        <v>0</v>
      </c>
    </row>
    <row r="31" spans="1:20" outlineLevel="1">
      <c r="A31" s="67"/>
      <c r="B31" s="4">
        <v>555313</v>
      </c>
      <c r="C31" s="4" t="s">
        <v>60</v>
      </c>
      <c r="D31" s="102">
        <f t="shared" si="9"/>
        <v>0</v>
      </c>
      <c r="E31" s="13">
        <f>_xll.Get_Balance(E$85,"PTD","USD","Total","A","","001","555313","ED","AN","DL")</f>
        <v>0</v>
      </c>
      <c r="F31" s="13">
        <f>_xll.Get_Balance(F$85,"PTD","USD","Total","A","","001","555313","ED","AN","DL")</f>
        <v>0</v>
      </c>
      <c r="G31" s="13">
        <f>_xll.Get_Balance(G$85,"PTD","USD","Total","A","","001","555313","ED","AN","DL")</f>
        <v>0</v>
      </c>
      <c r="H31" s="13">
        <f>_xll.Get_Balance(H$85,"PTD","USD","Total","A","","001","555313","ED","AN","DL")</f>
        <v>0</v>
      </c>
      <c r="I31" s="13">
        <f>_xll.Get_Balance(I$85,"PTD","USD","Total","A","","001","555313","ED","AN","DL")</f>
        <v>0</v>
      </c>
      <c r="J31" s="13">
        <f>_xll.Get_Balance(J$85,"PTD","USD","Total","A","","001","555313","ED","AN","DL")</f>
        <v>0</v>
      </c>
      <c r="K31" s="13">
        <f>_xll.Get_Balance(K$85,"PTD","USD","Total","A","","001","555313","ED","AN","DL")</f>
        <v>0</v>
      </c>
      <c r="L31" s="13">
        <f>_xll.Get_Balance(L$85,"PTD","USD","Total","A","","001","555313","ED","AN","DL")</f>
        <v>0</v>
      </c>
      <c r="M31" s="13">
        <f>_xll.Get_Balance(M$85,"PTD","USD","Total","A","","001","555313","ED","AN","DL")</f>
        <v>0</v>
      </c>
      <c r="N31" s="13">
        <f>_xll.Get_Balance(N$85,"PTD","USD","Total","A","","001","555313","ED","AN","DL")</f>
        <v>0</v>
      </c>
      <c r="O31" s="13">
        <f>_xll.Get_Balance(O$85,"PTD","USD","Total","A","","001","555313","ED","AN","DL")</f>
        <v>0</v>
      </c>
      <c r="P31" s="13">
        <f>_xll.Get_Balance(P$85,"PTD","USD","Total","A","","001","555313","ED","AN","DL")</f>
        <v>0</v>
      </c>
      <c r="Q31" s="43"/>
      <c r="R31" s="89">
        <f>SUM(E31:P31)</f>
        <v>0</v>
      </c>
    </row>
    <row r="32" spans="1:20" outlineLevel="1">
      <c r="A32" s="67"/>
      <c r="B32" s="4">
        <v>555380</v>
      </c>
      <c r="C32" s="4" t="s">
        <v>93</v>
      </c>
      <c r="D32" s="102">
        <f t="shared" si="9"/>
        <v>0</v>
      </c>
      <c r="E32" s="13">
        <f>_xll.Get_Balance(E$85,"PTD","USD","Total","A","","001","555380","ED","AN","DL")</f>
        <v>0</v>
      </c>
      <c r="F32" s="13">
        <f>_xll.Get_Balance(F$85,"PTD","USD","Total","A","","001","555380","ED","AN","DL")</f>
        <v>0</v>
      </c>
      <c r="G32" s="13">
        <f>_xll.Get_Balance(G$85,"PTD","USD","Total","A","","001","555380","ED","AN","DL")</f>
        <v>0</v>
      </c>
      <c r="H32" s="13">
        <f>_xll.Get_Balance(H$85,"PTD","USD","Total","A","","001","555380","ED","AN","DL")</f>
        <v>0</v>
      </c>
      <c r="I32" s="13">
        <f>_xll.Get_Balance(I$85,"PTD","USD","Total","A","","001","555380","ED","AN","DL")</f>
        <v>0</v>
      </c>
      <c r="J32" s="13">
        <f>_xll.Get_Balance(J$85,"PTD","USD","Total","A","","001","555380","ED","AN","DL")</f>
        <v>0</v>
      </c>
      <c r="K32" s="13">
        <f>_xll.Get_Balance(K$85,"PTD","USD","Total","A","","001","555380","ED","AN","DL")</f>
        <v>0</v>
      </c>
      <c r="L32" s="13">
        <f>_xll.Get_Balance(L$85,"PTD","USD","Total","A","","001","555380","ED","AN","DL")</f>
        <v>0</v>
      </c>
      <c r="M32" s="13">
        <f>_xll.Get_Balance(M$85,"PTD","USD","Total","A","","001","555380","ED","AN","DL")</f>
        <v>0</v>
      </c>
      <c r="N32" s="13">
        <f>_xll.Get_Balance(N$85,"PTD","USD","Total","A","","001","555380","ED","AN","DL")</f>
        <v>0</v>
      </c>
      <c r="O32" s="13">
        <f>_xll.Get_Balance(O$85,"PTD","USD","Total","A","","001","555380","ED","AN","DL")</f>
        <v>0</v>
      </c>
      <c r="P32" s="13">
        <f>_xll.Get_Balance(P$85,"PTD","USD","Total","A","","001","555380","ED","AN","DL")</f>
        <v>0</v>
      </c>
      <c r="Q32" s="43"/>
      <c r="R32" s="89">
        <f>SUM(E32:P32)</f>
        <v>0</v>
      </c>
    </row>
    <row r="33" spans="1:18" outlineLevel="1">
      <c r="A33" s="67"/>
      <c r="B33" s="4">
        <v>555550</v>
      </c>
      <c r="C33" s="4" t="s">
        <v>94</v>
      </c>
      <c r="D33" s="102">
        <f t="shared" si="9"/>
        <v>-2523</v>
      </c>
      <c r="E33" s="13">
        <f>_xll.Get_Balance(E$85,"PTD","USD","Total","A","","001","555550","ED","AN","DL")</f>
        <v>15496</v>
      </c>
      <c r="F33" s="13">
        <f>_xll.Get_Balance(F$85,"PTD","USD","Total","A","","001","555550","ED","AN","DL")</f>
        <v>9788</v>
      </c>
      <c r="G33" s="13">
        <f>_xll.Get_Balance(G$85,"PTD","USD","Total","A","","001","555550","ED","AN","DL")</f>
        <v>-27807</v>
      </c>
      <c r="H33" s="13">
        <f>_xll.Get_Balance(H$85,"PTD","USD","Total","A","","001","555550","ED","AN","DL")</f>
        <v>0</v>
      </c>
      <c r="I33" s="13">
        <f>_xll.Get_Balance(I$85,"PTD","USD","Total","A","","001","555550","ED","AN","DL")</f>
        <v>0</v>
      </c>
      <c r="J33" s="13">
        <f>_xll.Get_Balance(J$85,"PTD","USD","Total","A","","001","555550","ED","AN","DL")</f>
        <v>0</v>
      </c>
      <c r="K33" s="13">
        <f>_xll.Get_Balance(K$85,"PTD","USD","Total","A","","001","555550","ED","AN","DL")</f>
        <v>0</v>
      </c>
      <c r="L33" s="13">
        <f>_xll.Get_Balance(L$85,"PTD","USD","Total","A","","001","555550","ED","AN","DL")</f>
        <v>0</v>
      </c>
      <c r="M33" s="13">
        <f>_xll.Get_Balance(M$85,"PTD","USD","Total","A","","001","555550","ED","AN","DL")</f>
        <v>0</v>
      </c>
      <c r="N33" s="13">
        <f>_xll.Get_Balance(N$85,"PTD","USD","Total","A","","001","555550","ED","AN","DL")</f>
        <v>0</v>
      </c>
      <c r="O33" s="13">
        <f>_xll.Get_Balance(O$85,"PTD","USD","Total","A","","001","555550","ED","AN","DL")</f>
        <v>0</v>
      </c>
      <c r="P33" s="13">
        <f>_xll.Get_Balance(P$85,"PTD","USD","Total","A","","001","555550","ED","AN","DL")</f>
        <v>0</v>
      </c>
      <c r="Q33" s="43"/>
      <c r="R33" s="89">
        <f>SUM(E33:P33)</f>
        <v>-2523</v>
      </c>
    </row>
    <row r="34" spans="1:18" outlineLevel="1">
      <c r="A34" s="67"/>
      <c r="B34" s="4">
        <v>555700</v>
      </c>
      <c r="C34" s="4" t="s">
        <v>95</v>
      </c>
      <c r="D34" s="102">
        <f t="shared" si="9"/>
        <v>508576</v>
      </c>
      <c r="E34" s="13">
        <f>_xll.Get_Balance(E$85,"PTD","USD","Total","A","","001","555700","ED","AN","DL")</f>
        <v>218942</v>
      </c>
      <c r="F34" s="13">
        <f>_xll.Get_Balance(F$85,"PTD","USD","Total","A","","001","555700","ED","AN","DL")</f>
        <v>89780</v>
      </c>
      <c r="G34" s="13">
        <f>_xll.Get_Balance(G$85,"PTD","USD","Total","A","","001","555700","ED","AN","DL")</f>
        <v>199854</v>
      </c>
      <c r="H34" s="13">
        <f>_xll.Get_Balance(H$85,"PTD","USD","Total","A","","001","555700","ED","AN","DL")</f>
        <v>0</v>
      </c>
      <c r="I34" s="13">
        <f>_xll.Get_Balance(I$85,"PTD","USD","Total","A","","001","555700","ED","AN","DL")</f>
        <v>0</v>
      </c>
      <c r="J34" s="13">
        <f>_xll.Get_Balance(J$85,"PTD","USD","Total","A","","001","555700","ED","AN","DL")</f>
        <v>0</v>
      </c>
      <c r="K34" s="13">
        <f>_xll.Get_Balance(K$85,"PTD","USD","Total","A","","001","555700","ED","AN","DL")</f>
        <v>0</v>
      </c>
      <c r="L34" s="13">
        <f>_xll.Get_Balance(L$85,"PTD","USD","Total","A","","001","555700","ED","AN","DL")</f>
        <v>0</v>
      </c>
      <c r="M34" s="13">
        <f>_xll.Get_Balance(M$85,"PTD","USD","Total","A","","001","555700","ED","AN","DL")</f>
        <v>0</v>
      </c>
      <c r="N34" s="13">
        <f>_xll.Get_Balance(N$85,"PTD","USD","Total","A","","001","555700","ED","AN","DL")</f>
        <v>0</v>
      </c>
      <c r="O34" s="13">
        <f>_xll.Get_Balance(O$85,"PTD","USD","Total","A","","001","555700","ED","AN","DL")</f>
        <v>0</v>
      </c>
      <c r="P34" s="13">
        <f>_xll.Get_Balance(P$85,"PTD","USD","Total","A","","001","555700","ED","AN","DL")</f>
        <v>0</v>
      </c>
      <c r="Q34" s="43"/>
      <c r="R34" s="89">
        <f t="shared" si="8"/>
        <v>508576</v>
      </c>
    </row>
    <row r="35" spans="1:18" outlineLevel="1">
      <c r="A35" s="67"/>
      <c r="B35" s="4">
        <v>555710</v>
      </c>
      <c r="C35" s="4" t="s">
        <v>96</v>
      </c>
      <c r="D35" s="102">
        <f t="shared" si="9"/>
        <v>733020</v>
      </c>
      <c r="E35" s="13">
        <f>_xll.Get_Balance(E$85,"PTD","USD","Total","A","","001","555710","ED","AN","DL")</f>
        <v>230471</v>
      </c>
      <c r="F35" s="13">
        <f>_xll.Get_Balance(F$85,"PTD","USD","Total","A","","001","555710","ED","AN","DL")</f>
        <v>284988</v>
      </c>
      <c r="G35" s="13">
        <f>_xll.Get_Balance(G$85,"PTD","USD","Total","A","","001","555710","ED","AN","DL")</f>
        <v>217561</v>
      </c>
      <c r="H35" s="13">
        <f>_xll.Get_Balance(H$85,"PTD","USD","Total","A","","001","555710","ED","AN","DL")</f>
        <v>0</v>
      </c>
      <c r="I35" s="13">
        <f>_xll.Get_Balance(I$85,"PTD","USD","Total","A","","001","555710","ED","AN","DL")</f>
        <v>0</v>
      </c>
      <c r="J35" s="13">
        <f>_xll.Get_Balance(J$85,"PTD","USD","Total","A","","001","555710","ED","AN","DL")</f>
        <v>0</v>
      </c>
      <c r="K35" s="13">
        <f>_xll.Get_Balance(K$85,"PTD","USD","Total","A","","001","555710","ED","AN","DL")</f>
        <v>0</v>
      </c>
      <c r="L35" s="13">
        <f>_xll.Get_Balance(L$85,"PTD","USD","Total","A","","001","555710","ED","AN","DL")</f>
        <v>0</v>
      </c>
      <c r="M35" s="13">
        <f>_xll.Get_Balance(M$85,"PTD","USD","Total","A","","001","555710","ED","AN","DL")</f>
        <v>0</v>
      </c>
      <c r="N35" s="13">
        <f>_xll.Get_Balance(N$85,"PTD","USD","Total","A","","001","555710","ED","AN","DL")</f>
        <v>0</v>
      </c>
      <c r="O35" s="13">
        <f>_xll.Get_Balance(O$85,"PTD","USD","Total","A","","001","555710","ED","AN","DL")</f>
        <v>0</v>
      </c>
      <c r="P35" s="13">
        <f>_xll.Get_Balance(P$85,"PTD","USD","Total","A","","001","555710","ED","AN","DL")</f>
        <v>0</v>
      </c>
      <c r="Q35" s="43"/>
      <c r="R35" s="89">
        <f t="shared" si="8"/>
        <v>733020</v>
      </c>
    </row>
    <row r="36" spans="1:18" outlineLevel="1">
      <c r="A36" s="67"/>
      <c r="C36" s="66" t="s">
        <v>185</v>
      </c>
      <c r="D36" s="102">
        <f t="shared" si="9"/>
        <v>-18827</v>
      </c>
      <c r="E36" s="13">
        <f>-SUM((41423/12)+(1.24*956)-(E51*0.0063))</f>
        <v>-4512</v>
      </c>
      <c r="F36" s="13">
        <f>-SUM((41423/12)+(1.24*2700)-(F51*0.0063))</f>
        <v>-6519</v>
      </c>
      <c r="G36" s="13">
        <f>-SUM((41423/12)+(1.24*3968)-(G51*0.0063))</f>
        <v>-7796</v>
      </c>
      <c r="H36" s="13"/>
      <c r="I36" s="13"/>
      <c r="J36" s="13"/>
      <c r="K36" s="13"/>
      <c r="L36" s="13"/>
      <c r="M36" s="13"/>
      <c r="N36" s="13"/>
      <c r="O36" s="13"/>
      <c r="P36" s="13"/>
      <c r="Q36" s="43"/>
      <c r="R36" s="89"/>
    </row>
    <row r="37" spans="1:18" outlineLevel="1">
      <c r="A37" s="67"/>
      <c r="B37" s="49" t="s">
        <v>48</v>
      </c>
      <c r="C37" s="27" t="s">
        <v>139</v>
      </c>
      <c r="D37" s="152">
        <f t="shared" si="9"/>
        <v>0</v>
      </c>
      <c r="E37" s="153">
        <f>'Input Tab'!C42</f>
        <v>0</v>
      </c>
      <c r="F37" s="153">
        <f>'Input Tab'!D42</f>
        <v>0</v>
      </c>
      <c r="G37" s="153">
        <f>'Input Tab'!E42</f>
        <v>0</v>
      </c>
      <c r="H37" s="153">
        <f>'Input Tab'!F42</f>
        <v>0</v>
      </c>
      <c r="I37" s="153">
        <f>'Input Tab'!G42</f>
        <v>0</v>
      </c>
      <c r="J37" s="153">
        <f>'Input Tab'!H42</f>
        <v>0</v>
      </c>
      <c r="K37" s="153">
        <f>'Input Tab'!I42</f>
        <v>0</v>
      </c>
      <c r="L37" s="153">
        <f>'Input Tab'!J42</f>
        <v>0</v>
      </c>
      <c r="M37" s="153">
        <f>'Input Tab'!K42</f>
        <v>0</v>
      </c>
      <c r="N37" s="153">
        <f>'Input Tab'!L42</f>
        <v>0</v>
      </c>
      <c r="O37" s="153">
        <f>'Input Tab'!M42</f>
        <v>0</v>
      </c>
      <c r="P37" s="153">
        <f>'Input Tab'!N42</f>
        <v>0</v>
      </c>
      <c r="Q37" s="154"/>
      <c r="R37" s="89">
        <f t="shared" si="8"/>
        <v>0</v>
      </c>
    </row>
    <row r="38" spans="1:18" s="25" customFormat="1" outlineLevel="1">
      <c r="A38" s="155"/>
      <c r="B38" s="50"/>
      <c r="C38" s="50"/>
      <c r="D38" s="34">
        <f>SUM(E38:P38)</f>
        <v>33167082</v>
      </c>
      <c r="E38" s="34">
        <f t="shared" ref="E38:P38" si="10">SUM(E27:E37)</f>
        <v>13017722</v>
      </c>
      <c r="F38" s="34">
        <f t="shared" si="10"/>
        <v>11062158</v>
      </c>
      <c r="G38" s="34">
        <f t="shared" si="10"/>
        <v>9087202</v>
      </c>
      <c r="H38" s="34">
        <f t="shared" si="10"/>
        <v>0</v>
      </c>
      <c r="I38" s="34">
        <f t="shared" si="10"/>
        <v>0</v>
      </c>
      <c r="J38" s="34">
        <f t="shared" si="10"/>
        <v>0</v>
      </c>
      <c r="K38" s="34">
        <f t="shared" si="10"/>
        <v>0</v>
      </c>
      <c r="L38" s="34">
        <f t="shared" si="10"/>
        <v>0</v>
      </c>
      <c r="M38" s="34">
        <f t="shared" si="10"/>
        <v>0</v>
      </c>
      <c r="N38" s="34">
        <f t="shared" si="10"/>
        <v>0</v>
      </c>
      <c r="O38" s="34">
        <f t="shared" si="10"/>
        <v>0</v>
      </c>
      <c r="P38" s="34">
        <f t="shared" si="10"/>
        <v>0</v>
      </c>
      <c r="Q38" s="41"/>
      <c r="R38" s="34">
        <f>SUM(R27:R37)</f>
        <v>33185909</v>
      </c>
    </row>
    <row r="39" spans="1:18">
      <c r="A39" s="67"/>
      <c r="B39" s="50"/>
      <c r="C39" s="50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8" ht="19.5" customHeight="1">
      <c r="A40" s="67"/>
      <c r="B40" s="51" t="s">
        <v>21</v>
      </c>
      <c r="C40" s="51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18" ht="12.95" customHeight="1">
      <c r="A41" s="67">
        <f>A23+1</f>
        <v>18</v>
      </c>
      <c r="B41" s="4" t="s">
        <v>22</v>
      </c>
      <c r="C41" s="78"/>
      <c r="D41" s="102">
        <f t="shared" ref="D41:D46" si="11">SUM(E41:P41)</f>
        <v>-17749403</v>
      </c>
      <c r="E41" s="21">
        <f t="shared" ref="E41:P41" si="12">E46-SUM(E42:E45)</f>
        <v>-6410216</v>
      </c>
      <c r="F41" s="21">
        <f t="shared" si="12"/>
        <v>-5567362</v>
      </c>
      <c r="G41" s="21">
        <f t="shared" si="12"/>
        <v>-5771825</v>
      </c>
      <c r="H41" s="21">
        <f t="shared" si="12"/>
        <v>0</v>
      </c>
      <c r="I41" s="21">
        <f t="shared" si="12"/>
        <v>0</v>
      </c>
      <c r="J41" s="21">
        <f t="shared" si="12"/>
        <v>0</v>
      </c>
      <c r="K41" s="21">
        <f t="shared" si="12"/>
        <v>0</v>
      </c>
      <c r="L41" s="21">
        <f t="shared" si="12"/>
        <v>0</v>
      </c>
      <c r="M41" s="21">
        <f t="shared" si="12"/>
        <v>0</v>
      </c>
      <c r="N41" s="21">
        <f t="shared" si="12"/>
        <v>0</v>
      </c>
      <c r="O41" s="21">
        <f t="shared" si="12"/>
        <v>0</v>
      </c>
      <c r="P41" s="21">
        <f t="shared" si="12"/>
        <v>0</v>
      </c>
      <c r="Q41" s="156"/>
      <c r="R41" s="102">
        <f>SUM(E41:P41)</f>
        <v>-17749403</v>
      </c>
    </row>
    <row r="42" spans="1:18">
      <c r="A42" s="67">
        <f>A41+1</f>
        <v>19</v>
      </c>
      <c r="B42" s="4" t="s">
        <v>27</v>
      </c>
      <c r="C42" s="78" t="s">
        <v>97</v>
      </c>
      <c r="D42" s="102">
        <f t="shared" si="11"/>
        <v>-249416</v>
      </c>
      <c r="E42" s="146">
        <f>'Input Tab'!C45</f>
        <v>-114196</v>
      </c>
      <c r="F42" s="146">
        <f>'Input Tab'!D45</f>
        <v>-57978</v>
      </c>
      <c r="G42" s="146">
        <f>'Input Tab'!E45</f>
        <v>-77242</v>
      </c>
      <c r="H42" s="146">
        <f>'Input Tab'!F45</f>
        <v>0</v>
      </c>
      <c r="I42" s="146">
        <f>'Input Tab'!G45</f>
        <v>0</v>
      </c>
      <c r="J42" s="146">
        <f>'Input Tab'!H45</f>
        <v>0</v>
      </c>
      <c r="K42" s="146">
        <f>'Input Tab'!I45</f>
        <v>0</v>
      </c>
      <c r="L42" s="146">
        <f>'Input Tab'!J45</f>
        <v>0</v>
      </c>
      <c r="M42" s="146">
        <f>'Input Tab'!K45</f>
        <v>0</v>
      </c>
      <c r="N42" s="146">
        <f>'Input Tab'!L45</f>
        <v>0</v>
      </c>
      <c r="O42" s="146">
        <f>'Input Tab'!M45</f>
        <v>0</v>
      </c>
      <c r="P42" s="146">
        <f>'Input Tab'!N45</f>
        <v>0</v>
      </c>
      <c r="Q42" s="156"/>
      <c r="R42" s="102">
        <f>SUM(E42:P42)</f>
        <v>-249416</v>
      </c>
    </row>
    <row r="43" spans="1:18">
      <c r="A43" s="67">
        <f>A42+1</f>
        <v>20</v>
      </c>
      <c r="B43" s="3" t="s">
        <v>164</v>
      </c>
      <c r="C43" s="27" t="s">
        <v>138</v>
      </c>
      <c r="D43" s="102">
        <f t="shared" si="11"/>
        <v>-37747</v>
      </c>
      <c r="E43" s="146">
        <f>'Input Tab'!C46</f>
        <v>-12942</v>
      </c>
      <c r="F43" s="146">
        <f>'Input Tab'!D46</f>
        <v>-12179</v>
      </c>
      <c r="G43" s="146">
        <f>'Input Tab'!E46</f>
        <v>-12626</v>
      </c>
      <c r="H43" s="146">
        <f>'Input Tab'!F46</f>
        <v>0</v>
      </c>
      <c r="I43" s="146">
        <f>'Input Tab'!G46</f>
        <v>0</v>
      </c>
      <c r="J43" s="146">
        <f>'Input Tab'!H46</f>
        <v>0</v>
      </c>
      <c r="K43" s="146">
        <f>'Input Tab'!I46</f>
        <v>0</v>
      </c>
      <c r="L43" s="146">
        <f>'Input Tab'!J46</f>
        <v>0</v>
      </c>
      <c r="M43" s="146">
        <f>'Input Tab'!K46</f>
        <v>0</v>
      </c>
      <c r="N43" s="146">
        <f>'Input Tab'!L46</f>
        <v>0</v>
      </c>
      <c r="O43" s="146">
        <f>'Input Tab'!M46</f>
        <v>0</v>
      </c>
      <c r="P43" s="146">
        <f>'Input Tab'!N46</f>
        <v>0</v>
      </c>
      <c r="Q43" s="156"/>
      <c r="R43" s="102">
        <f>SUM(E43:P43)</f>
        <v>-37747</v>
      </c>
    </row>
    <row r="44" spans="1:18">
      <c r="A44" s="67">
        <f>A43+1</f>
        <v>21</v>
      </c>
      <c r="B44" s="4" t="s">
        <v>31</v>
      </c>
      <c r="C44" s="157" t="s">
        <v>137</v>
      </c>
      <c r="D44" s="102">
        <f t="shared" si="11"/>
        <v>-160203</v>
      </c>
      <c r="E44" s="146">
        <f>'Input Tab'!C47</f>
        <v>-57587</v>
      </c>
      <c r="F44" s="146">
        <f>'Input Tab'!D47</f>
        <v>-47591</v>
      </c>
      <c r="G44" s="146">
        <f>'Input Tab'!E47</f>
        <v>-55025</v>
      </c>
      <c r="H44" s="146">
        <f>'Input Tab'!F47</f>
        <v>0</v>
      </c>
      <c r="I44" s="146">
        <f>'Input Tab'!G47</f>
        <v>0</v>
      </c>
      <c r="J44" s="146">
        <f>'Input Tab'!H47</f>
        <v>0</v>
      </c>
      <c r="K44" s="146">
        <f>'Input Tab'!I47</f>
        <v>0</v>
      </c>
      <c r="L44" s="146">
        <f>'Input Tab'!J47</f>
        <v>0</v>
      </c>
      <c r="M44" s="146">
        <f>'Input Tab'!K47</f>
        <v>0</v>
      </c>
      <c r="N44" s="146">
        <f>'Input Tab'!L47</f>
        <v>0</v>
      </c>
      <c r="O44" s="146">
        <f>'Input Tab'!M47</f>
        <v>0</v>
      </c>
      <c r="P44" s="146">
        <f>'Input Tab'!N47</f>
        <v>0</v>
      </c>
      <c r="Q44" s="156"/>
      <c r="R44" s="102">
        <f>SUM(E44:P44)</f>
        <v>-160203</v>
      </c>
    </row>
    <row r="45" spans="1:18">
      <c r="A45" s="67">
        <f>A44+1</f>
        <v>22</v>
      </c>
      <c r="B45" s="4" t="s">
        <v>29</v>
      </c>
      <c r="C45" s="78"/>
      <c r="D45" s="102">
        <f t="shared" si="11"/>
        <v>-3734376</v>
      </c>
      <c r="E45" s="19">
        <f>E56</f>
        <v>-1223281</v>
      </c>
      <c r="F45" s="19">
        <f>F56</f>
        <v>-1274514</v>
      </c>
      <c r="G45" s="19">
        <f t="shared" ref="G45:P45" si="13">G56</f>
        <v>-1236581</v>
      </c>
      <c r="H45" s="19">
        <f t="shared" si="13"/>
        <v>0</v>
      </c>
      <c r="I45" s="19">
        <f t="shared" si="13"/>
        <v>0</v>
      </c>
      <c r="J45" s="19">
        <f>J56</f>
        <v>0</v>
      </c>
      <c r="K45" s="19">
        <f>K56</f>
        <v>0</v>
      </c>
      <c r="L45" s="19">
        <f t="shared" si="13"/>
        <v>0</v>
      </c>
      <c r="M45" s="19">
        <f t="shared" si="13"/>
        <v>0</v>
      </c>
      <c r="N45" s="19">
        <f t="shared" si="13"/>
        <v>0</v>
      </c>
      <c r="O45" s="19">
        <f t="shared" si="13"/>
        <v>0</v>
      </c>
      <c r="P45" s="19">
        <f t="shared" si="13"/>
        <v>0</v>
      </c>
      <c r="Q45" s="156"/>
      <c r="R45" s="102">
        <f>SUM(E45:P45)</f>
        <v>-3734376</v>
      </c>
    </row>
    <row r="46" spans="1:18" s="25" customFormat="1" ht="24.75" customHeight="1" thickBot="1">
      <c r="A46" s="148">
        <f>A45+1</f>
        <v>23</v>
      </c>
      <c r="B46" s="52" t="s">
        <v>79</v>
      </c>
      <c r="C46" s="52"/>
      <c r="D46" s="33">
        <f t="shared" si="11"/>
        <v>-21931145</v>
      </c>
      <c r="E46" s="149">
        <f>E57</f>
        <v>-7818222</v>
      </c>
      <c r="F46" s="149">
        <f>F57</f>
        <v>-6959624</v>
      </c>
      <c r="G46" s="149">
        <f t="shared" ref="G46:P46" si="14">G57</f>
        <v>-7153299</v>
      </c>
      <c r="H46" s="149">
        <f>H57</f>
        <v>0</v>
      </c>
      <c r="I46" s="149">
        <f>I57</f>
        <v>0</v>
      </c>
      <c r="J46" s="149">
        <f t="shared" si="14"/>
        <v>0</v>
      </c>
      <c r="K46" s="149">
        <f t="shared" si="14"/>
        <v>0</v>
      </c>
      <c r="L46" s="149">
        <f t="shared" si="14"/>
        <v>0</v>
      </c>
      <c r="M46" s="149">
        <f>M57</f>
        <v>0</v>
      </c>
      <c r="N46" s="149">
        <f t="shared" si="14"/>
        <v>0</v>
      </c>
      <c r="O46" s="149">
        <f t="shared" si="14"/>
        <v>0</v>
      </c>
      <c r="P46" s="149">
        <f t="shared" si="14"/>
        <v>0</v>
      </c>
      <c r="Q46" s="158"/>
      <c r="R46" s="150">
        <f>SUM(R41:R45)</f>
        <v>-21931145</v>
      </c>
    </row>
    <row r="47" spans="1:18" ht="13.5" thickTop="1">
      <c r="A47" s="6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59"/>
    </row>
    <row r="48" spans="1:18" outlineLevel="2">
      <c r="A48" s="67"/>
      <c r="E48" s="102"/>
      <c r="F48" s="10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59"/>
    </row>
    <row r="49" spans="1:18" outlineLevel="2">
      <c r="A49" s="67"/>
      <c r="B49" s="53" t="s">
        <v>21</v>
      </c>
      <c r="C49" s="53"/>
      <c r="E49" s="102"/>
      <c r="F49" s="10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59"/>
    </row>
    <row r="50" spans="1:18" outlineLevel="2">
      <c r="A50" s="67"/>
      <c r="B50" s="4">
        <v>447000</v>
      </c>
      <c r="D50" s="102">
        <f t="shared" ref="D50:D57" si="15">SUM(E50:P50)</f>
        <v>-10340207</v>
      </c>
      <c r="E50" s="13">
        <f>_xll.Get_Balance(E$85,"PTD","USD","Total","A","","001","447000","ED","AN","DL")</f>
        <v>-3835467</v>
      </c>
      <c r="F50" s="13">
        <f>_xll.Get_Balance(F$85,"PTD","USD","Total","A","","001","447000","ED","AN","DL")</f>
        <v>-2627687</v>
      </c>
      <c r="G50" s="13">
        <f>_xll.Get_Balance(G$85,"PTD","USD","Total","A","","001","447000","ED","AN","DL")</f>
        <v>-3877053</v>
      </c>
      <c r="H50" s="13">
        <f>_xll.Get_Balance(H$85,"PTD","USD","Total","A","","001","447000","ED","AN","DL")</f>
        <v>0</v>
      </c>
      <c r="I50" s="13">
        <f>_xll.Get_Balance(I$85,"PTD","USD","Total","A","","001","447000","ED","AN","DL")</f>
        <v>0</v>
      </c>
      <c r="J50" s="13">
        <f>_xll.Get_Balance(J$85,"PTD","USD","Total","A","","001","447000","ED","AN","DL")</f>
        <v>0</v>
      </c>
      <c r="K50" s="13">
        <f>_xll.Get_Balance(K$85,"PTD","USD","Total","A","","001","447000","ED","AN","DL")</f>
        <v>0</v>
      </c>
      <c r="L50" s="13">
        <f>_xll.Get_Balance(L$85,"PTD","USD","Total","A","","001","447000","ED","AN","DL")</f>
        <v>0</v>
      </c>
      <c r="M50" s="13">
        <f>_xll.Get_Balance(M$85,"PTD","USD","Total","A","","001","447000","ED","AN","DL")</f>
        <v>0</v>
      </c>
      <c r="N50" s="13">
        <f>_xll.Get_Balance(N$85,"PTD","USD","Total","A","","001","447000","ED","AN","DL")</f>
        <v>0</v>
      </c>
      <c r="O50" s="13">
        <f>_xll.Get_Balance(O$85,"PTD","USD","Total","A","","001","447000","ED","AN","DL")</f>
        <v>0</v>
      </c>
      <c r="P50" s="13">
        <f>_xll.Get_Balance(P$85,"PTD","USD","Total","A","","001","447000","ED","AN","DL")</f>
        <v>0</v>
      </c>
      <c r="Q50" s="160"/>
      <c r="R50" s="89">
        <f t="shared" ref="R50:R56" si="16">SUM(E50:P50)</f>
        <v>-10340207</v>
      </c>
    </row>
    <row r="51" spans="1:18" outlineLevel="2">
      <c r="A51" s="67"/>
      <c r="B51" s="4" t="s">
        <v>209</v>
      </c>
      <c r="C51" s="25" t="s">
        <v>183</v>
      </c>
      <c r="D51" s="102">
        <f t="shared" si="15"/>
        <v>155924</v>
      </c>
      <c r="E51" s="13">
        <v>19928</v>
      </c>
      <c r="F51" s="13">
        <v>44560</v>
      </c>
      <c r="G51" s="13">
        <v>91436</v>
      </c>
      <c r="H51" s="13"/>
      <c r="I51" s="13"/>
      <c r="J51" s="13"/>
      <c r="K51" s="13"/>
      <c r="L51" s="13"/>
      <c r="M51" s="13"/>
      <c r="N51" s="13"/>
      <c r="O51" s="13"/>
      <c r="P51" s="13"/>
      <c r="Q51" s="160"/>
      <c r="R51" s="89"/>
    </row>
    <row r="52" spans="1:18" outlineLevel="2">
      <c r="A52" s="67"/>
      <c r="B52" s="4">
        <v>447100</v>
      </c>
      <c r="D52" s="102">
        <f t="shared" si="15"/>
        <v>-2502815</v>
      </c>
      <c r="E52" s="13">
        <f>_xll.Get_Balance(E$85,"PTD","USD","Total","A","","001","447100","ED","AN","DL")</f>
        <v>-1028302</v>
      </c>
      <c r="F52" s="13">
        <f>_xll.Get_Balance(F$85,"PTD","USD","Total","A","","001","447100","ED","AN","DL")</f>
        <v>-1145634</v>
      </c>
      <c r="G52" s="13">
        <f>_xll.Get_Balance(G$85,"PTD","USD","Total","A","","001","447100","ED","AN","DL")</f>
        <v>-328879</v>
      </c>
      <c r="H52" s="13">
        <f>_xll.Get_Balance(H$85,"PTD","USD","Total","A","","001","447100","ED","AN","DL")</f>
        <v>0</v>
      </c>
      <c r="I52" s="13">
        <f>_xll.Get_Balance(I$85,"PTD","USD","Total","A","","001","447100","ED","AN","DL")</f>
        <v>0</v>
      </c>
      <c r="J52" s="13">
        <f>_xll.Get_Balance(J$85,"PTD","USD","Total","A","","001","447100","ED","AN","DL")</f>
        <v>0</v>
      </c>
      <c r="K52" s="13">
        <f>_xll.Get_Balance(K$85,"PTD","USD","Total","A","","001","447100","ED","AN","DL")</f>
        <v>0</v>
      </c>
      <c r="L52" s="13">
        <f>_xll.Get_Balance(L$85,"PTD","USD","Total","A","","001","447100","ED","AN","DL")</f>
        <v>0</v>
      </c>
      <c r="M52" s="13">
        <f>_xll.Get_Balance(M$85,"PTD","USD","Total","A","","001","447100","ED","AN","DL")</f>
        <v>0</v>
      </c>
      <c r="N52" s="13">
        <f>_xll.Get_Balance(N$85,"PTD","USD","Total","A","","001","447100","ED","AN","DL")</f>
        <v>0</v>
      </c>
      <c r="O52" s="13">
        <f>_xll.Get_Balance(O$85,"PTD","USD","Total","A","","001","447100","ED","AN","DL")</f>
        <v>0</v>
      </c>
      <c r="P52" s="13">
        <f>_xll.Get_Balance(P$85,"PTD","USD","Total","A","","001","447100","ED","AN","DL")</f>
        <v>0</v>
      </c>
      <c r="Q52" s="160"/>
      <c r="R52" s="89">
        <f t="shared" si="16"/>
        <v>-2502815</v>
      </c>
    </row>
    <row r="53" spans="1:18" outlineLevel="2">
      <c r="A53" s="67"/>
      <c r="B53" s="4">
        <v>447150</v>
      </c>
      <c r="D53" s="102">
        <f t="shared" si="15"/>
        <v>-4127177</v>
      </c>
      <c r="E53" s="13">
        <f>_xll.Get_Balance(E$85,"PTD","USD","Total","A","","001","447150","ED","AN","DL")</f>
        <v>-1265005</v>
      </c>
      <c r="F53" s="13">
        <f>_xll.Get_Balance(F$85,"PTD","USD","Total","A","","001","447150","ED","AN","DL")</f>
        <v>-1503561</v>
      </c>
      <c r="G53" s="13">
        <f>_xll.Get_Balance(G$85,"PTD","USD","Total","A","","001","447150","ED","AN","DL")</f>
        <v>-1358611</v>
      </c>
      <c r="H53" s="13">
        <f>_xll.Get_Balance(H$85,"PTD","USD","Total","A","","001","447150","ED","AN","DL")</f>
        <v>0</v>
      </c>
      <c r="I53" s="13">
        <f>_xll.Get_Balance(I$85,"PTD","USD","Total","A","","001","447150","ED","AN","DL")</f>
        <v>0</v>
      </c>
      <c r="J53" s="13">
        <f>_xll.Get_Balance(J$85,"PTD","USD","Total","A","","001","447150","ED","AN","DL")</f>
        <v>0</v>
      </c>
      <c r="K53" s="13">
        <f>_xll.Get_Balance(K$85,"PTD","USD","Total","A","","001","447150","ED","AN","DL")</f>
        <v>0</v>
      </c>
      <c r="L53" s="13">
        <f>_xll.Get_Balance(L$85,"PTD","USD","Total","A","","001","447150","ED","AN","DL")</f>
        <v>0</v>
      </c>
      <c r="M53" s="13">
        <f>_xll.Get_Balance(M$85,"PTD","USD","Total","A","","001","447150","ED","AN","DL")</f>
        <v>0</v>
      </c>
      <c r="N53" s="13">
        <f>_xll.Get_Balance(N$85,"PTD","USD","Total","A","","001","447150","ED","AN","DL")</f>
        <v>0</v>
      </c>
      <c r="O53" s="13">
        <f>_xll.Get_Balance(O$85,"PTD","USD","Total","A","","001","447150","ED","AN","DL")</f>
        <v>0</v>
      </c>
      <c r="P53" s="13">
        <f>_xll.Get_Balance(P$85,"PTD","USD","Total","A","","001","447150","ED","AN","DL")</f>
        <v>0</v>
      </c>
      <c r="Q53" s="160"/>
      <c r="R53" s="89">
        <f t="shared" si="16"/>
        <v>-4127177</v>
      </c>
    </row>
    <row r="54" spans="1:18" outlineLevel="2">
      <c r="A54" s="67"/>
      <c r="B54" s="4">
        <v>447700</v>
      </c>
      <c r="D54" s="102">
        <f t="shared" si="15"/>
        <v>-649474</v>
      </c>
      <c r="E54" s="13">
        <f>_xll.Get_Balance(E$85,"PTD","USD","Total","A","","001","447700","ED","AN","DL")</f>
        <v>-255624</v>
      </c>
      <c r="F54" s="13">
        <f>_xll.Get_Balance(F$85,"PTD","USD","Total","A","","001","447700","ED","AN","DL")</f>
        <v>-167800</v>
      </c>
      <c r="G54" s="13">
        <f>_xll.Get_Balance(G$85,"PTD","USD","Total","A","","001","447700","ED","AN","DL")</f>
        <v>-226050</v>
      </c>
      <c r="H54" s="13">
        <f>_xll.Get_Balance(H$85,"PTD","USD","Total","A","","001","447700","ED","AN","DL")</f>
        <v>0</v>
      </c>
      <c r="I54" s="13">
        <f>_xll.Get_Balance(I$85,"PTD","USD","Total","A","","001","447700","ED","AN","DL")</f>
        <v>0</v>
      </c>
      <c r="J54" s="13">
        <f>_xll.Get_Balance(J$85,"PTD","USD","Total","A","","001","447700","ED","AN","DL")</f>
        <v>0</v>
      </c>
      <c r="K54" s="13">
        <f>_xll.Get_Balance(K$85,"PTD","USD","Total","A","","001","447700","ED","AN","DL")</f>
        <v>0</v>
      </c>
      <c r="L54" s="13">
        <f>_xll.Get_Balance(L$85,"PTD","USD","Total","A","","001","447700","ED","AN","DL")</f>
        <v>0</v>
      </c>
      <c r="M54" s="13">
        <f>_xll.Get_Balance(M$85,"PTD","USD","Total","A","","001","447700","ED","AN","DL")</f>
        <v>0</v>
      </c>
      <c r="N54" s="13">
        <f>_xll.Get_Balance(N$85,"PTD","USD","Total","A","","001","447700","ED","AN","DL")</f>
        <v>0</v>
      </c>
      <c r="O54" s="13">
        <f>_xll.Get_Balance(O$85,"PTD","USD","Total","A","","001","447700","ED","AN","DL")</f>
        <v>0</v>
      </c>
      <c r="P54" s="13">
        <f>_xll.Get_Balance(P$85,"PTD","USD","Total","A","","001","447700","ED","AN","DL")</f>
        <v>0</v>
      </c>
      <c r="Q54" s="160"/>
      <c r="R54" s="89">
        <f t="shared" si="16"/>
        <v>-649474</v>
      </c>
    </row>
    <row r="55" spans="1:18" outlineLevel="2">
      <c r="A55" s="67"/>
      <c r="B55" s="4">
        <v>447710</v>
      </c>
      <c r="D55" s="102">
        <f t="shared" si="15"/>
        <v>-733020</v>
      </c>
      <c r="E55" s="13">
        <f>_xll.Get_Balance(E$85,"PTD","USD","Total","A","","001","447710","ED","AN","DL")</f>
        <v>-230471</v>
      </c>
      <c r="F55" s="13">
        <f>_xll.Get_Balance(F$85,"PTD","USD","Total","A","","001","447710","ED","AN","DL")</f>
        <v>-284988</v>
      </c>
      <c r="G55" s="13">
        <f>_xll.Get_Balance(G$85,"PTD","USD","Total","A","","001","447710","ED","AN","DL")</f>
        <v>-217561</v>
      </c>
      <c r="H55" s="13">
        <f>_xll.Get_Balance(H$85,"PTD","USD","Total","A","","001","447710","ED","AN","DL")</f>
        <v>0</v>
      </c>
      <c r="I55" s="13">
        <f>_xll.Get_Balance(I$85,"PTD","USD","Total","A","","001","447710","ED","AN","DL")</f>
        <v>0</v>
      </c>
      <c r="J55" s="13">
        <f>_xll.Get_Balance(J$85,"PTD","USD","Total","A","","001","447710","ED","AN","DL")</f>
        <v>0</v>
      </c>
      <c r="K55" s="13">
        <f>_xll.Get_Balance(K$85,"PTD","USD","Total","A","","001","447710","ED","AN","DL")</f>
        <v>0</v>
      </c>
      <c r="L55" s="13">
        <f>_xll.Get_Balance(L$85,"PTD","USD","Total","A","","001","447710","ED","AN","DL")</f>
        <v>0</v>
      </c>
      <c r="M55" s="13">
        <f>_xll.Get_Balance(M$85,"PTD","USD","Total","A","","001","447710","ED","AN","DL")</f>
        <v>0</v>
      </c>
      <c r="N55" s="13">
        <f>_xll.Get_Balance(N$85,"PTD","USD","Total","A","","001","447710","ED","AN","DL")</f>
        <v>0</v>
      </c>
      <c r="O55" s="13">
        <f>_xll.Get_Balance(O$85,"PTD","USD","Total","A","","001","447710","ED","AN","DL")</f>
        <v>0</v>
      </c>
      <c r="P55" s="13">
        <f>_xll.Get_Balance(P$85,"PTD","USD","Total","A","","001","447710","ED","AN","DL")</f>
        <v>0</v>
      </c>
      <c r="Q55" s="160"/>
      <c r="R55" s="89">
        <f t="shared" si="16"/>
        <v>-733020</v>
      </c>
    </row>
    <row r="56" spans="1:18" outlineLevel="2">
      <c r="A56" s="67"/>
      <c r="B56" s="4">
        <v>447720</v>
      </c>
      <c r="C56" s="3" t="s">
        <v>149</v>
      </c>
      <c r="D56" s="152">
        <f t="shared" si="15"/>
        <v>-3734376</v>
      </c>
      <c r="E56" s="23">
        <f>_xll.Get_Balance(E$85,"PTD","USD","Total","A","","001","447720","ED","AN","DL")</f>
        <v>-1223281</v>
      </c>
      <c r="F56" s="23">
        <f>_xll.Get_Balance(F$85,"PTD","USD","Total","A","","001","447720","ED","AN","DL")</f>
        <v>-1274514</v>
      </c>
      <c r="G56" s="23">
        <f>_xll.Get_Balance(G$85,"PTD","USD","Total","A","","001","447720","ED","AN","DL")</f>
        <v>-1236581</v>
      </c>
      <c r="H56" s="23">
        <f>_xll.Get_Balance(H$85,"PTD","USD","Total","A","","001","447720","ED","AN","DL")</f>
        <v>0</v>
      </c>
      <c r="I56" s="23">
        <f>_xll.Get_Balance(I$85,"PTD","USD","Total","A","","001","447720","ED","AN","DL")</f>
        <v>0</v>
      </c>
      <c r="J56" s="23">
        <f>_xll.Get_Balance(J$85,"PTD","USD","Total","A","","001","447720","ED","AN","DL")</f>
        <v>0</v>
      </c>
      <c r="K56" s="23">
        <f>_xll.Get_Balance(K$85,"PTD","USD","Total","A","","001","447720","ED","AN","DL")</f>
        <v>0</v>
      </c>
      <c r="L56" s="23">
        <f>_xll.Get_Balance(L$85,"PTD","USD","Total","A","","001","447720","ED","AN","DL")</f>
        <v>0</v>
      </c>
      <c r="M56" s="23">
        <f>_xll.Get_Balance(M$85,"PTD","USD","Total","A","","001","447720","ED","AN","DL")</f>
        <v>0</v>
      </c>
      <c r="N56" s="23">
        <f>_xll.Get_Balance(N$85,"PTD","USD","Total","A","","001","447720","ED","AN","DL")</f>
        <v>0</v>
      </c>
      <c r="O56" s="23">
        <f>_xll.Get_Balance(O$85,"PTD","USD","Total","A","","001","447720","ED","AN","DL")</f>
        <v>0</v>
      </c>
      <c r="P56" s="23">
        <f>_xll.Get_Balance(P$85,"PTD","USD","Total","A","","001","447720","ED","AN","DL")</f>
        <v>0</v>
      </c>
      <c r="Q56" s="160"/>
      <c r="R56" s="161">
        <f t="shared" si="16"/>
        <v>-3734376</v>
      </c>
    </row>
    <row r="57" spans="1:18" s="25" customFormat="1" outlineLevel="2">
      <c r="A57" s="155"/>
      <c r="D57" s="34">
        <f t="shared" si="15"/>
        <v>-21931145</v>
      </c>
      <c r="E57" s="24">
        <f t="shared" ref="E57:P57" si="17">SUM(E50:E56)</f>
        <v>-7818222</v>
      </c>
      <c r="F57" s="24">
        <f t="shared" si="17"/>
        <v>-6959624</v>
      </c>
      <c r="G57" s="24">
        <f t="shared" si="17"/>
        <v>-7153299</v>
      </c>
      <c r="H57" s="24">
        <f t="shared" si="17"/>
        <v>0</v>
      </c>
      <c r="I57" s="24">
        <f t="shared" si="17"/>
        <v>0</v>
      </c>
      <c r="J57" s="24">
        <f t="shared" si="17"/>
        <v>0</v>
      </c>
      <c r="K57" s="24">
        <f t="shared" si="17"/>
        <v>0</v>
      </c>
      <c r="L57" s="24">
        <f t="shared" si="17"/>
        <v>0</v>
      </c>
      <c r="M57" s="24">
        <f>SUM(M50:M56)</f>
        <v>0</v>
      </c>
      <c r="N57" s="24">
        <f t="shared" si="17"/>
        <v>0</v>
      </c>
      <c r="O57" s="24">
        <f t="shared" si="17"/>
        <v>0</v>
      </c>
      <c r="P57" s="24">
        <f t="shared" si="17"/>
        <v>0</v>
      </c>
      <c r="Q57" s="162"/>
      <c r="R57" s="34">
        <f>SUM(R50:R56)</f>
        <v>-22087069</v>
      </c>
    </row>
    <row r="58" spans="1:18" outlineLevel="2">
      <c r="A58" s="67"/>
      <c r="E58" s="102"/>
      <c r="F58" s="10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60"/>
      <c r="R58" s="102"/>
    </row>
    <row r="59" spans="1:18">
      <c r="A59" s="67"/>
      <c r="B59" s="51" t="s">
        <v>15</v>
      </c>
      <c r="C59" s="5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60"/>
      <c r="R59" s="102"/>
    </row>
    <row r="60" spans="1:18">
      <c r="A60" s="67">
        <f>A46+1</f>
        <v>24</v>
      </c>
      <c r="B60" s="3" t="s">
        <v>88</v>
      </c>
      <c r="C60" s="3"/>
      <c r="D60" s="102">
        <f>SUM(E60:P60)</f>
        <v>1775852</v>
      </c>
      <c r="E60" s="13">
        <f>_xll.Get_Balance(E$85,"PTD","USD","Total","A","","001","501110","ED","AN","DL")</f>
        <v>669436</v>
      </c>
      <c r="F60" s="13">
        <f>_xll.Get_Balance(F$85,"PTD","USD","Total","A","","001","501110","ED","AN","DL")</f>
        <v>586372</v>
      </c>
      <c r="G60" s="13">
        <f>_xll.Get_Balance(G$85,"PTD","USD","Total","A","","001","501110","ED","AN","DL")</f>
        <v>520044</v>
      </c>
      <c r="H60" s="13">
        <f>_xll.Get_Balance(H$85,"PTD","USD","Total","A","","001","501110","ED","AN","DL")</f>
        <v>0</v>
      </c>
      <c r="I60" s="13">
        <f>_xll.Get_Balance(I$85,"PTD","USD","Total","A","","001","501110","ED","AN","DL")</f>
        <v>0</v>
      </c>
      <c r="J60" s="13">
        <f>_xll.Get_Balance(J$85,"PTD","USD","Total","A","","001","501110","ED","AN","DL")</f>
        <v>0</v>
      </c>
      <c r="K60" s="13">
        <f>_xll.Get_Balance(K$85,"PTD","USD","Total","A","","001","501110","ED","AN","DL")</f>
        <v>0</v>
      </c>
      <c r="L60" s="13">
        <f>_xll.Get_Balance(L$85,"PTD","USD","Total","A","","001","501110","ED","AN","DL")</f>
        <v>0</v>
      </c>
      <c r="M60" s="13">
        <f>_xll.Get_Balance(M$85,"PTD","USD","Total","A","","001","501110","ED","AN","DL")</f>
        <v>0</v>
      </c>
      <c r="N60" s="13">
        <f>_xll.Get_Balance(N$85,"PTD","USD","Total","A","","001","501110","ED","AN","DL")</f>
        <v>0</v>
      </c>
      <c r="O60" s="13">
        <f>_xll.Get_Balance(O$85,"PTD","USD","Total","A","","001","501110","ED","AN","DL")</f>
        <v>0</v>
      </c>
      <c r="P60" s="13">
        <f>_xll.Get_Balance(P$85,"PTD","USD","Total","A","","001","501110","ED","AN","DL")</f>
        <v>0</v>
      </c>
      <c r="Q60" s="163"/>
      <c r="R60" s="35">
        <f>SUM(E60:P60)</f>
        <v>1775852</v>
      </c>
    </row>
    <row r="61" spans="1:18">
      <c r="A61" s="67">
        <f>+A60+1</f>
        <v>25</v>
      </c>
      <c r="B61" s="3" t="s">
        <v>87</v>
      </c>
      <c r="C61" s="3"/>
      <c r="D61" s="102">
        <f>SUM(E61:P61)</f>
        <v>3218</v>
      </c>
      <c r="E61" s="13">
        <f>_xll.Get_Balance(E$85,"PTD","USD","Total","A","","001","501120","ED","AN","DL")</f>
        <v>466</v>
      </c>
      <c r="F61" s="13">
        <f>_xll.Get_Balance(F$85,"PTD","USD","Total","A","","001","501120","ED","AN","DL")</f>
        <v>2150</v>
      </c>
      <c r="G61" s="13">
        <f>_xll.Get_Balance(G$85,"PTD","USD","Total","A","","001","501120","ED","AN","DL")</f>
        <v>602</v>
      </c>
      <c r="H61" s="13">
        <f>_xll.Get_Balance(H$85,"PTD","USD","Total","A","","001","501120","ED","AN","DL")</f>
        <v>0</v>
      </c>
      <c r="I61" s="13">
        <f>_xll.Get_Balance(I$85,"PTD","USD","Total","A","","001","501120","ED","AN","DL")</f>
        <v>0</v>
      </c>
      <c r="J61" s="13">
        <f>_xll.Get_Balance(J$85,"PTD","USD","Total","A","","001","501120","ED","AN","DL")</f>
        <v>0</v>
      </c>
      <c r="K61" s="13">
        <f>_xll.Get_Balance(K$85,"PTD","USD","Total","A","","001","501120","ED","AN","DL")</f>
        <v>0</v>
      </c>
      <c r="L61" s="13">
        <f>_xll.Get_Balance(L$85,"PTD","USD","Total","A","","001","501120","ED","AN","DL")</f>
        <v>0</v>
      </c>
      <c r="M61" s="13">
        <f>_xll.Get_Balance(M$85,"PTD","USD","Total","A","","001","501120","ED","AN","DL")</f>
        <v>0</v>
      </c>
      <c r="N61" s="13">
        <f>_xll.Get_Balance(N$85,"PTD","USD","Total","A","","001","501120","ED","AN","DL")</f>
        <v>0</v>
      </c>
      <c r="O61" s="13">
        <f>_xll.Get_Balance(O$85,"PTD","USD","Total","A","","001","501120","ED","AN","DL")</f>
        <v>0</v>
      </c>
      <c r="P61" s="13">
        <f>_xll.Get_Balance(P$85,"PTD","USD","Total","A","","001","501120","ED","AN","DL")</f>
        <v>0</v>
      </c>
      <c r="Q61" s="163"/>
      <c r="R61" s="35">
        <f>SUM(E61:P61)</f>
        <v>3218</v>
      </c>
    </row>
    <row r="62" spans="1:18">
      <c r="A62" s="67">
        <f>+A61+1</f>
        <v>26</v>
      </c>
      <c r="B62" s="5" t="s">
        <v>47</v>
      </c>
      <c r="C62" s="5"/>
      <c r="D62" s="102">
        <f>SUM(E62:P62)</f>
        <v>7682672</v>
      </c>
      <c r="E62" s="13">
        <f>_xll.Get_Balance(E$85,"PTD","USD","Total","A","","001","501140","ED","AN","DL")</f>
        <v>2514090</v>
      </c>
      <c r="F62" s="13">
        <f>_xll.Get_Balance(F$85,"PTD","USD","Total","A","","001","501140","ED","AN","DL")</f>
        <v>2811018</v>
      </c>
      <c r="G62" s="13">
        <f>_xll.Get_Balance(G$85,"PTD","USD","Total","A","","001","501140","ED","AN","DL")</f>
        <v>2357564</v>
      </c>
      <c r="H62" s="13">
        <f>_xll.Get_Balance(H$85,"PTD","USD","Total","A","","001","501140","ED","AN","DL")</f>
        <v>0</v>
      </c>
      <c r="I62" s="13">
        <f>_xll.Get_Balance(I$85,"PTD","USD","Total","A","","001","501140","ED","AN","DL")</f>
        <v>0</v>
      </c>
      <c r="J62" s="13">
        <f>_xll.Get_Balance(J$85,"PTD","USD","Total","A","","001","501140","ED","AN","DL")</f>
        <v>0</v>
      </c>
      <c r="K62" s="13">
        <f>_xll.Get_Balance(K$85,"PTD","USD","Total","A","","001","501140","ED","AN","DL")</f>
        <v>0</v>
      </c>
      <c r="L62" s="13">
        <f>_xll.Get_Balance(L$85,"PTD","USD","Total","A","","001","501140","ED","AN","DL")</f>
        <v>0</v>
      </c>
      <c r="M62" s="13">
        <f>_xll.Get_Balance(M$85,"PTD","USD","Total","A","","001","501140","ED","AN","DL")</f>
        <v>0</v>
      </c>
      <c r="N62" s="13">
        <f>_xll.Get_Balance(N$85,"PTD","USD","Total","A","","001","501140","ED","AN","DL")</f>
        <v>0</v>
      </c>
      <c r="O62" s="13">
        <f>_xll.Get_Balance(O$85,"PTD","USD","Total","A","","001","501140","ED","AN","DL")</f>
        <v>0</v>
      </c>
      <c r="P62" s="13">
        <f>_xll.Get_Balance(P$85,"PTD","USD","Total","A","","001","501140","ED","AN","DL")</f>
        <v>0</v>
      </c>
      <c r="Q62" s="163"/>
      <c r="R62" s="164">
        <f>SUM(E62:P62)</f>
        <v>7682672</v>
      </c>
    </row>
    <row r="63" spans="1:18">
      <c r="A63" s="67">
        <f>+A62+1</f>
        <v>27</v>
      </c>
      <c r="B63" s="5" t="s">
        <v>46</v>
      </c>
      <c r="C63" s="5"/>
      <c r="D63" s="102">
        <f>SUM(E63:P63)</f>
        <v>55086</v>
      </c>
      <c r="E63" s="13">
        <f>_xll.Get_Balance(E$85,"PTD","USD","Total","A","","001","501160","ED","AN","DL")</f>
        <v>55086</v>
      </c>
      <c r="F63" s="13">
        <f>_xll.Get_Balance(F$85,"PTD","USD","Total","A","","001","501160","ED","AN","DL")</f>
        <v>0</v>
      </c>
      <c r="G63" s="13">
        <f>_xll.Get_Balance(G$85,"PTD","USD","Total","A","","001","501160","ED","AN","DL")</f>
        <v>0</v>
      </c>
      <c r="H63" s="13">
        <f>_xll.Get_Balance(H$85,"PTD","USD","Total","A","","001","501160","ED","AN","DL")</f>
        <v>0</v>
      </c>
      <c r="I63" s="13">
        <f>_xll.Get_Balance(I$85,"PTD","USD","Total","A","","001","501160","ED","AN","DL")</f>
        <v>0</v>
      </c>
      <c r="J63" s="13">
        <f>_xll.Get_Balance(J$85,"PTD","USD","Total","A","","001","501160","ED","AN","DL")</f>
        <v>0</v>
      </c>
      <c r="K63" s="13">
        <f>_xll.Get_Balance(K$85,"PTD","USD","Total","A","","001","501160","ED","AN","DL")</f>
        <v>0</v>
      </c>
      <c r="L63" s="13">
        <f>_xll.Get_Balance(L$85,"PTD","USD","Total","A","","001","501160","ED","AN","DL")</f>
        <v>0</v>
      </c>
      <c r="M63" s="13">
        <f>_xll.Get_Balance(M$85,"PTD","USD","Total","A","","001","501160","ED","AN","DL")</f>
        <v>0</v>
      </c>
      <c r="N63" s="13">
        <f>_xll.Get_Balance(N$85,"PTD","USD","Total","A","","001","501160","ED","AN","DL")</f>
        <v>0</v>
      </c>
      <c r="O63" s="13">
        <f>_xll.Get_Balance(O$85,"PTD","USD","Total","A","","001","501160","ED","AN","DL")</f>
        <v>0</v>
      </c>
      <c r="P63" s="13">
        <f>_xll.Get_Balance(P$85,"PTD","USD","Total","A","","001","501160","ED","AN","DL")</f>
        <v>0</v>
      </c>
      <c r="Q63" s="163"/>
      <c r="R63" s="164">
        <f>SUM(E63:P63)</f>
        <v>55086</v>
      </c>
    </row>
    <row r="64" spans="1:18" s="25" customFormat="1" ht="27.75" customHeight="1" thickBot="1">
      <c r="A64" s="148">
        <f>+A63+1</f>
        <v>28</v>
      </c>
      <c r="B64" s="52" t="s">
        <v>78</v>
      </c>
      <c r="C64" s="52"/>
      <c r="D64" s="33">
        <f>SUM(E64:P64)</f>
        <v>9516828</v>
      </c>
      <c r="E64" s="15">
        <f>SUM(E60:E63)</f>
        <v>3239078</v>
      </c>
      <c r="F64" s="15">
        <f t="shared" ref="F64:P64" si="18">SUM(F60:F63)</f>
        <v>3399540</v>
      </c>
      <c r="G64" s="15">
        <f t="shared" si="18"/>
        <v>2878210</v>
      </c>
      <c r="H64" s="15">
        <f t="shared" si="18"/>
        <v>0</v>
      </c>
      <c r="I64" s="15">
        <f t="shared" si="18"/>
        <v>0</v>
      </c>
      <c r="J64" s="15">
        <f t="shared" si="18"/>
        <v>0</v>
      </c>
      <c r="K64" s="15">
        <f t="shared" si="18"/>
        <v>0</v>
      </c>
      <c r="L64" s="15">
        <f t="shared" si="18"/>
        <v>0</v>
      </c>
      <c r="M64" s="15">
        <f t="shared" si="18"/>
        <v>0</v>
      </c>
      <c r="N64" s="15">
        <f t="shared" si="18"/>
        <v>0</v>
      </c>
      <c r="O64" s="15">
        <f t="shared" si="18"/>
        <v>0</v>
      </c>
      <c r="P64" s="15">
        <f t="shared" si="18"/>
        <v>0</v>
      </c>
      <c r="Q64" s="165"/>
      <c r="R64" s="150">
        <f>SUM(E64:P64)</f>
        <v>9516828</v>
      </c>
    </row>
    <row r="65" spans="1:18" ht="13.5" thickTop="1">
      <c r="A65" s="67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59"/>
    </row>
    <row r="66" spans="1:18" ht="18.75" customHeight="1">
      <c r="A66" s="67"/>
      <c r="B66" s="51" t="s">
        <v>23</v>
      </c>
      <c r="C66" s="5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59"/>
    </row>
    <row r="67" spans="1:18">
      <c r="A67" s="67">
        <f>A64+1</f>
        <v>29</v>
      </c>
      <c r="B67" s="4" t="s">
        <v>16</v>
      </c>
      <c r="C67" s="3" t="s">
        <v>113</v>
      </c>
      <c r="D67" s="123">
        <f>SUM(E67:P67)</f>
        <v>145122</v>
      </c>
      <c r="E67" s="166">
        <f>'Input Tab'!C50</f>
        <v>53540</v>
      </c>
      <c r="F67" s="166">
        <f>'Input Tab'!D50</f>
        <v>47910</v>
      </c>
      <c r="G67" s="166">
        <f>'Input Tab'!E50</f>
        <v>43672</v>
      </c>
      <c r="H67" s="166">
        <f>'Input Tab'!F50</f>
        <v>0</v>
      </c>
      <c r="I67" s="166">
        <f>'Input Tab'!G50</f>
        <v>0</v>
      </c>
      <c r="J67" s="166">
        <f>'Input Tab'!H50</f>
        <v>0</v>
      </c>
      <c r="K67" s="166">
        <f>'Input Tab'!I50</f>
        <v>0</v>
      </c>
      <c r="L67" s="166">
        <f>'Input Tab'!J50</f>
        <v>0</v>
      </c>
      <c r="M67" s="166">
        <f>'Input Tab'!K50</f>
        <v>0</v>
      </c>
      <c r="N67" s="166">
        <f>'Input Tab'!L50</f>
        <v>0</v>
      </c>
      <c r="O67" s="166">
        <f>'Input Tab'!M50</f>
        <v>0</v>
      </c>
      <c r="P67" s="166">
        <f>'Input Tab'!N50</f>
        <v>0</v>
      </c>
      <c r="Q67" s="159"/>
      <c r="R67" s="167">
        <f>SUM(E67:P67)</f>
        <v>145122</v>
      </c>
    </row>
    <row r="68" spans="1:18">
      <c r="A68" s="67">
        <f>A67+1</f>
        <v>30</v>
      </c>
      <c r="B68" s="4" t="s">
        <v>25</v>
      </c>
      <c r="C68" s="3" t="s">
        <v>112</v>
      </c>
      <c r="D68" s="123">
        <f>SUM(E68:P68)</f>
        <v>248650</v>
      </c>
      <c r="E68" s="166">
        <f>'Input Tab'!C51</f>
        <v>94106</v>
      </c>
      <c r="F68" s="166">
        <f>'Input Tab'!D51</f>
        <v>71708</v>
      </c>
      <c r="G68" s="166">
        <f>'Input Tab'!E51</f>
        <v>82836</v>
      </c>
      <c r="H68" s="166">
        <f>'Input Tab'!F51</f>
        <v>0</v>
      </c>
      <c r="I68" s="166">
        <f>'Input Tab'!G51</f>
        <v>0</v>
      </c>
      <c r="J68" s="166">
        <f>'Input Tab'!H51</f>
        <v>0</v>
      </c>
      <c r="K68" s="166">
        <f>'Input Tab'!I51</f>
        <v>0</v>
      </c>
      <c r="L68" s="166">
        <f>'Input Tab'!J51</f>
        <v>0</v>
      </c>
      <c r="M68" s="166">
        <f>'Input Tab'!K51</f>
        <v>0</v>
      </c>
      <c r="N68" s="166">
        <f>'Input Tab'!L51</f>
        <v>0</v>
      </c>
      <c r="O68" s="166">
        <f>'Input Tab'!M51</f>
        <v>0</v>
      </c>
      <c r="P68" s="166">
        <f>'Input Tab'!N51</f>
        <v>0</v>
      </c>
      <c r="Q68" s="159"/>
      <c r="R68" s="167">
        <f>SUM(E68:P68)</f>
        <v>248650</v>
      </c>
    </row>
    <row r="69" spans="1:18">
      <c r="A69" s="6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59"/>
    </row>
    <row r="70" spans="1:18" ht="21" customHeight="1">
      <c r="A70" s="67"/>
      <c r="B70" s="51" t="s">
        <v>26</v>
      </c>
      <c r="C70" s="5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59"/>
    </row>
    <row r="71" spans="1:18">
      <c r="A71" s="67">
        <f>A68+1</f>
        <v>31</v>
      </c>
      <c r="B71" s="4" t="s">
        <v>16</v>
      </c>
      <c r="D71" s="168" t="s">
        <v>17</v>
      </c>
      <c r="E71" s="169">
        <f>IF(E67=0," ",E60/E67)</f>
        <v>12.5</v>
      </c>
      <c r="F71" s="169">
        <f>IF(F67=0," ",F60/F67)</f>
        <v>12.24</v>
      </c>
      <c r="G71" s="169">
        <f>IF(G67=0," ",G60/G67)</f>
        <v>11.91</v>
      </c>
      <c r="H71" s="169" t="str">
        <f t="shared" ref="H71:P71" si="19">IF(H67=0," ",H60/H67)</f>
        <v xml:space="preserve"> </v>
      </c>
      <c r="I71" s="169" t="str">
        <f>IF(I67=0," ",I60/I67)</f>
        <v xml:space="preserve"> </v>
      </c>
      <c r="J71" s="169" t="str">
        <f t="shared" si="19"/>
        <v xml:space="preserve"> </v>
      </c>
      <c r="K71" s="169" t="str">
        <f>IF(K67=0," ",K60/K67)</f>
        <v xml:space="preserve"> </v>
      </c>
      <c r="L71" s="169" t="str">
        <f t="shared" si="19"/>
        <v xml:space="preserve"> </v>
      </c>
      <c r="M71" s="169" t="str">
        <f t="shared" si="19"/>
        <v xml:space="preserve"> </v>
      </c>
      <c r="N71" s="169" t="str">
        <f t="shared" si="19"/>
        <v xml:space="preserve"> </v>
      </c>
      <c r="O71" s="169" t="str">
        <f t="shared" si="19"/>
        <v xml:space="preserve"> </v>
      </c>
      <c r="P71" s="169" t="str">
        <f t="shared" si="19"/>
        <v xml:space="preserve"> </v>
      </c>
      <c r="Q71" s="170"/>
      <c r="R71" s="171">
        <f>R60/R67</f>
        <v>12.24</v>
      </c>
    </row>
    <row r="72" spans="1:18">
      <c r="A72" s="67">
        <f>A71+1</f>
        <v>32</v>
      </c>
      <c r="B72" s="4" t="s">
        <v>19</v>
      </c>
      <c r="D72" s="67" t="s">
        <v>18</v>
      </c>
      <c r="E72" s="169">
        <f>IF(E68=0," ",E62/E68)</f>
        <v>26.72</v>
      </c>
      <c r="F72" s="169">
        <f>IF(F68=0," ",F62/F68)</f>
        <v>39.200000000000003</v>
      </c>
      <c r="G72" s="169">
        <f t="shared" ref="G72:P72" si="20">IF(G68=0," ",G62/G68)</f>
        <v>28.46</v>
      </c>
      <c r="H72" s="169" t="str">
        <f t="shared" si="20"/>
        <v xml:space="preserve"> </v>
      </c>
      <c r="I72" s="169" t="str">
        <f>IF(I68=0," ",I62/I68)</f>
        <v xml:space="preserve"> </v>
      </c>
      <c r="J72" s="169" t="str">
        <f t="shared" si="20"/>
        <v xml:space="preserve"> </v>
      </c>
      <c r="K72" s="169" t="str">
        <f t="shared" si="20"/>
        <v xml:space="preserve"> </v>
      </c>
      <c r="L72" s="169" t="str">
        <f t="shared" si="20"/>
        <v xml:space="preserve"> </v>
      </c>
      <c r="M72" s="169" t="str">
        <f t="shared" si="20"/>
        <v xml:space="preserve"> </v>
      </c>
      <c r="N72" s="169" t="str">
        <f t="shared" si="20"/>
        <v xml:space="preserve"> </v>
      </c>
      <c r="O72" s="169" t="str">
        <f t="shared" si="20"/>
        <v xml:space="preserve"> </v>
      </c>
      <c r="P72" s="169" t="str">
        <f t="shared" si="20"/>
        <v xml:space="preserve"> </v>
      </c>
      <c r="Q72" s="170"/>
      <c r="R72" s="171">
        <f>R62/R68</f>
        <v>30.9</v>
      </c>
    </row>
    <row r="73" spans="1:18">
      <c r="A73" s="6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59"/>
    </row>
    <row r="74" spans="1:18">
      <c r="A74" s="67"/>
      <c r="B74" s="51" t="s">
        <v>20</v>
      </c>
      <c r="C74" s="5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59"/>
    </row>
    <row r="75" spans="1:18">
      <c r="A75" s="67">
        <f>A72+1</f>
        <v>33</v>
      </c>
      <c r="B75" s="4" t="s">
        <v>57</v>
      </c>
      <c r="D75" s="102">
        <f t="shared" ref="D75:D81" si="21">SUM(E75:P75)</f>
        <v>-1827</v>
      </c>
      <c r="E75" s="13">
        <f>_xll.Get_Balance(E$85,"PTD","USD","Total","A","","001","547213","ED","AN","DL")</f>
        <v>-1839</v>
      </c>
      <c r="F75" s="13">
        <f>_xll.Get_Balance(F$85,"PTD","USD","Total","A","","001","547213","ED","AN","DL")</f>
        <v>35</v>
      </c>
      <c r="G75" s="13">
        <f>_xll.Get_Balance(G$85,"PTD","USD","Total","A","","001","547213","ED","AN","DL")</f>
        <v>-23</v>
      </c>
      <c r="H75" s="13">
        <f>_xll.Get_Balance(H$85,"PTD","USD","Total","A","","001","547213","ED","AN","DL")</f>
        <v>0</v>
      </c>
      <c r="I75" s="13">
        <f>_xll.Get_Balance(I$85,"PTD","USD","Total","A","","001","547213","ED","AN","DL")</f>
        <v>0</v>
      </c>
      <c r="J75" s="13">
        <f>_xll.Get_Balance(J$85,"PTD","USD","Total","A","","001","547213","ED","AN","DL")</f>
        <v>0</v>
      </c>
      <c r="K75" s="13">
        <f>_xll.Get_Balance(K$85,"PTD","USD","Total","A","","001","547213","ED","AN","DL")</f>
        <v>0</v>
      </c>
      <c r="L75" s="13">
        <f>_xll.Get_Balance(L$85,"PTD","USD","Total","A","","001","547213","ED","AN","DL")</f>
        <v>0</v>
      </c>
      <c r="M75" s="13">
        <f>_xll.Get_Balance(M$85,"PTD","USD","Total","A","","001","547213","ED","AN","DL")</f>
        <v>0</v>
      </c>
      <c r="N75" s="13">
        <f>_xll.Get_Balance(N$85,"PTD","USD","Total","A","","001","547213","ED","AN","DL")</f>
        <v>0</v>
      </c>
      <c r="O75" s="13">
        <f>_xll.Get_Balance(O$85,"PTD","USD","Total","A","","001","547213","ED","AN","DL")</f>
        <v>0</v>
      </c>
      <c r="P75" s="13">
        <f>_xll.Get_Balance(P$85,"PTD","USD","Total","A","","001","547213","ED","AN","DL")</f>
        <v>0</v>
      </c>
      <c r="Q75" s="172"/>
      <c r="R75" s="105">
        <f t="shared" ref="R75:R80" si="22">SUM(E75:P75)</f>
        <v>-1827</v>
      </c>
    </row>
    <row r="76" spans="1:18">
      <c r="A76" s="67">
        <f t="shared" ref="A76:A81" si="23">A75+1</f>
        <v>34</v>
      </c>
      <c r="B76" s="4" t="s">
        <v>50</v>
      </c>
      <c r="D76" s="102">
        <f t="shared" si="21"/>
        <v>111917</v>
      </c>
      <c r="E76" s="13">
        <f>_xll.Get_Balance(E$85,"PTD","USD","Total","A","","001","547216","ED","AN","DL")</f>
        <v>20130</v>
      </c>
      <c r="F76" s="13">
        <f>_xll.Get_Balance(F$85,"PTD","USD","Total","A","","001","547216","ED","AN","DL")</f>
        <v>11475</v>
      </c>
      <c r="G76" s="13">
        <f>_xll.Get_Balance(G$85,"PTD","USD","Total","A","","001","547216","ED","AN","DL")</f>
        <v>80312</v>
      </c>
      <c r="H76" s="13">
        <f>_xll.Get_Balance(H$85,"PTD","USD","Total","A","","001","547216","ED","AN","DL")</f>
        <v>0</v>
      </c>
      <c r="I76" s="13">
        <f>_xll.Get_Balance(I$85,"PTD","USD","Total","A","","001","547216","ED","AN","DL")</f>
        <v>0</v>
      </c>
      <c r="J76" s="13">
        <f>_xll.Get_Balance(J$85,"PTD","USD","Total","A","","001","547216","ED","AN","DL")</f>
        <v>0</v>
      </c>
      <c r="K76" s="13">
        <f>_xll.Get_Balance(K$85,"PTD","USD","Total","A","","001","547216","ED","AN","DL")</f>
        <v>0</v>
      </c>
      <c r="L76" s="13">
        <f>_xll.Get_Balance(L$85,"PTD","USD","Total","A","","001","547216","ED","AN","DL")</f>
        <v>0</v>
      </c>
      <c r="M76" s="13">
        <f>_xll.Get_Balance(M$85,"PTD","USD","Total","A","","001","547216","ED","AN","DL")</f>
        <v>0</v>
      </c>
      <c r="N76" s="13">
        <f>_xll.Get_Balance(N$85,"PTD","USD","Total","A","","001","547216","ED","AN","DL")</f>
        <v>0</v>
      </c>
      <c r="O76" s="13">
        <f>_xll.Get_Balance(O$85,"PTD","USD","Total","A","","001","547216","ED","AN","DL")</f>
        <v>0</v>
      </c>
      <c r="P76" s="13">
        <f>_xll.Get_Balance(P$85,"PTD","USD","Total","A","","001","547216","ED","AN","DL")</f>
        <v>0</v>
      </c>
      <c r="Q76" s="172"/>
      <c r="R76" s="105">
        <f t="shared" si="22"/>
        <v>111917</v>
      </c>
    </row>
    <row r="77" spans="1:18">
      <c r="A77" s="67">
        <f t="shared" si="23"/>
        <v>35</v>
      </c>
      <c r="B77" s="4" t="s">
        <v>49</v>
      </c>
      <c r="D77" s="102">
        <f t="shared" si="21"/>
        <v>9090</v>
      </c>
      <c r="E77" s="13">
        <f>_xll.Get_Balance(E85,"PTD","USD","Total","A","","001","547211","ED","AN","DL")</f>
        <v>2625</v>
      </c>
      <c r="F77" s="13">
        <f>_xll.Get_Balance(F85,"PTD","USD","Total","A","","001","547211","ED","AN","DL")</f>
        <v>3871</v>
      </c>
      <c r="G77" s="13">
        <f>_xll.Get_Balance(G85,"PTD","USD","Total","A","","001","547211","ED","AN","DL")</f>
        <v>2594</v>
      </c>
      <c r="H77" s="13">
        <f>_xll.Get_Balance(H85,"PTD","USD","Total","A","","001","547211","ED","AN","DL")</f>
        <v>0</v>
      </c>
      <c r="I77" s="13">
        <f>_xll.Get_Balance(I85,"PTD","USD","Total","A","","001","547211","ED","AN","DL")</f>
        <v>0</v>
      </c>
      <c r="J77" s="13">
        <f>_xll.Get_Balance(J85,"PTD","USD","Total","A","","001","547211","ED","AN","DL")</f>
        <v>0</v>
      </c>
      <c r="K77" s="13">
        <f>_xll.Get_Balance(K85,"PTD","USD","Total","A","","001","547211","ED","AN","DL")</f>
        <v>0</v>
      </c>
      <c r="L77" s="13">
        <f>_xll.Get_Balance(L85,"PTD","USD","Total","A","","001","547211","ED","AN","DL")</f>
        <v>0</v>
      </c>
      <c r="M77" s="13">
        <f>_xll.Get_Balance(M85,"PTD","USD","Total","A","","001","547211","ED","AN","DL")</f>
        <v>0</v>
      </c>
      <c r="N77" s="13">
        <f>_xll.Get_Balance(N85,"PTD","USD","Total","A","","001","547211","ED","AN","DL")</f>
        <v>0</v>
      </c>
      <c r="O77" s="13">
        <f>_xll.Get_Balance(O85,"PTD","USD","Total","A","","001","547211","ED","AN","DL")</f>
        <v>0</v>
      </c>
      <c r="P77" s="13">
        <f>_xll.Get_Balance(P85,"PTD","USD","Total","A","","001","547211","ED","AN","DL")</f>
        <v>0</v>
      </c>
      <c r="Q77" s="172"/>
      <c r="R77" s="105">
        <f t="shared" si="22"/>
        <v>9090</v>
      </c>
    </row>
    <row r="78" spans="1:18">
      <c r="A78" s="67">
        <f t="shared" si="23"/>
        <v>36</v>
      </c>
      <c r="B78" s="4" t="s">
        <v>51</v>
      </c>
      <c r="D78" s="102">
        <f t="shared" si="21"/>
        <v>7338151</v>
      </c>
      <c r="E78" s="13">
        <f>_xll.Get_Balance(E$85,"PTD","USD","Total","A","","001","547610","ED","AN","DL")</f>
        <v>2553876</v>
      </c>
      <c r="F78" s="13">
        <f>_xll.Get_Balance(F$85,"PTD","USD","Total","A","","001","547610","ED","AN","DL")</f>
        <v>2266934</v>
      </c>
      <c r="G78" s="13">
        <f>_xll.Get_Balance(G$85,"PTD","USD","Total","A","","001","547610","ED","AN","DL")</f>
        <v>2517341</v>
      </c>
      <c r="H78" s="13">
        <f>_xll.Get_Balance(H$85,"PTD","USD","Total","A","","001","547610","ED","AN","DL")</f>
        <v>0</v>
      </c>
      <c r="I78" s="13">
        <f>_xll.Get_Balance(I$85,"PTD","USD","Total","A","","001","547610","ED","AN","DL")</f>
        <v>0</v>
      </c>
      <c r="J78" s="13">
        <f>_xll.Get_Balance(J$85,"PTD","USD","Total","A","","001","547610","ED","AN","DL")</f>
        <v>0</v>
      </c>
      <c r="K78" s="13">
        <f>_xll.Get_Balance(K$85,"PTD","USD","Total","A","","001","547610","ED","AN","DL")</f>
        <v>0</v>
      </c>
      <c r="L78" s="13">
        <f>_xll.Get_Balance(L$85,"PTD","USD","Total","A","","001","547610","ED","AN","DL")</f>
        <v>0</v>
      </c>
      <c r="M78" s="13">
        <f>_xll.Get_Balance(M$85,"PTD","USD","Total","A","","001","547610","ED","AN","DL")</f>
        <v>0</v>
      </c>
      <c r="N78" s="13">
        <f>_xll.Get_Balance(N$85,"PTD","USD","Total","A","","001","547610","ED","AN","DL")</f>
        <v>0</v>
      </c>
      <c r="O78" s="13">
        <f>_xll.Get_Balance(O$85,"PTD","USD","Total","A","","001","547610","ED","AN","DL")</f>
        <v>0</v>
      </c>
      <c r="P78" s="13">
        <f>_xll.Get_Balance(P$85,"PTD","USD","Total","A","","001","547610","ED","AN","DL")</f>
        <v>0</v>
      </c>
      <c r="Q78" s="172"/>
      <c r="R78" s="105">
        <f t="shared" si="22"/>
        <v>7338151</v>
      </c>
    </row>
    <row r="79" spans="1:18">
      <c r="A79" s="67">
        <f>A78+1</f>
        <v>37</v>
      </c>
      <c r="B79" s="3" t="s">
        <v>58</v>
      </c>
      <c r="C79" s="3"/>
      <c r="D79" s="102">
        <f t="shared" si="21"/>
        <v>6434307</v>
      </c>
      <c r="E79" s="13">
        <f>_xll.Get_Balance(E$85,"PTD","USD","Total","A","","001","547312","ED","AN","DL")</f>
        <v>2326662</v>
      </c>
      <c r="F79" s="13">
        <f>_xll.Get_Balance(F$85,"PTD","USD","Total","A","","001","547312","ED","AN","DL")</f>
        <v>1755204</v>
      </c>
      <c r="G79" s="13">
        <f>_xll.Get_Balance(G$85,"PTD","USD","Total","A","","001","547312","ED","AN","DL")</f>
        <v>2352441</v>
      </c>
      <c r="H79" s="13">
        <f>_xll.Get_Balance(H$85,"PTD","USD","Total","A","","001","547312","ED","AN","DL")</f>
        <v>0</v>
      </c>
      <c r="I79" s="13">
        <f>_xll.Get_Balance(I$85,"PTD","USD","Total","A","","001","547312","ED","AN","DL")</f>
        <v>0</v>
      </c>
      <c r="J79" s="13">
        <f>_xll.Get_Balance(J$85,"PTD","USD","Total","A","","001","547312","ED","AN","DL")</f>
        <v>0</v>
      </c>
      <c r="K79" s="13">
        <f>_xll.Get_Balance(K$85,"PTD","USD","Total","A","","001","547312","ED","AN","DL")</f>
        <v>0</v>
      </c>
      <c r="L79" s="13">
        <f>_xll.Get_Balance(L$85,"PTD","USD","Total","A","","001","547312","ED","AN","DL")</f>
        <v>0</v>
      </c>
      <c r="M79" s="13">
        <f>_xll.Get_Balance(M$85,"PTD","USD","Total","A","","001","547312","ED","AN","DL")</f>
        <v>0</v>
      </c>
      <c r="N79" s="13">
        <f>_xll.Get_Balance(N$85,"PTD","USD","Total","A","","001","547312","ED","AN","DL")</f>
        <v>0</v>
      </c>
      <c r="O79" s="13">
        <f>_xll.Get_Balance(O$85,"PTD","USD","Total","A","","001","547312","ED","AN","DL")</f>
        <v>0</v>
      </c>
      <c r="P79" s="13">
        <f>_xll.Get_Balance(P$85,"PTD","USD","Total","A","","001","547312","ED","AN","DL")</f>
        <v>0</v>
      </c>
      <c r="Q79" s="172"/>
      <c r="R79" s="105">
        <f>SUM(E79:P79)</f>
        <v>6434307</v>
      </c>
    </row>
    <row r="80" spans="1:18">
      <c r="A80" s="67">
        <f>A79+1</f>
        <v>38</v>
      </c>
      <c r="B80" s="54" t="s">
        <v>52</v>
      </c>
      <c r="C80" s="54"/>
      <c r="D80" s="102">
        <f t="shared" si="21"/>
        <v>608294</v>
      </c>
      <c r="E80" s="23">
        <f>_xll.Get_Balance(E$85,"PTD","USD","Total","A","","001","547310","ED","AN","DL")</f>
        <v>24298</v>
      </c>
      <c r="F80" s="23">
        <f>_xll.Get_Balance(F$85,"PTD","USD","Total","A","","001","547310","ED","AN","DL")</f>
        <v>61420</v>
      </c>
      <c r="G80" s="23">
        <f>_xll.Get_Balance(G$85,"PTD","USD","Total","A","","001","547310","ED","AN","DL")</f>
        <v>522576</v>
      </c>
      <c r="H80" s="23">
        <f>_xll.Get_Balance(H$85,"PTD","USD","Total","A","","001","547310","ED","AN","DL")</f>
        <v>0</v>
      </c>
      <c r="I80" s="23">
        <f>_xll.Get_Balance(I$85,"PTD","USD","Total","A","","001","547310","ED","AN","DL")</f>
        <v>0</v>
      </c>
      <c r="J80" s="23">
        <f>_xll.Get_Balance(J$85,"PTD","USD","Total","A","","001","547310","ED","AN","DL")</f>
        <v>0</v>
      </c>
      <c r="K80" s="23">
        <f>_xll.Get_Balance(K$85,"PTD","USD","Total","A","","001","547310","ED","AN","DL")</f>
        <v>0</v>
      </c>
      <c r="L80" s="23">
        <f>_xll.Get_Balance(L$85,"PTD","USD","Total","A","","001","547310","ED","AN","DL")</f>
        <v>0</v>
      </c>
      <c r="M80" s="23">
        <f>_xll.Get_Balance(M$85,"PTD","USD","Total","A","","001","547310","ED","AN","DL")</f>
        <v>0</v>
      </c>
      <c r="N80" s="23">
        <f>_xll.Get_Balance(N$85,"PTD","USD","Total","A","","001","547310","ED","AN","DL")</f>
        <v>0</v>
      </c>
      <c r="O80" s="23">
        <f>_xll.Get_Balance(O$85,"PTD","USD","Total","A","","001","547310","ED","AN","DL")</f>
        <v>0</v>
      </c>
      <c r="P80" s="23">
        <f>_xll.Get_Balance(P$85,"PTD","USD","Total","A","","001","547310","ED","AN","DL")</f>
        <v>0</v>
      </c>
      <c r="Q80" s="172"/>
      <c r="R80" s="173">
        <f t="shared" si="22"/>
        <v>608294</v>
      </c>
    </row>
    <row r="81" spans="1:18" s="25" customFormat="1" ht="21.75" customHeight="1">
      <c r="A81" s="148">
        <f t="shared" si="23"/>
        <v>39</v>
      </c>
      <c r="B81" s="52" t="s">
        <v>77</v>
      </c>
      <c r="C81" s="52"/>
      <c r="D81" s="33">
        <f t="shared" si="21"/>
        <v>14499932</v>
      </c>
      <c r="E81" s="15">
        <f t="shared" ref="E81:P81" si="24">SUM(E75:E80)</f>
        <v>4925752</v>
      </c>
      <c r="F81" s="15">
        <f t="shared" si="24"/>
        <v>4098939</v>
      </c>
      <c r="G81" s="15">
        <f t="shared" si="24"/>
        <v>5475241</v>
      </c>
      <c r="H81" s="15">
        <f t="shared" si="24"/>
        <v>0</v>
      </c>
      <c r="I81" s="15">
        <f t="shared" si="24"/>
        <v>0</v>
      </c>
      <c r="J81" s="15">
        <f t="shared" si="24"/>
        <v>0</v>
      </c>
      <c r="K81" s="15">
        <f t="shared" si="24"/>
        <v>0</v>
      </c>
      <c r="L81" s="15">
        <f t="shared" si="24"/>
        <v>0</v>
      </c>
      <c r="M81" s="15">
        <f t="shared" si="24"/>
        <v>0</v>
      </c>
      <c r="N81" s="15">
        <f t="shared" si="24"/>
        <v>0</v>
      </c>
      <c r="O81" s="15">
        <f t="shared" si="24"/>
        <v>0</v>
      </c>
      <c r="P81" s="15">
        <f t="shared" si="24"/>
        <v>0</v>
      </c>
      <c r="Q81" s="174"/>
      <c r="R81" s="175">
        <f>SUM(R75:R80)</f>
        <v>14499932</v>
      </c>
    </row>
    <row r="82" spans="1:18" ht="15.75" customHeight="1">
      <c r="A82" s="6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72"/>
      <c r="R82" s="176"/>
    </row>
    <row r="83" spans="1:18" ht="21" customHeight="1">
      <c r="A83" s="148">
        <f>A81+1</f>
        <v>40</v>
      </c>
      <c r="B83" s="55" t="s">
        <v>32</v>
      </c>
      <c r="C83" s="55"/>
      <c r="D83" s="177">
        <f>SUM(E83:P83)</f>
        <v>35252697</v>
      </c>
      <c r="E83" s="15">
        <f t="shared" ref="E83:P83" si="25">E23+E46+E64+E81</f>
        <v>13364330</v>
      </c>
      <c r="F83" s="15">
        <f t="shared" si="25"/>
        <v>11601013</v>
      </c>
      <c r="G83" s="15">
        <f t="shared" si="25"/>
        <v>10287354</v>
      </c>
      <c r="H83" s="15">
        <f t="shared" si="25"/>
        <v>0</v>
      </c>
      <c r="I83" s="15">
        <f t="shared" si="25"/>
        <v>0</v>
      </c>
      <c r="J83" s="15">
        <f t="shared" si="25"/>
        <v>0</v>
      </c>
      <c r="K83" s="15">
        <f t="shared" si="25"/>
        <v>0</v>
      </c>
      <c r="L83" s="15">
        <f t="shared" si="25"/>
        <v>0</v>
      </c>
      <c r="M83" s="15">
        <f t="shared" si="25"/>
        <v>0</v>
      </c>
      <c r="N83" s="15">
        <f t="shared" si="25"/>
        <v>0</v>
      </c>
      <c r="O83" s="15">
        <f t="shared" si="25"/>
        <v>0</v>
      </c>
      <c r="P83" s="15">
        <f t="shared" si="25"/>
        <v>0</v>
      </c>
      <c r="Q83" s="178"/>
      <c r="R83" s="179">
        <f>R23-R46+R64+R81</f>
        <v>79117510</v>
      </c>
    </row>
    <row r="84" spans="1:18" ht="12" customHeight="1"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59"/>
    </row>
    <row r="85" spans="1:18" outlineLevel="1">
      <c r="B85" s="56" t="s">
        <v>24</v>
      </c>
      <c r="C85" s="56"/>
      <c r="E85" s="180">
        <v>202001</v>
      </c>
      <c r="F85" s="180">
        <v>202002</v>
      </c>
      <c r="G85" s="180">
        <v>202003</v>
      </c>
      <c r="H85" s="180">
        <v>202004</v>
      </c>
      <c r="I85" s="180">
        <v>202005</v>
      </c>
      <c r="J85" s="180">
        <v>202006</v>
      </c>
      <c r="K85" s="180">
        <v>202007</v>
      </c>
      <c r="L85" s="180">
        <v>202008</v>
      </c>
      <c r="M85" s="180">
        <v>202009</v>
      </c>
      <c r="N85" s="180">
        <v>202010</v>
      </c>
      <c r="O85" s="180">
        <v>202011</v>
      </c>
      <c r="P85" s="180">
        <v>202012</v>
      </c>
      <c r="Q85" s="159"/>
    </row>
    <row r="86" spans="1:18">
      <c r="B86" s="57" t="s">
        <v>84</v>
      </c>
      <c r="C86" s="57"/>
      <c r="D86" s="181"/>
      <c r="E86" s="156"/>
      <c r="F86" s="20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59"/>
    </row>
    <row r="87" spans="1:18">
      <c r="A87" s="67">
        <f>A83+1</f>
        <v>41</v>
      </c>
      <c r="B87" s="56" t="s">
        <v>43</v>
      </c>
      <c r="C87" s="56"/>
      <c r="D87" s="43">
        <f t="shared" ref="D87:D95" si="26">SUM(E87:P87)</f>
        <v>-2344062</v>
      </c>
      <c r="E87" s="13">
        <f>_xll.Get_Balance(E$85,"PTD","USD","Total","A","","001","456100","ED","AN","DL")</f>
        <v>-675313</v>
      </c>
      <c r="F87" s="13">
        <f>_xll.Get_Balance(F$85,"PTD","USD","Total","A","","001","456100","ED","AN","DL")</f>
        <v>-919841</v>
      </c>
      <c r="G87" s="13">
        <f>_xll.Get_Balance(G$85,"PTD","USD","Total","A","","001","456100","ED","AN","DL")</f>
        <v>-748908</v>
      </c>
      <c r="H87" s="13">
        <f>_xll.Get_Balance(H$85,"PTD","USD","Total","A","","001","456100","ED","AN","DL")</f>
        <v>0</v>
      </c>
      <c r="I87" s="13">
        <f>_xll.Get_Balance(I$85,"PTD","USD","Total","A","","001","456100","ED","AN","DL")</f>
        <v>0</v>
      </c>
      <c r="J87" s="13">
        <f>_xll.Get_Balance(J$85,"PTD","USD","Total","A","","001","456100","ED","AN","DL")</f>
        <v>0</v>
      </c>
      <c r="K87" s="13">
        <f>_xll.Get_Balance(K$85,"PTD","USD","Total","A","","001","456100","ED","AN","DL")</f>
        <v>0</v>
      </c>
      <c r="L87" s="13">
        <f>_xll.Get_Balance(L$85,"PTD","USD","Total","A","","001","456100","ED","AN","DL")</f>
        <v>0</v>
      </c>
      <c r="M87" s="13">
        <f>_xll.Get_Balance(M$85,"PTD","USD","Total","A","","001","456100","ED","AN","DL")</f>
        <v>0</v>
      </c>
      <c r="N87" s="13">
        <f>_xll.Get_Balance(N$85,"PTD","USD","Total","A","","001","456100","ED","AN","DL")</f>
        <v>0</v>
      </c>
      <c r="O87" s="13">
        <f>_xll.Get_Balance(O$85,"PTD","USD","Total","A","","001","456100","ED","AN","DL")</f>
        <v>0</v>
      </c>
      <c r="P87" s="13">
        <f>_xll.Get_Balance(P$85,"PTD","USD","Total","A","","001","456100","ED","AN","DL")</f>
        <v>0</v>
      </c>
      <c r="Q87" s="172"/>
      <c r="R87" s="105">
        <f t="shared" ref="R87:R95" si="27">SUM(E87:P87)</f>
        <v>-2344062</v>
      </c>
    </row>
    <row r="88" spans="1:18">
      <c r="A88" s="67">
        <v>45</v>
      </c>
      <c r="B88" s="56" t="s">
        <v>118</v>
      </c>
      <c r="C88" s="56"/>
      <c r="D88" s="43">
        <f t="shared" si="26"/>
        <v>-231000</v>
      </c>
      <c r="E88" s="46">
        <f>_xll.Get_Balance(E$85,"PTD","USD","Total","A","","001","456120","ED","AN","DL")</f>
        <v>-77000</v>
      </c>
      <c r="F88" s="46">
        <f>_xll.Get_Balance(F$85,"PTD","USD","Total","A","","001","456120","ED","AN","DL")</f>
        <v>-77000</v>
      </c>
      <c r="G88" s="46">
        <f>_xll.Get_Balance(G$85,"PTD","USD","Total","A","","001","456120","ED","AN","DL")</f>
        <v>-77000</v>
      </c>
      <c r="H88" s="46">
        <f>_xll.Get_Balance(H$85,"PTD","USD","Total","A","","001","456120","ED","AN","DL")</f>
        <v>0</v>
      </c>
      <c r="I88" s="46">
        <f>_xll.Get_Balance(I$85,"PTD","USD","Total","A","","001","456120","ED","AN","DL")</f>
        <v>0</v>
      </c>
      <c r="J88" s="46">
        <f>_xll.Get_Balance(J$85,"PTD","USD","Total","A","","001","456120","ED","AN","DL")</f>
        <v>0</v>
      </c>
      <c r="K88" s="46">
        <f>_xll.Get_Balance(K$85,"PTD","USD","Total","A","","001","456120","ED","AN","DL")</f>
        <v>0</v>
      </c>
      <c r="L88" s="46">
        <f>_xll.Get_Balance(L$85,"PTD","USD","Total","A","","001","456120","ED","AN","DL")</f>
        <v>0</v>
      </c>
      <c r="M88" s="46">
        <f>_xll.Get_Balance(M$85,"PTD","USD","Total","A","","001","456120","ED","AN","DL")</f>
        <v>0</v>
      </c>
      <c r="N88" s="46">
        <f>_xll.Get_Balance(N$85,"PTD","USD","Total","A","","001","456120","ED","AN","DL")</f>
        <v>0</v>
      </c>
      <c r="O88" s="46">
        <f>_xll.Get_Balance(O$85,"PTD","USD","Total","A","","001","456120","ED","AN","DL")</f>
        <v>0</v>
      </c>
      <c r="P88" s="46">
        <f>_xll.Get_Balance(P$85,"PTD","USD","Total","A","","001","456120","ED","AN","DL")</f>
        <v>0</v>
      </c>
      <c r="Q88" s="172"/>
      <c r="R88" s="105">
        <f t="shared" si="27"/>
        <v>-231000</v>
      </c>
    </row>
    <row r="89" spans="1:18">
      <c r="A89" s="67">
        <f>A88+1</f>
        <v>46</v>
      </c>
      <c r="B89" s="56" t="s">
        <v>153</v>
      </c>
      <c r="C89" s="56"/>
      <c r="D89" s="43">
        <f t="shared" si="26"/>
        <v>0</v>
      </c>
      <c r="E89" s="13">
        <f>_xll.Get_Balance(E$85,"PTD","USD","Total","A","","001","456020","ED","AN","DL")</f>
        <v>0</v>
      </c>
      <c r="F89" s="13">
        <f>_xll.Get_Balance(F$85,"PTD","USD","Total","A","","001","456020","ED","AN","DL")</f>
        <v>0</v>
      </c>
      <c r="G89" s="13">
        <f>_xll.Get_Balance(G$85,"PTD","USD","Total","A","","001","456020","ED","AN","DL")</f>
        <v>0</v>
      </c>
      <c r="H89" s="13">
        <f>_xll.Get_Balance(H$85,"PTD","USD","Total","A","","001","456020","ED","AN","DL")</f>
        <v>0</v>
      </c>
      <c r="I89" s="13">
        <f>_xll.Get_Balance(I$85,"PTD","USD","Total","A","","001","456020","ED","AN","DL")</f>
        <v>0</v>
      </c>
      <c r="J89" s="13">
        <f>_xll.Get_Balance(J$85,"PTD","USD","Total","A","","001","456020","ED","AN","DL")</f>
        <v>0</v>
      </c>
      <c r="K89" s="13">
        <f>_xll.Get_Balance(K$85,"PTD","USD","Total","A","","001","456020","ED","AN","DL")</f>
        <v>0</v>
      </c>
      <c r="L89" s="13">
        <f>_xll.Get_Balance(L$85,"PTD","USD","Total","A","","001","456020","ED","AN","DL")</f>
        <v>0</v>
      </c>
      <c r="M89" s="13">
        <f>_xll.Get_Balance(M$85,"PTD","USD","Total","A","","001","456020","ED","AN","DL")</f>
        <v>0</v>
      </c>
      <c r="N89" s="13">
        <f>_xll.Get_Balance(N$85,"PTD","USD","Total","A","","001","456020","ED","AN","DL")</f>
        <v>0</v>
      </c>
      <c r="O89" s="13">
        <f>_xll.Get_Balance(O$85,"PTD","USD","Total","A","","001","456020","ED","AN","DL")</f>
        <v>0</v>
      </c>
      <c r="P89" s="13">
        <f>_xll.Get_Balance(P$85,"PTD","USD","Total","A","","001","456020","ED","AN","DL")</f>
        <v>0</v>
      </c>
      <c r="Q89" s="13"/>
      <c r="R89" s="105">
        <f t="shared" si="27"/>
        <v>0</v>
      </c>
    </row>
    <row r="90" spans="1:18">
      <c r="A90" s="67">
        <f>A89+1</f>
        <v>47</v>
      </c>
      <c r="B90" s="56" t="s">
        <v>216</v>
      </c>
      <c r="C90" s="56"/>
      <c r="D90" s="43">
        <f t="shared" si="26"/>
        <v>-312733</v>
      </c>
      <c r="E90" s="13">
        <f>_xll.Get_Balance(E$85,"PTD","USD","Total","A","","001","456030","ED","AN","DL")</f>
        <v>-105538</v>
      </c>
      <c r="F90" s="13">
        <f>_xll.Get_Balance(F$85,"PTD","USD","Total","A","","001","456030","ED","AN","DL")</f>
        <v>-104338</v>
      </c>
      <c r="G90" s="13">
        <f>_xll.Get_Balance(G$85,"PTD","USD","Total","A","","001","456030","ED","AN","DL")</f>
        <v>-102857</v>
      </c>
      <c r="H90" s="13">
        <f>_xll.Get_Balance(H$85,"PTD","USD","Total","A","","001","456030","ED","AN","DL")</f>
        <v>0</v>
      </c>
      <c r="I90" s="13">
        <f>_xll.Get_Balance(I$85,"PTD","USD","Total","A","","001","456030","ED","AN","DL")</f>
        <v>0</v>
      </c>
      <c r="J90" s="13">
        <f>_xll.Get_Balance(J$85,"PTD","USD","Total","A","","001","456030","ED","AN","DL")</f>
        <v>0</v>
      </c>
      <c r="K90" s="13">
        <f>_xll.Get_Balance(K$85,"PTD","USD","Total","A","","001","456030","ED","AN","DL")</f>
        <v>0</v>
      </c>
      <c r="L90" s="13">
        <f>_xll.Get_Balance(L$85,"PTD","USD","Total","A","","001","456030","ED","AN","DL")</f>
        <v>0</v>
      </c>
      <c r="M90" s="13">
        <f>_xll.Get_Balance(M$85,"PTD","USD","Total","A","","001","456030","ED","AN","DL")</f>
        <v>0</v>
      </c>
      <c r="N90" s="13">
        <f>_xll.Get_Balance(N$85,"PTD","USD","Total","A","","001","456030","ED","AN","DL")</f>
        <v>0</v>
      </c>
      <c r="O90" s="13">
        <f>_xll.Get_Balance(O$85,"PTD","USD","Total","A","","001","456030","ED","AN","DL")</f>
        <v>0</v>
      </c>
      <c r="P90" s="13">
        <f>_xll.Get_Balance(P$85,"PTD","USD","Total","A","","001","456030","ED","AN","DL")</f>
        <v>0</v>
      </c>
      <c r="Q90" s="13"/>
      <c r="R90" s="105"/>
    </row>
    <row r="91" spans="1:18">
      <c r="A91" s="67">
        <f>A90+1</f>
        <v>48</v>
      </c>
      <c r="B91" s="56" t="s">
        <v>152</v>
      </c>
      <c r="C91" s="56"/>
      <c r="D91" s="43">
        <f t="shared" si="26"/>
        <v>-735417</v>
      </c>
      <c r="E91" s="13">
        <f>_xll.Get_Balance(E$85,"PTD","USD","Total","A","","001","456130","ED","AN","DL")</f>
        <v>-230471</v>
      </c>
      <c r="F91" s="13">
        <f>_xll.Get_Balance(F$85,"PTD","USD","Total","A","","001","456130","ED","AN","DL")</f>
        <v>-287385</v>
      </c>
      <c r="G91" s="13">
        <f>_xll.Get_Balance(G$85,"PTD","USD","Total","A","","001","456130","ED","AN","DL")</f>
        <v>-217561</v>
      </c>
      <c r="H91" s="13">
        <f>_xll.Get_Balance(H$85,"PTD","USD","Total","A","","001","456130","ED","AN","DL")</f>
        <v>0</v>
      </c>
      <c r="I91" s="13">
        <f>_xll.Get_Balance(I$85,"PTD","USD","Total","A","","001","456130","ED","AN","DL")</f>
        <v>0</v>
      </c>
      <c r="J91" s="13">
        <f>_xll.Get_Balance(J$85,"PTD","USD","Total","A","","001","456130","ED","AN","DL")</f>
        <v>0</v>
      </c>
      <c r="K91" s="13">
        <f>_xll.Get_Balance(K$85,"PTD","USD","Total","A","","001","456130","ED","AN","DL")</f>
        <v>0</v>
      </c>
      <c r="L91" s="13">
        <f>_xll.Get_Balance(L$85,"PTD","USD","Total","A","","001","456130","ED","AN","DL")</f>
        <v>0</v>
      </c>
      <c r="M91" s="13">
        <f>_xll.Get_Balance(M$85,"PTD","USD","Total","A","","001","456130","ED","AN","DL")</f>
        <v>0</v>
      </c>
      <c r="N91" s="13">
        <f>_xll.Get_Balance(N$85,"PTD","USD","Total","A","","001","456130","ED","AN","DL")</f>
        <v>0</v>
      </c>
      <c r="O91" s="13">
        <f>_xll.Get_Balance(O$85,"PTD","USD","Total","A","","001","456130","ED","AN","DL")</f>
        <v>0</v>
      </c>
      <c r="P91" s="13">
        <f>_xll.Get_Balance(P$85,"PTD","USD","Total","A","","001","456130","ED","AN","DL")</f>
        <v>0</v>
      </c>
      <c r="Q91" s="172"/>
      <c r="R91" s="105">
        <f t="shared" si="27"/>
        <v>-735417</v>
      </c>
    </row>
    <row r="92" spans="1:18">
      <c r="A92" s="67">
        <f>+A91+1</f>
        <v>49</v>
      </c>
      <c r="B92" s="3" t="s">
        <v>120</v>
      </c>
      <c r="C92" s="3"/>
      <c r="D92" s="35">
        <f>SUM(E92:P92)</f>
        <v>-17334</v>
      </c>
      <c r="E92" s="183">
        <f>_xll.Get_Balance(E$85,"PTD","USD","Total","A","","001","456017","ED","AN","DL")</f>
        <v>-5778</v>
      </c>
      <c r="F92" s="183">
        <f>_xll.Get_Balance(F$85,"PTD","USD","Total","A","","001","456017","ED","AN","DL")</f>
        <v>-5778</v>
      </c>
      <c r="G92" s="183">
        <f>_xll.Get_Balance(G$85,"PTD","USD","Total","A","","001","456017","ED","AN","DL")</f>
        <v>-5778</v>
      </c>
      <c r="H92" s="183">
        <f>_xll.Get_Balance(H$85,"PTD","USD","Total","A","","001","456017","ED","AN","DL")</f>
        <v>0</v>
      </c>
      <c r="I92" s="183">
        <f>_xll.Get_Balance(I$85,"PTD","USD","Total","A","","001","456017","ED","AN","DL")</f>
        <v>0</v>
      </c>
      <c r="J92" s="183">
        <f>_xll.Get_Balance(J$85,"PTD","USD","Total","A","","001","456017","ED","AN","DL")</f>
        <v>0</v>
      </c>
      <c r="K92" s="183">
        <f>_xll.Get_Balance(K$85,"PTD","USD","Total","A","","001","456017","ED","AN","DL")</f>
        <v>0</v>
      </c>
      <c r="L92" s="183">
        <f>_xll.Get_Balance(L$85,"PTD","USD","Total","A","","001","456017","ED","AN","DL")</f>
        <v>0</v>
      </c>
      <c r="M92" s="183">
        <f>_xll.Get_Balance(M$85,"PTD","USD","Total","A","","001","456017","ED","AN","DL")</f>
        <v>0</v>
      </c>
      <c r="N92" s="183">
        <f>_xll.Get_Balance(N$85,"PTD","USD","Total","A","","001","456017","ED","AN","DL")</f>
        <v>0</v>
      </c>
      <c r="O92" s="183">
        <f>_xll.Get_Balance(O$85,"PTD","USD","Total","A","","001","456017","ED","AN","DL")</f>
        <v>0</v>
      </c>
      <c r="P92" s="183">
        <f>_xll.Get_Balance(P$85,"PTD","USD","Total","A","","001","456017","ED","AN","DL")</f>
        <v>0</v>
      </c>
      <c r="Q92" s="172"/>
      <c r="R92" s="105">
        <f t="shared" si="27"/>
        <v>-17334</v>
      </c>
    </row>
    <row r="93" spans="1:18">
      <c r="A93" s="67">
        <f>+A92+1</f>
        <v>50</v>
      </c>
      <c r="B93" s="76" t="s">
        <v>165</v>
      </c>
      <c r="C93" s="56"/>
      <c r="D93" s="43">
        <f t="shared" si="26"/>
        <v>-28134</v>
      </c>
      <c r="E93" s="13">
        <f>_xll.Get_Balance(E$85,"PTD","USD","Total","A","","001","456700","ED","WA","DL")</f>
        <v>-9378</v>
      </c>
      <c r="F93" s="13">
        <f>_xll.Get_Balance(F$85,"PTD","USD","Total","A","","001","456700","ED","WA","DL")</f>
        <v>-9378</v>
      </c>
      <c r="G93" s="13">
        <f>_xll.Get_Balance(G$85,"PTD","USD","Total","A","","001","456700","ED","WA","DL")</f>
        <v>-9378</v>
      </c>
      <c r="H93" s="13">
        <f>_xll.Get_Balance(H$85,"PTD","USD","Total","A","","001","456700","ED","WA","DL")</f>
        <v>0</v>
      </c>
      <c r="I93" s="13">
        <f>_xll.Get_Balance(I$85,"PTD","USD","Total","A","","001","456700","ED","WA","DL")</f>
        <v>0</v>
      </c>
      <c r="J93" s="13">
        <f>_xll.Get_Balance(J$85,"PTD","USD","Total","A","","001","456700","ED","WA","DL")</f>
        <v>0</v>
      </c>
      <c r="K93" s="13">
        <f>_xll.Get_Balance(K$85,"PTD","USD","Total","A","","001","456700","ED","WA","DL")</f>
        <v>0</v>
      </c>
      <c r="L93" s="13">
        <f>_xll.Get_Balance(L$85,"PTD","USD","Total","A","","001","456700","ED","WA","DL")</f>
        <v>0</v>
      </c>
      <c r="M93" s="13">
        <f>_xll.Get_Balance(M$85,"PTD","USD","Total","A","","001","456700","ED","WA","DL")</f>
        <v>0</v>
      </c>
      <c r="N93" s="13">
        <f>_xll.Get_Balance(N$85,"PTD","USD","Total","A","","001","456700","ED","WA","DL")</f>
        <v>0</v>
      </c>
      <c r="O93" s="13">
        <f>_xll.Get_Balance(O$85,"PTD","USD","Total","A","","001","456700","ED","WA","DL")</f>
        <v>0</v>
      </c>
      <c r="P93" s="13">
        <f>_xll.Get_Balance(P$85,"PTD","USD","Total","A","","001","456700","ED","WA","DL")</f>
        <v>0</v>
      </c>
      <c r="Q93" s="184"/>
      <c r="R93" s="105">
        <f t="shared" si="27"/>
        <v>-28134</v>
      </c>
    </row>
    <row r="94" spans="1:18">
      <c r="A94" s="67">
        <f>+A93+1</f>
        <v>51</v>
      </c>
      <c r="B94" s="58" t="s">
        <v>121</v>
      </c>
      <c r="C94" s="58" t="s">
        <v>98</v>
      </c>
      <c r="D94" s="43">
        <f t="shared" si="26"/>
        <v>-419919</v>
      </c>
      <c r="E94" s="23">
        <f>_xll.Get_Balance(E$85,"PTD","USD","Total","A","","001","456705","ED","AN","DL")</f>
        <v>-139973</v>
      </c>
      <c r="F94" s="23">
        <f>_xll.Get_Balance(F$85,"PTD","USD","Total","A","","001","456705","ED","AN","DL")</f>
        <v>-139973</v>
      </c>
      <c r="G94" s="23">
        <f>_xll.Get_Balance(G$85,"PTD","USD","Total","A","","001","456705","ED","AN","DL")</f>
        <v>-139973</v>
      </c>
      <c r="H94" s="23">
        <f>_xll.Get_Balance(H$85,"PTD","USD","Total","A","","001","456705","ED","AN","DL")</f>
        <v>0</v>
      </c>
      <c r="I94" s="23">
        <f>_xll.Get_Balance(I$85,"PTD","USD","Total","A","","001","456705","ED","AN","DL")</f>
        <v>0</v>
      </c>
      <c r="J94" s="23">
        <f>_xll.Get_Balance(J$85,"PTD","USD","Total","A","","001","456705","ED","AN","DL")</f>
        <v>0</v>
      </c>
      <c r="K94" s="23">
        <f>_xll.Get_Balance(K$85,"PTD","USD","Total","A","","001","456705","ED","AN","DL")</f>
        <v>0</v>
      </c>
      <c r="L94" s="23">
        <f>_xll.Get_Balance(L$85,"PTD","USD","Total","A","","001","456705","ED","AN","DL")</f>
        <v>0</v>
      </c>
      <c r="M94" s="23">
        <f>_xll.Get_Balance(M$85,"PTD","USD","Total","A","","001","456705","ED","AN","DL")</f>
        <v>0</v>
      </c>
      <c r="N94" s="23">
        <f>_xll.Get_Balance(N$85,"PTD","USD","Total","A","","001","456705","ED","AN","DL")</f>
        <v>0</v>
      </c>
      <c r="O94" s="23">
        <f>_xll.Get_Balance(O$85,"PTD","USD","Total","A","","001","456705","ED","AN","DL")</f>
        <v>0</v>
      </c>
      <c r="P94" s="23">
        <f>_xll.Get_Balance(P$85,"PTD","USD","Total","A","","001","456705","ED","AN","DL")</f>
        <v>0</v>
      </c>
      <c r="Q94" s="172"/>
      <c r="R94" s="173">
        <f t="shared" si="27"/>
        <v>-419919</v>
      </c>
    </row>
    <row r="95" spans="1:18" s="25" customFormat="1" ht="20.25" customHeight="1">
      <c r="A95" s="148">
        <f>A94+1</f>
        <v>52</v>
      </c>
      <c r="B95" s="59" t="s">
        <v>83</v>
      </c>
      <c r="C95" s="59"/>
      <c r="D95" s="33">
        <f t="shared" si="26"/>
        <v>-4088599</v>
      </c>
      <c r="E95" s="33">
        <f>SUM(E87:E94)</f>
        <v>-1243451</v>
      </c>
      <c r="F95" s="33">
        <f t="shared" ref="F95:P95" si="28">SUM(F87:F94)</f>
        <v>-1543693</v>
      </c>
      <c r="G95" s="33">
        <f t="shared" si="28"/>
        <v>-1301455</v>
      </c>
      <c r="H95" s="33">
        <f t="shared" si="28"/>
        <v>0</v>
      </c>
      <c r="I95" s="33">
        <f t="shared" si="28"/>
        <v>0</v>
      </c>
      <c r="J95" s="33">
        <f t="shared" si="28"/>
        <v>0</v>
      </c>
      <c r="K95" s="33">
        <f t="shared" si="28"/>
        <v>0</v>
      </c>
      <c r="L95" s="33">
        <f t="shared" si="28"/>
        <v>0</v>
      </c>
      <c r="M95" s="33">
        <f t="shared" si="28"/>
        <v>0</v>
      </c>
      <c r="N95" s="33">
        <f t="shared" si="28"/>
        <v>0</v>
      </c>
      <c r="O95" s="33">
        <f t="shared" si="28"/>
        <v>0</v>
      </c>
      <c r="P95" s="33">
        <f t="shared" si="28"/>
        <v>0</v>
      </c>
      <c r="Q95" s="174"/>
      <c r="R95" s="175">
        <f t="shared" si="27"/>
        <v>-4088599</v>
      </c>
    </row>
    <row r="96" spans="1:18">
      <c r="A96" s="67"/>
      <c r="D96" s="5"/>
      <c r="E96" s="43"/>
      <c r="F96" s="10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72"/>
      <c r="R96" s="105"/>
    </row>
    <row r="97" spans="1:18">
      <c r="A97" s="67"/>
      <c r="B97" s="51" t="s">
        <v>85</v>
      </c>
      <c r="C97" s="51"/>
      <c r="D97" s="5"/>
      <c r="E97" s="43"/>
      <c r="F97" s="10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72"/>
      <c r="R97" s="105"/>
    </row>
    <row r="98" spans="1:18">
      <c r="A98" s="67">
        <f>A95+1</f>
        <v>53</v>
      </c>
      <c r="B98" s="3" t="s">
        <v>44</v>
      </c>
      <c r="C98" s="3"/>
      <c r="D98" s="43">
        <f>SUM(E98:P98)</f>
        <v>4166648</v>
      </c>
      <c r="E98" s="13">
        <f>_xll.Get_Balance(E$85,"PTD","USD","Total","A","","001","565000","ED","AN","DL")</f>
        <v>1397531</v>
      </c>
      <c r="F98" s="31">
        <f>_xll.Get_Balance(F$85,"PTD","USD","Total","A","","001","565000","ED","AN","DL")</f>
        <v>1371808</v>
      </c>
      <c r="G98" s="31">
        <f>_xll.Get_Balance(G$85,"PTD","USD","Total","A","","001","565000","ED","AN","DL")</f>
        <v>1397309</v>
      </c>
      <c r="H98" s="31">
        <f>_xll.Get_Balance(H$85,"PTD","USD","Total","A","","001","565000","ED","AN","DL")</f>
        <v>0</v>
      </c>
      <c r="I98" s="31">
        <f>_xll.Get_Balance(I$85,"PTD","USD","Total","A","","001","565000","ED","AN","DL")</f>
        <v>0</v>
      </c>
      <c r="J98" s="31">
        <f>_xll.Get_Balance(J$85,"PTD","USD","Total","A","","001","565000","ED","AN","DL")</f>
        <v>0</v>
      </c>
      <c r="K98" s="31">
        <f>_xll.Get_Balance(K$85,"PTD","USD","Total","A","","001","565000","ED","AN","DL")</f>
        <v>0</v>
      </c>
      <c r="L98" s="31">
        <f>_xll.Get_Balance(L$85,"PTD","USD","Total","A","","001","565000","ED","AN","DL")</f>
        <v>0</v>
      </c>
      <c r="M98" s="31">
        <f>_xll.Get_Balance(M$85,"PTD","USD","Total","A","","001","565000","ED","AN","DL")</f>
        <v>0</v>
      </c>
      <c r="N98" s="31">
        <f>_xll.Get_Balance(N$85,"PTD","USD","Total","A","","001","565000","ED","AN","DL")</f>
        <v>0</v>
      </c>
      <c r="O98" s="31">
        <f>_xll.Get_Balance(O$85,"PTD","USD","Total","A","","001","565000","ED","AN","DL")</f>
        <v>0</v>
      </c>
      <c r="P98" s="31">
        <f>_xll.Get_Balance(P$85,"PTD","USD","Total","A","","001","565000","ED","AN","DL")</f>
        <v>0</v>
      </c>
      <c r="Q98" s="172"/>
      <c r="R98" s="105">
        <f>SUM(E98:P98)</f>
        <v>4166648</v>
      </c>
    </row>
    <row r="99" spans="1:18">
      <c r="A99" s="67">
        <f>A98+1</f>
        <v>54</v>
      </c>
      <c r="B99" s="3" t="s">
        <v>59</v>
      </c>
      <c r="C99" s="3" t="s">
        <v>60</v>
      </c>
      <c r="D99" s="43">
        <f>SUM(E99:P99)</f>
        <v>0</v>
      </c>
      <c r="E99" s="31">
        <f>_xll.Get_Balance(E$85,"PTD","USD","Total","A","","001","565312","ED","AN","DL")</f>
        <v>0</v>
      </c>
      <c r="F99" s="31">
        <f>_xll.Get_Balance(F$85,"PTD","USD","Total","A","","001","565312","ED","AN","DL")</f>
        <v>0</v>
      </c>
      <c r="G99" s="31">
        <f>_xll.Get_Balance(G$85,"PTD","USD","Total","A","","001","565312","ED","AN","DL")</f>
        <v>0</v>
      </c>
      <c r="H99" s="31">
        <f>_xll.Get_Balance(H$85,"PTD","USD","Total","A","","001","565312","ED","AN","DL")</f>
        <v>0</v>
      </c>
      <c r="I99" s="31">
        <f>_xll.Get_Balance(I$85,"PTD","USD","Total","A","","001","565312","ED","AN","DL")</f>
        <v>0</v>
      </c>
      <c r="J99" s="31">
        <f>_xll.Get_Balance(J$85,"PTD","USD","Total","A","","001","565312","ED","AN","DL")</f>
        <v>0</v>
      </c>
      <c r="K99" s="31">
        <f>_xll.Get_Balance(K$85,"PTD","USD","Total","A","","001","565312","ED","AN","DL")</f>
        <v>0</v>
      </c>
      <c r="L99" s="31">
        <f>_xll.Get_Balance(L$85,"PTD","USD","Total","A","","001","565312","ED","AN","DL")</f>
        <v>0</v>
      </c>
      <c r="M99" s="31">
        <f>_xll.Get_Balance(M$85,"PTD","USD","Total","A","","001","565312","ED","AN","DL")</f>
        <v>0</v>
      </c>
      <c r="N99" s="31">
        <f>_xll.Get_Balance(N$85,"PTD","USD","Total","A","","001","565312","ED","AN","DL")</f>
        <v>0</v>
      </c>
      <c r="O99" s="31">
        <f>_xll.Get_Balance(O$85,"PTD","USD","Total","A","","001","565312","ED","AN","DL")</f>
        <v>0</v>
      </c>
      <c r="P99" s="31">
        <f>_xll.Get_Balance(P$85,"PTD","USD","Total","A","","001","565312","ED","AN","DL")</f>
        <v>0</v>
      </c>
      <c r="Q99" s="172"/>
      <c r="R99" s="105">
        <f>SUM(E99:P99)</f>
        <v>0</v>
      </c>
    </row>
    <row r="100" spans="1:18">
      <c r="A100" s="68">
        <f>A99+1</f>
        <v>55</v>
      </c>
      <c r="B100" s="60" t="s">
        <v>45</v>
      </c>
      <c r="C100" s="60"/>
      <c r="D100" s="43">
        <f>SUM(E100:P100)</f>
        <v>13608</v>
      </c>
      <c r="E100" s="23">
        <f>_xll.Get_Balance(E$85,"PTD","USD","Total","A","","001","565710","ED","AN","DL")</f>
        <v>4536</v>
      </c>
      <c r="F100" s="23">
        <f>_xll.Get_Balance(F$85,"PTD","USD","Total","A","","001","565710","ED","AN","DL")</f>
        <v>4536</v>
      </c>
      <c r="G100" s="23">
        <f>_xll.Get_Balance(G$85,"PTD","USD","Total","A","","001","565710","ED","AN","DL")</f>
        <v>4536</v>
      </c>
      <c r="H100" s="23">
        <f>_xll.Get_Balance(H$85,"PTD","USD","Total","A","","001","565710","ED","AN","DL")</f>
        <v>0</v>
      </c>
      <c r="I100" s="23">
        <f>_xll.Get_Balance(I$85,"PTD","USD","Total","A","","001","565710","ED","AN","DL")</f>
        <v>0</v>
      </c>
      <c r="J100" s="23">
        <f>_xll.Get_Balance(J$85,"PTD","USD","Total","A","","001","565710","ED","AN","DL")</f>
        <v>0</v>
      </c>
      <c r="K100" s="23">
        <f>_xll.Get_Balance(K$85,"PTD","USD","Total","A","","001","565710","ED","AN","DL")</f>
        <v>0</v>
      </c>
      <c r="L100" s="23">
        <f>_xll.Get_Balance(L$85,"PTD","USD","Total","A","","001","565710","ED","AN","DL")</f>
        <v>0</v>
      </c>
      <c r="M100" s="23">
        <f>_xll.Get_Balance(M$85,"PTD","USD","Total","A","","001","565710","ED","AN","DL")</f>
        <v>0</v>
      </c>
      <c r="N100" s="23">
        <f>_xll.Get_Balance(N$85,"PTD","USD","Total","A","","001","565710","ED","AN","DL")</f>
        <v>0</v>
      </c>
      <c r="O100" s="23">
        <f>_xll.Get_Balance(O$85,"PTD","USD","Total","A","","001","565710","ED","AN","DL")</f>
        <v>0</v>
      </c>
      <c r="P100" s="23">
        <f>_xll.Get_Balance(P$85,"PTD","USD","Total","A","","001","565710","ED","AN","DL")</f>
        <v>0</v>
      </c>
      <c r="Q100" s="172"/>
      <c r="R100" s="173">
        <f>SUM(E100:P100)</f>
        <v>13608</v>
      </c>
    </row>
    <row r="101" spans="1:18" s="25" customFormat="1" ht="20.25" customHeight="1">
      <c r="A101" s="148">
        <f>A100+1</f>
        <v>56</v>
      </c>
      <c r="B101" s="59" t="s">
        <v>82</v>
      </c>
      <c r="C101" s="59"/>
      <c r="D101" s="33">
        <f>SUM(E101:P101)</f>
        <v>4180256</v>
      </c>
      <c r="E101" s="15">
        <f t="shared" ref="E101:P101" si="29">SUM(E98:E100)</f>
        <v>1402067</v>
      </c>
      <c r="F101" s="15">
        <f t="shared" si="29"/>
        <v>1376344</v>
      </c>
      <c r="G101" s="15">
        <f t="shared" si="29"/>
        <v>1401845</v>
      </c>
      <c r="H101" s="15">
        <f t="shared" si="29"/>
        <v>0</v>
      </c>
      <c r="I101" s="15">
        <f t="shared" si="29"/>
        <v>0</v>
      </c>
      <c r="J101" s="15">
        <f t="shared" si="29"/>
        <v>0</v>
      </c>
      <c r="K101" s="15">
        <f t="shared" si="29"/>
        <v>0</v>
      </c>
      <c r="L101" s="15">
        <f t="shared" si="29"/>
        <v>0</v>
      </c>
      <c r="M101" s="15">
        <f t="shared" si="29"/>
        <v>0</v>
      </c>
      <c r="N101" s="15">
        <f t="shared" si="29"/>
        <v>0</v>
      </c>
      <c r="O101" s="15">
        <f t="shared" si="29"/>
        <v>0</v>
      </c>
      <c r="P101" s="15">
        <f t="shared" si="29"/>
        <v>0</v>
      </c>
      <c r="Q101" s="174"/>
      <c r="R101" s="175">
        <f>SUM(E101:P101)</f>
        <v>4180256</v>
      </c>
    </row>
    <row r="102" spans="1:18">
      <c r="A102" s="67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72"/>
      <c r="R102" s="105"/>
    </row>
    <row r="103" spans="1:18">
      <c r="A103" s="67"/>
      <c r="B103" s="51" t="s">
        <v>144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72"/>
      <c r="R103" s="105"/>
    </row>
    <row r="104" spans="1:18">
      <c r="A104" s="67">
        <f>A101+1</f>
        <v>57</v>
      </c>
      <c r="B104" s="3" t="s">
        <v>147</v>
      </c>
      <c r="D104" s="102">
        <f>SUM(E104:P104)</f>
        <v>71248</v>
      </c>
      <c r="E104" s="20">
        <f>_xll.Get_Balance(E$85,"PTD","USD","Total","A","","001","557170","ED","AN","DL")</f>
        <v>21723</v>
      </c>
      <c r="F104" s="20">
        <f>_xll.Get_Balance(F$85,"PTD","USD","Total","A","","001","557170","ED","AN","DL")</f>
        <v>20506</v>
      </c>
      <c r="G104" s="20">
        <f>_xll.Get_Balance(G$85,"PTD","USD","Total","A","","001","557170","ED","AN","DL")</f>
        <v>29019</v>
      </c>
      <c r="H104" s="20">
        <f>_xll.Get_Balance(H$85,"PTD","USD","Total","A","","001","557170","ED","AN","DL")</f>
        <v>0</v>
      </c>
      <c r="I104" s="20">
        <f>_xll.Get_Balance(I$85,"PTD","USD","Total","A","","001","557170","ED","AN","DL")</f>
        <v>0</v>
      </c>
      <c r="J104" s="20">
        <f>_xll.Get_Balance(J$85,"PTD","USD","Total","A","","001","557170","ED","AN","DL")</f>
        <v>0</v>
      </c>
      <c r="K104" s="20">
        <f>_xll.Get_Balance(K$85,"PTD","USD","Total","A","","001","557170","ED","AN","DL")</f>
        <v>0</v>
      </c>
      <c r="L104" s="20">
        <f>_xll.Get_Balance(L$85,"PTD","USD","Total","A","","001","557170","ED","AN","DL")</f>
        <v>0</v>
      </c>
      <c r="M104" s="20">
        <f>_xll.Get_Balance(M$85,"PTD","USD","Total","A","","001","557170","ED","AN","DL")</f>
        <v>0</v>
      </c>
      <c r="N104" s="20">
        <f>_xll.Get_Balance(N$85,"PTD","USD","Total","A","","001","557170","ED","AN","DL")</f>
        <v>0</v>
      </c>
      <c r="O104" s="20">
        <f>_xll.Get_Balance(O$85,"PTD","USD","Total","A","","001","557170","ED","AN","DL")</f>
        <v>0</v>
      </c>
      <c r="P104" s="20">
        <f>_xll.Get_Balance(P$85,"PTD","USD","Total","A","","001","557170","ED","AN","DL")</f>
        <v>0</v>
      </c>
      <c r="Q104" s="172"/>
      <c r="R104" s="105"/>
    </row>
    <row r="105" spans="1:18">
      <c r="A105" s="67">
        <f>A104+1</f>
        <v>58</v>
      </c>
      <c r="B105" s="66" t="s">
        <v>146</v>
      </c>
      <c r="D105" s="102">
        <f>SUM(E105:P105)</f>
        <v>0</v>
      </c>
      <c r="E105" s="20">
        <f>_xll.Get_Balance(E$85,"PTD","USD","Total","A","","001","557172","ED","AN","DL")</f>
        <v>0</v>
      </c>
      <c r="F105" s="20">
        <f>_xll.Get_Balance(F$85,"PTD","USD","Total","A","","001","557172","ED","AN","DL")</f>
        <v>0</v>
      </c>
      <c r="G105" s="20">
        <f>_xll.Get_Balance(G$85,"PTD","USD","Total","A","","001","557172","ED","AN","DL")</f>
        <v>0</v>
      </c>
      <c r="H105" s="20">
        <f>_xll.Get_Balance(H$85,"PTD","USD","Total","A","","001","557172","ED","AN","DL")</f>
        <v>0</v>
      </c>
      <c r="I105" s="20">
        <f>_xll.Get_Balance(I$85,"PTD","USD","Total","A","","001","557172","ED","AN","DL")</f>
        <v>0</v>
      </c>
      <c r="J105" s="20">
        <f>_xll.Get_Balance(J$85,"PTD","USD","Total","A","","001","557172","ED","AN","DL")</f>
        <v>0</v>
      </c>
      <c r="K105" s="20">
        <f>_xll.Get_Balance(K$85,"PTD","USD","Total","A","","001","557172","ED","AN","DL")</f>
        <v>0</v>
      </c>
      <c r="L105" s="20">
        <f>_xll.Get_Balance(L$85,"PTD","USD","Total","A","","001","557172","ED","AN","DL")</f>
        <v>0</v>
      </c>
      <c r="M105" s="20">
        <f>_xll.Get_Balance(M$85,"PTD","USD","Total","A","","001","557172","ED","AN","DL")</f>
        <v>0</v>
      </c>
      <c r="N105" s="20">
        <f>_xll.Get_Balance(N$85,"PTD","USD","Total","A","","001","557172","ED","AN","DL")</f>
        <v>0</v>
      </c>
      <c r="O105" s="20">
        <f>_xll.Get_Balance(O$85,"PTD","USD","Total","A","","001","557172","ED","AN","DL")</f>
        <v>0</v>
      </c>
      <c r="P105" s="20">
        <f>_xll.Get_Balance(P$85,"PTD","USD","Total","A","","001","557172","ED","AN","DL")</f>
        <v>0</v>
      </c>
      <c r="Q105" s="172"/>
      <c r="R105" s="105"/>
    </row>
    <row r="106" spans="1:18">
      <c r="A106" s="67">
        <f>A105+1</f>
        <v>59</v>
      </c>
      <c r="B106" s="66" t="s">
        <v>169</v>
      </c>
      <c r="C106" s="4" t="s">
        <v>170</v>
      </c>
      <c r="D106" s="102">
        <f>SUM(E106:P106)</f>
        <v>36748</v>
      </c>
      <c r="E106" s="20">
        <f>_xll.Get_Balance(E$85,"PTD","USD","Total","A","","001","557165","ED","AN","DL")</f>
        <v>12599</v>
      </c>
      <c r="F106" s="20">
        <f>_xll.Get_Balance(F$85,"PTD","USD","Total","A","","001","557165","ED","AN","DL")</f>
        <v>11796</v>
      </c>
      <c r="G106" s="20">
        <f>_xll.Get_Balance(G$85,"PTD","USD","Total","A","","001","557165","ED","AN","DL")</f>
        <v>12353</v>
      </c>
      <c r="H106" s="20">
        <f>_xll.Get_Balance(H$85,"PTD","USD","Total","A","","001","557165","ED","AN","DL")</f>
        <v>0</v>
      </c>
      <c r="I106" s="20">
        <f>_xll.Get_Balance(I$85,"PTD","USD","Total","A","","001","557165","ED","AN","DL")</f>
        <v>0</v>
      </c>
      <c r="J106" s="20">
        <f>_xll.Get_Balance(J$85,"PTD","USD","Total","A","","001","557165","ED","AN","DL")</f>
        <v>0</v>
      </c>
      <c r="K106" s="20">
        <f>_xll.Get_Balance(K$85,"PTD","USD","Total","A","","001","557165","ED","AN","DL")</f>
        <v>0</v>
      </c>
      <c r="L106" s="20">
        <f>_xll.Get_Balance(L$85,"PTD","USD","Total","A","","001","557165","ED","AN","DL")</f>
        <v>0</v>
      </c>
      <c r="M106" s="20">
        <f>_xll.Get_Balance(M$85,"PTD","USD","Total","A","","001","557165","ED","AN","DL")</f>
        <v>0</v>
      </c>
      <c r="N106" s="20">
        <f>_xll.Get_Balance(N$85,"PTD","USD","Total","A","","001","557165","ED","AN","DL")</f>
        <v>0</v>
      </c>
      <c r="O106" s="20">
        <f>_xll.Get_Balance(O$85,"PTD","USD","Total","A","","001","557165","ED","AN","DL")</f>
        <v>0</v>
      </c>
      <c r="P106" s="20">
        <f>_xll.Get_Balance(P$85,"PTD","USD","Total","A","","001","557165","ED","AN","DL")</f>
        <v>0</v>
      </c>
      <c r="Q106" s="172"/>
      <c r="R106" s="105"/>
    </row>
    <row r="107" spans="1:18">
      <c r="A107" s="67">
        <f>A106+1</f>
        <v>60</v>
      </c>
      <c r="B107" s="66" t="s">
        <v>172</v>
      </c>
      <c r="C107" s="4" t="s">
        <v>173</v>
      </c>
      <c r="D107" s="102">
        <f>SUM(E107:P107)</f>
        <v>12474</v>
      </c>
      <c r="E107" s="20">
        <f>_xll.Get_Balance(E$85,"PTD","USD","Total","A","","001","557018","ED","AN","DL")</f>
        <v>4220</v>
      </c>
      <c r="F107" s="20">
        <f>_xll.Get_Balance(F$85,"PTD","USD","Total","A","","001","557018","ED","AN","DL")</f>
        <v>4121</v>
      </c>
      <c r="G107" s="20">
        <f>_xll.Get_Balance(G$85,"PTD","USD","Total","A","","001","557018","ED","AN","DL")</f>
        <v>4133</v>
      </c>
      <c r="H107" s="20">
        <f>_xll.Get_Balance(H$85,"PTD","USD","Total","A","","001","557018","ED","AN","DL")</f>
        <v>0</v>
      </c>
      <c r="I107" s="20">
        <f>_xll.Get_Balance(I$85,"PTD","USD","Total","A","","001","557018","ED","AN","DL")</f>
        <v>0</v>
      </c>
      <c r="J107" s="20">
        <f>_xll.Get_Balance(J$85,"PTD","USD","Total","A","","001","557018","ED","AN","DL")</f>
        <v>0</v>
      </c>
      <c r="K107" s="20">
        <f>_xll.Get_Balance(K$85,"PTD","USD","Total","A","","001","557018","ED","AN","DL")</f>
        <v>0</v>
      </c>
      <c r="L107" s="20">
        <f>_xll.Get_Balance(L$85,"PTD","USD","Total","A","","001","557018","ED","AN","DL")</f>
        <v>0</v>
      </c>
      <c r="M107" s="20">
        <f>_xll.Get_Balance(M$85,"PTD","USD","Total","A","","001","557018","ED","AN","DL")</f>
        <v>0</v>
      </c>
      <c r="N107" s="20">
        <f>_xll.Get_Balance(N$85,"PTD","USD","Total","A","","001","557018","ED","AN","DL")</f>
        <v>0</v>
      </c>
      <c r="O107" s="20">
        <f>_xll.Get_Balance(O$85,"PTD","USD","Total","A","","001","557018","ED","AN","DL")</f>
        <v>0</v>
      </c>
      <c r="P107" s="20">
        <f>_xll.Get_Balance(P$85,"PTD","USD","Total","A","","001","557018","ED","AN","DL")</f>
        <v>0</v>
      </c>
      <c r="Q107" s="172"/>
      <c r="R107" s="105"/>
    </row>
    <row r="108" spans="1:18" s="25" customFormat="1" ht="20.25" customHeight="1">
      <c r="A108" s="67">
        <f>A107+1</f>
        <v>61</v>
      </c>
      <c r="B108" s="59" t="s">
        <v>145</v>
      </c>
      <c r="C108" s="59"/>
      <c r="D108" s="33">
        <f>D104+D105+D106+D107</f>
        <v>120470</v>
      </c>
      <c r="E108" s="33">
        <f>E104+E105+E106+E107</f>
        <v>38542</v>
      </c>
      <c r="F108" s="33">
        <f t="shared" ref="F108:P108" si="30">F104+F105+F106+F107</f>
        <v>36423</v>
      </c>
      <c r="G108" s="33">
        <f t="shared" si="30"/>
        <v>45505</v>
      </c>
      <c r="H108" s="33">
        <f t="shared" si="30"/>
        <v>0</v>
      </c>
      <c r="I108" s="33">
        <f t="shared" si="30"/>
        <v>0</v>
      </c>
      <c r="J108" s="33">
        <f t="shared" si="30"/>
        <v>0</v>
      </c>
      <c r="K108" s="33">
        <f t="shared" si="30"/>
        <v>0</v>
      </c>
      <c r="L108" s="33">
        <f t="shared" si="30"/>
        <v>0</v>
      </c>
      <c r="M108" s="33">
        <f t="shared" si="30"/>
        <v>0</v>
      </c>
      <c r="N108" s="33">
        <f t="shared" si="30"/>
        <v>0</v>
      </c>
      <c r="O108" s="33">
        <f t="shared" si="30"/>
        <v>0</v>
      </c>
      <c r="P108" s="33">
        <f t="shared" si="30"/>
        <v>0</v>
      </c>
      <c r="Q108" s="174"/>
      <c r="R108" s="175"/>
    </row>
    <row r="109" spans="1:18" ht="9" customHeight="1">
      <c r="A109" s="6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72"/>
      <c r="R109" s="105"/>
    </row>
    <row r="110" spans="1:18">
      <c r="A110" s="67"/>
      <c r="B110" s="7" t="s">
        <v>197</v>
      </c>
      <c r="C110" s="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72"/>
      <c r="R110" s="105"/>
    </row>
    <row r="111" spans="1:18">
      <c r="A111" s="67">
        <f>A108+1</f>
        <v>62</v>
      </c>
      <c r="B111" s="4" t="s">
        <v>63</v>
      </c>
      <c r="D111" s="102">
        <f>SUM(E111:P111)</f>
        <v>-3065310</v>
      </c>
      <c r="E111" s="18">
        <f>_xll.Get_Balance(E$85,"PTD","USD","Total","A","","001","557010","ED","AN","DL")</f>
        <v>-2368594</v>
      </c>
      <c r="F111" s="18">
        <f>_xll.Get_Balance(F$85,"PTD","USD","Total","A","","001","557010","ED","AN","DL")</f>
        <v>-671118</v>
      </c>
      <c r="G111" s="18">
        <f>_xll.Get_Balance(G$85,"PTD","USD","Total","A","","001","557010","ED","AN","DL")</f>
        <v>-25598</v>
      </c>
      <c r="H111" s="18">
        <f>_xll.Get_Balance(H$85,"PTD","USD","Total","A","","001","557010","ED","AN","DL")</f>
        <v>0</v>
      </c>
      <c r="I111" s="18">
        <f>_xll.Get_Balance(I$85,"PTD","USD","Total","A","","001","557010","ED","AN","DL")</f>
        <v>0</v>
      </c>
      <c r="J111" s="18">
        <f>_xll.Get_Balance(J$85,"PTD","USD","Total","A","","001","557010","ED","AN","DL")</f>
        <v>0</v>
      </c>
      <c r="K111" s="18">
        <f>_xll.Get_Balance(K$85,"PTD","USD","Total","A","","001","557010","ED","AN","DL")</f>
        <v>0</v>
      </c>
      <c r="L111" s="18">
        <f>_xll.Get_Balance(L$85,"PTD","USD","Total","A","","001","557010","ED","AN","DL")</f>
        <v>0</v>
      </c>
      <c r="M111" s="18">
        <f>_xll.Get_Balance(M$85,"PTD","USD","Total","A","","001","557010","ED","AN","DL")</f>
        <v>0</v>
      </c>
      <c r="N111" s="18">
        <f>_xll.Get_Balance(N$85,"PTD","USD","Total","A","","001","557010","ED","AN","DL")</f>
        <v>0</v>
      </c>
      <c r="O111" s="18">
        <f>_xll.Get_Balance(O$85,"PTD","USD","Total","A","","001","557010","ED","AN","DL")</f>
        <v>0</v>
      </c>
      <c r="P111" s="18">
        <f>_xll.Get_Balance(P$85,"PTD","USD","Total","A","","001","557010","ED","AN","DL")</f>
        <v>0</v>
      </c>
      <c r="Q111" s="172"/>
      <c r="R111" s="105">
        <f t="shared" ref="R111:R122" si="31">SUM(E111:P111)</f>
        <v>-3065310</v>
      </c>
    </row>
    <row r="112" spans="1:18">
      <c r="A112" s="67">
        <f>A111+1</f>
        <v>63</v>
      </c>
      <c r="B112" s="4" t="s">
        <v>53</v>
      </c>
      <c r="D112" s="102">
        <f t="shared" ref="D112:D122" si="32">SUM(E112:P112)</f>
        <v>-3784336</v>
      </c>
      <c r="E112" s="18">
        <f>_xll.Get_Balance(E$85,"PTD","USD","Total","A","","001","557150","ED","AN","DL")</f>
        <v>421057</v>
      </c>
      <c r="F112" s="18">
        <f>_xll.Get_Balance(F$85,"PTD","USD","Total","A","","001","557150","ED","AN","DL")</f>
        <v>-976644</v>
      </c>
      <c r="G112" s="18">
        <f>_xll.Get_Balance(G$85,"PTD","USD","Total","A","","001","557150","ED","AN","DL")</f>
        <v>-3228749</v>
      </c>
      <c r="H112" s="18">
        <f>_xll.Get_Balance(H$85,"PTD","USD","Total","A","","001","557150","ED","AN","DL")</f>
        <v>0</v>
      </c>
      <c r="I112" s="18">
        <f>_xll.Get_Balance(I$85,"PTD","USD","Total","A","","001","557150","ED","AN","DL")</f>
        <v>0</v>
      </c>
      <c r="J112" s="18">
        <f>_xll.Get_Balance(J$85,"PTD","USD","Total","A","","001","557150","ED","AN","DL")</f>
        <v>0</v>
      </c>
      <c r="K112" s="18">
        <f>_xll.Get_Balance(K$85,"PTD","USD","Total","A","","001","557150","ED","AN","DL")</f>
        <v>0</v>
      </c>
      <c r="L112" s="18">
        <f>_xll.Get_Balance(L$85,"PTD","USD","Total","A","","001","557150","ED","AN","DL")</f>
        <v>0</v>
      </c>
      <c r="M112" s="18">
        <f>_xll.Get_Balance(M$85,"PTD","USD","Total","A","","001","557150","ED","AN","DL")</f>
        <v>0</v>
      </c>
      <c r="N112" s="18">
        <f>_xll.Get_Balance(N$85,"PTD","USD","Total","A","","001","557150","ED","AN","DL")</f>
        <v>0</v>
      </c>
      <c r="O112" s="18">
        <f>_xll.Get_Balance(O$85,"PTD","USD","Total","A","","001","557150","ED","AN","DL")</f>
        <v>0</v>
      </c>
      <c r="P112" s="18">
        <f>_xll.Get_Balance(P$85,"PTD","USD","Total","A","","001","557150","ED","AN","DL")</f>
        <v>0</v>
      </c>
      <c r="Q112" s="172"/>
      <c r="R112" s="105">
        <f t="shared" si="31"/>
        <v>-3784336</v>
      </c>
    </row>
    <row r="113" spans="1:18">
      <c r="A113" s="67">
        <f t="shared" ref="A113:A122" si="33">A112+1</f>
        <v>64</v>
      </c>
      <c r="B113" s="4" t="s">
        <v>54</v>
      </c>
      <c r="D113" s="102">
        <f t="shared" si="32"/>
        <v>168380</v>
      </c>
      <c r="E113" s="18">
        <f>_xll.Get_Balance(E$85,"PTD","USD","Total","A","","001","557700","ED","AN","DL")</f>
        <v>11952</v>
      </c>
      <c r="F113" s="18">
        <f>_xll.Get_Balance(F$85,"PTD","USD","Total","A","","001","557700","ED","AN","DL")</f>
        <v>8400</v>
      </c>
      <c r="G113" s="18">
        <f>_xll.Get_Balance(G$85,"PTD","USD","Total","A","","001","557700","ED","AN","DL")</f>
        <v>148028</v>
      </c>
      <c r="H113" s="18">
        <f>_xll.Get_Balance(H$85,"PTD","USD","Total","A","","001","557700","ED","AN","DL")</f>
        <v>0</v>
      </c>
      <c r="I113" s="18">
        <f>_xll.Get_Balance(I$85,"PTD","USD","Total","A","","001","557700","ED","AN","DL")</f>
        <v>0</v>
      </c>
      <c r="J113" s="18">
        <f>_xll.Get_Balance(J$85,"PTD","USD","Total","A","","001","557700","ED","AN","DL")</f>
        <v>0</v>
      </c>
      <c r="K113" s="18">
        <f>_xll.Get_Balance(K$85,"PTD","USD","Total","A","","001","557700","ED","AN","DL")</f>
        <v>0</v>
      </c>
      <c r="L113" s="18">
        <f>_xll.Get_Balance(L$85,"PTD","USD","Total","A","","001","557700","ED","AN","DL")</f>
        <v>0</v>
      </c>
      <c r="M113" s="18">
        <f>_xll.Get_Balance(M$85,"PTD","USD","Total","A","","001","557700","ED","AN","DL")</f>
        <v>0</v>
      </c>
      <c r="N113" s="18">
        <f>_xll.Get_Balance(N$85,"PTD","USD","Total","A","","001","557700","ED","AN","DL")</f>
        <v>0</v>
      </c>
      <c r="O113" s="18">
        <f>_xll.Get_Balance(O$85,"PTD","USD","Total","A","","001","557700","ED","AN","DL")</f>
        <v>0</v>
      </c>
      <c r="P113" s="18">
        <f>_xll.Get_Balance(P$85,"PTD","USD","Total","A","","001","557700","ED","AN","DL")</f>
        <v>0</v>
      </c>
      <c r="Q113" s="172"/>
      <c r="R113" s="105">
        <f t="shared" si="31"/>
        <v>168380</v>
      </c>
    </row>
    <row r="114" spans="1:18">
      <c r="A114" s="67">
        <f t="shared" si="33"/>
        <v>65</v>
      </c>
      <c r="B114" s="3" t="s">
        <v>70</v>
      </c>
      <c r="C114" s="3"/>
      <c r="D114" s="102">
        <f t="shared" si="32"/>
        <v>-168380</v>
      </c>
      <c r="E114" s="18">
        <f>_xll.Get_Balance(E$85,"PTD","USD","Total","A","","001","557711","ED","AN","DL")</f>
        <v>-11952</v>
      </c>
      <c r="F114" s="18">
        <f>_xll.Get_Balance(F$85,"PTD","USD","Total","A","","001","557711","ED","AN","DL")</f>
        <v>-8400</v>
      </c>
      <c r="G114" s="18">
        <f>_xll.Get_Balance(G$85,"PTD","USD","Total","A","","001","557711","ED","AN","DL")</f>
        <v>-148028</v>
      </c>
      <c r="H114" s="18">
        <f>_xll.Get_Balance(H$85,"PTD","USD","Total","A","","001","557711","ED","AN","DL")</f>
        <v>0</v>
      </c>
      <c r="I114" s="18">
        <f>_xll.Get_Balance(I$85,"PTD","USD","Total","A","","001","557711","ED","AN","DL")</f>
        <v>0</v>
      </c>
      <c r="J114" s="18">
        <f>_xll.Get_Balance(J$85,"PTD","USD","Total","A","","001","557711","ED","AN","DL")</f>
        <v>0</v>
      </c>
      <c r="K114" s="18">
        <f>_xll.Get_Balance(K$85,"PTD","USD","Total","A","","001","557711","ED","AN","DL")</f>
        <v>0</v>
      </c>
      <c r="L114" s="18">
        <f>_xll.Get_Balance(L$85,"PTD","USD","Total","A","","001","557711","ED","AN","DL")</f>
        <v>0</v>
      </c>
      <c r="M114" s="18">
        <f>_xll.Get_Balance(M$85,"PTD","USD","Total","A","","001","557711","ED","AN","DL")</f>
        <v>0</v>
      </c>
      <c r="N114" s="18">
        <f>_xll.Get_Balance(N$85,"PTD","USD","Total","A","","001","557711","ED","AN","DL")</f>
        <v>0</v>
      </c>
      <c r="O114" s="18">
        <f>_xll.Get_Balance(O$85,"PTD","USD","Total","A","","001","557711","ED","AN","DL")</f>
        <v>0</v>
      </c>
      <c r="P114" s="18">
        <f>_xll.Get_Balance(P$85,"PTD","USD","Total","A","","001","557711","ED","AN","DL")</f>
        <v>0</v>
      </c>
      <c r="Q114" s="172"/>
      <c r="R114" s="105">
        <f>SUM(E114:P114)</f>
        <v>-168380</v>
      </c>
    </row>
    <row r="115" spans="1:18">
      <c r="A115" s="67">
        <f t="shared" si="33"/>
        <v>66</v>
      </c>
      <c r="B115" s="4" t="s">
        <v>65</v>
      </c>
      <c r="D115" s="102">
        <f t="shared" si="32"/>
        <v>12826811</v>
      </c>
      <c r="E115" s="18">
        <f>_xll.Get_Balance(E$85,"PTD","USD","Total","A","","001","557730","ED","AN","DL")</f>
        <v>4115776</v>
      </c>
      <c r="F115" s="18">
        <f>_xll.Get_Balance(F$85,"PTD","USD","Total","A","","001","557730","ED","AN","DL")</f>
        <v>3319418</v>
      </c>
      <c r="G115" s="18">
        <f>_xll.Get_Balance(G$85,"PTD","USD","Total","A","","001","557730","ED","AN","DL")</f>
        <v>5391617</v>
      </c>
      <c r="H115" s="18">
        <f>_xll.Get_Balance(H$85,"PTD","USD","Total","A","","001","557730","ED","AN","DL")</f>
        <v>0</v>
      </c>
      <c r="I115" s="18">
        <f>_xll.Get_Balance(I$85,"PTD","USD","Total","A","","001","557730","ED","AN","DL")</f>
        <v>0</v>
      </c>
      <c r="J115" s="18">
        <f>_xll.Get_Balance(J$85,"PTD","USD","Total","A","","001","557730","ED","AN","DL")</f>
        <v>0</v>
      </c>
      <c r="K115" s="18">
        <f>_xll.Get_Balance(K$85,"PTD","USD","Total","A","","001","557730","ED","AN","DL")</f>
        <v>0</v>
      </c>
      <c r="L115" s="18">
        <f>_xll.Get_Balance(L$85,"PTD","USD","Total","A","","001","557730","ED","AN","DL")</f>
        <v>0</v>
      </c>
      <c r="M115" s="18">
        <f>_xll.Get_Balance(M$85,"PTD","USD","Total","A","","001","557730","ED","AN","DL")</f>
        <v>0</v>
      </c>
      <c r="N115" s="18">
        <f>_xll.Get_Balance(N$85,"PTD","USD","Total","A","","001","557730","ED","AN","DL")</f>
        <v>0</v>
      </c>
      <c r="O115" s="18">
        <f>_xll.Get_Balance(O$85,"PTD","USD","Total","A","","001","557730","ED","AN","DL")</f>
        <v>0</v>
      </c>
      <c r="P115" s="18">
        <f>_xll.Get_Balance(P$85,"PTD","USD","Total","A","","001","557730","ED","AN","DL")</f>
        <v>0</v>
      </c>
      <c r="Q115" s="172"/>
      <c r="R115" s="105">
        <f t="shared" si="31"/>
        <v>12826811</v>
      </c>
    </row>
    <row r="116" spans="1:18">
      <c r="A116" s="67">
        <f t="shared" si="33"/>
        <v>67</v>
      </c>
      <c r="B116" s="3" t="s">
        <v>68</v>
      </c>
      <c r="C116" s="3"/>
      <c r="D116" s="102">
        <f t="shared" si="32"/>
        <v>2490923</v>
      </c>
      <c r="E116" s="18">
        <f>_xll.Get_Balance(E$85,"PTD","USD","Total","A","","001","456010","ED","AN","DL")</f>
        <v>1882010</v>
      </c>
      <c r="F116" s="18">
        <f>_xll.Get_Balance(F$85,"PTD","USD","Total","A","","001","456010","ED","AN","DL")</f>
        <v>342468</v>
      </c>
      <c r="G116" s="18">
        <f>_xll.Get_Balance(G$85,"PTD","USD","Total","A","","001","456010","ED","AN","DL")</f>
        <v>266445</v>
      </c>
      <c r="H116" s="18">
        <f>_xll.Get_Balance(H$85,"PTD","USD","Total","A","","001","456010","ED","AN","DL")</f>
        <v>0</v>
      </c>
      <c r="I116" s="18">
        <f>_xll.Get_Balance(I$85,"PTD","USD","Total","A","","001","456010","ED","AN","DL")</f>
        <v>0</v>
      </c>
      <c r="J116" s="18">
        <f>_xll.Get_Balance(J$85,"PTD","USD","Total","A","","001","456010","ED","AN","DL")</f>
        <v>0</v>
      </c>
      <c r="K116" s="18">
        <f>_xll.Get_Balance(K$85,"PTD","USD","Total","A","","001","456010","ED","AN","DL")</f>
        <v>0</v>
      </c>
      <c r="L116" s="18">
        <f>_xll.Get_Balance(L$85,"PTD","USD","Total","A","","001","456010","ED","AN","DL")</f>
        <v>0</v>
      </c>
      <c r="M116" s="18">
        <f>_xll.Get_Balance(M$85,"PTD","USD","Total","A","","001","456010","ED","AN","DL")</f>
        <v>0</v>
      </c>
      <c r="N116" s="18">
        <f>_xll.Get_Balance(N$85,"PTD","USD","Total","A","","001","456010","ED","AN","DL")</f>
        <v>0</v>
      </c>
      <c r="O116" s="18">
        <f>_xll.Get_Balance(O$85,"PTD","USD","Total","A","","001","456010","ED","AN","DL")</f>
        <v>0</v>
      </c>
      <c r="P116" s="18">
        <f>_xll.Get_Balance(P$85,"PTD","USD","Total","A","","001","456010","ED","AN","DL")</f>
        <v>0</v>
      </c>
      <c r="Q116" s="172"/>
      <c r="R116" s="105">
        <f t="shared" si="31"/>
        <v>2490923</v>
      </c>
    </row>
    <row r="117" spans="1:18">
      <c r="A117" s="67">
        <f t="shared" si="33"/>
        <v>68</v>
      </c>
      <c r="B117" s="4" t="s">
        <v>55</v>
      </c>
      <c r="D117" s="102">
        <f t="shared" si="32"/>
        <v>-1382375</v>
      </c>
      <c r="E117" s="18">
        <f>_xll.Get_Balance(E$85,"PTD","USD","Total","A","","001","456015","ED","AN","DL")</f>
        <v>-1280600</v>
      </c>
      <c r="F117" s="18">
        <f>_xll.Get_Balance(F$85,"PTD","USD","Total","A","","001","456015","ED","AN","DL")</f>
        <v>-83595</v>
      </c>
      <c r="G117" s="18">
        <f>_xll.Get_Balance(G$85,"PTD","USD","Total","A","","001","456015","ED","AN","DL")</f>
        <v>-18180</v>
      </c>
      <c r="H117" s="18">
        <f>_xll.Get_Balance(H$85,"PTD","USD","Total","A","","001","456015","ED","AN","DL")</f>
        <v>0</v>
      </c>
      <c r="I117" s="18">
        <f>_xll.Get_Balance(I$85,"PTD","USD","Total","A","","001","456015","ED","AN","DL")</f>
        <v>0</v>
      </c>
      <c r="J117" s="18">
        <f>_xll.Get_Balance(J$85,"PTD","USD","Total","A","","001","456015","ED","AN","DL")</f>
        <v>0</v>
      </c>
      <c r="K117" s="18">
        <f>_xll.Get_Balance(K$85,"PTD","USD","Total","A","","001","456015","ED","AN","DL")</f>
        <v>0</v>
      </c>
      <c r="L117" s="18">
        <f>_xll.Get_Balance(L$85,"PTD","USD","Total","A","","001","456015","ED","AN","DL")</f>
        <v>0</v>
      </c>
      <c r="M117" s="18">
        <f>_xll.Get_Balance(M$85,"PTD","USD","Total","A","","001","456015","ED","AN","DL")</f>
        <v>0</v>
      </c>
      <c r="N117" s="18">
        <f>_xll.Get_Balance(N$85,"PTD","USD","Total","A","","001","456015","ED","AN","DL")</f>
        <v>0</v>
      </c>
      <c r="O117" s="18">
        <f>_xll.Get_Balance(O$85,"PTD","USD","Total","A","","001","456015","ED","AN","DL")</f>
        <v>0</v>
      </c>
      <c r="P117" s="18">
        <f>_xll.Get_Balance(P$85,"PTD","USD","Total","A","","001","456015","ED","AN","DL")</f>
        <v>0</v>
      </c>
      <c r="Q117" s="172"/>
      <c r="R117" s="105">
        <f t="shared" si="31"/>
        <v>-1382375</v>
      </c>
    </row>
    <row r="118" spans="1:18">
      <c r="A118" s="67">
        <f t="shared" si="33"/>
        <v>69</v>
      </c>
      <c r="B118" s="4" t="s">
        <v>181</v>
      </c>
      <c r="D118" s="102">
        <f t="shared" si="32"/>
        <v>-65219</v>
      </c>
      <c r="E118" s="18">
        <f>_xll.Get_Balance(E$85,"PTD","USD","Total","A","","001","456018","ED","AN","DL")</f>
        <v>-25507</v>
      </c>
      <c r="F118" s="18">
        <f>_xll.Get_Balance(F$85,"PTD","USD","Total","A","","001","456018","ED","AN","DL")</f>
        <v>-22738</v>
      </c>
      <c r="G118" s="18">
        <f>_xll.Get_Balance(G$85,"PTD","USD","Total","A","","001","456018","ED","AN","DL")</f>
        <v>-16974</v>
      </c>
      <c r="H118" s="18">
        <f>_xll.Get_Balance(H$85,"PTD","USD","Total","A","","001","456018","ED","AN","DL")</f>
        <v>0</v>
      </c>
      <c r="I118" s="18">
        <f>_xll.Get_Balance(I$85,"PTD","USD","Total","A","","001","456018","ED","AN","DL")</f>
        <v>0</v>
      </c>
      <c r="J118" s="18">
        <f>_xll.Get_Balance(J$85,"PTD","USD","Total","A","","001","456018","ED","AN","DL")</f>
        <v>0</v>
      </c>
      <c r="K118" s="18">
        <f>_xll.Get_Balance(K$85,"PTD","USD","Total","A","","001","456018","ED","AN","DL")</f>
        <v>0</v>
      </c>
      <c r="L118" s="18">
        <f>_xll.Get_Balance(L$85,"PTD","USD","Total","A","","001","456018","ED","AN","DL")</f>
        <v>0</v>
      </c>
      <c r="M118" s="18">
        <f>_xll.Get_Balance(M$85,"PTD","USD","Total","A","","001","456018","ED","AN","DL")</f>
        <v>0</v>
      </c>
      <c r="N118" s="18">
        <f>_xll.Get_Balance(N$85,"PTD","USD","Total","A","","001","456018","ED","AN","DL")</f>
        <v>0</v>
      </c>
      <c r="O118" s="18">
        <f>_xll.Get_Balance(O$85,"PTD","USD","Total","A","","001","456018","ED","AN","DL")</f>
        <v>0</v>
      </c>
      <c r="P118" s="18">
        <f>_xll.Get_Balance(P$85,"PTD","USD","Total","A","","001","456018","ED","AN","DL")</f>
        <v>0</v>
      </c>
      <c r="Q118" s="172"/>
      <c r="R118" s="105"/>
    </row>
    <row r="119" spans="1:18">
      <c r="A119" s="67">
        <f t="shared" si="33"/>
        <v>70</v>
      </c>
      <c r="B119" s="4" t="s">
        <v>199</v>
      </c>
      <c r="D119" s="102">
        <f t="shared" si="32"/>
        <v>-162500</v>
      </c>
      <c r="E119" s="18">
        <f>_xll.Get_Balance(E$85,"PTD","USD","Total","A","","001","456019","ED","AN","DL")</f>
        <v>-141375</v>
      </c>
      <c r="F119" s="18">
        <f>_xll.Get_Balance(F$85,"PTD","USD","Total","A","","001","456019","ED","AN","DL")</f>
        <v>-21125</v>
      </c>
      <c r="G119" s="18">
        <f>_xll.Get_Balance(G$85,"PTD","USD","Total","A","","001","456019","ED","AN","DL")</f>
        <v>0</v>
      </c>
      <c r="H119" s="18">
        <f>_xll.Get_Balance(H$85,"PTD","USD","Total","A","","001","456019","ED","AN","DL")</f>
        <v>0</v>
      </c>
      <c r="I119" s="18">
        <f>_xll.Get_Balance(I$85,"PTD","USD","Total","A","","001","456019","ED","AN","DL")</f>
        <v>0</v>
      </c>
      <c r="J119" s="18">
        <f>_xll.Get_Balance(J$85,"PTD","USD","Total","A","","001","456019","ED","AN","DL")</f>
        <v>0</v>
      </c>
      <c r="K119" s="18">
        <f>_xll.Get_Balance(K$85,"PTD","USD","Total","A","","001","456019","ED","AN","DL")</f>
        <v>0</v>
      </c>
      <c r="L119" s="18">
        <f>_xll.Get_Balance(L$85,"PTD","USD","Total","A","","001","456019","ED","AN","DL")</f>
        <v>0</v>
      </c>
      <c r="M119" s="18">
        <f>_xll.Get_Balance(M$85,"PTD","USD","Total","A","","001","456019","ED","AN","DL")</f>
        <v>0</v>
      </c>
      <c r="N119" s="18">
        <f>_xll.Get_Balance(N$85,"PTD","USD","Total","A","","001","456019","ED","AN","DL")</f>
        <v>0</v>
      </c>
      <c r="O119" s="18">
        <f>_xll.Get_Balance(O$85,"PTD","USD","Total","A","","001","456019","ED","AN","DL")</f>
        <v>0</v>
      </c>
      <c r="P119" s="18">
        <f>_xll.Get_Balance(P$85,"PTD","USD","Total","A","","001","456019","ED","AN","DL")</f>
        <v>0</v>
      </c>
      <c r="Q119" s="172"/>
      <c r="R119" s="105"/>
    </row>
    <row r="120" spans="1:18">
      <c r="A120" s="67">
        <f t="shared" si="33"/>
        <v>71</v>
      </c>
      <c r="B120" s="4" t="s">
        <v>66</v>
      </c>
      <c r="D120" s="102">
        <f t="shared" si="32"/>
        <v>-6126412</v>
      </c>
      <c r="E120" s="18">
        <f>_xll.Get_Balance(E$85,"PTD","USD","Total","A","","001","456730","ED","AN","DL")</f>
        <v>-2112693</v>
      </c>
      <c r="F120" s="18">
        <f>_xll.Get_Balance(F$85,"PTD","USD","Total","A","","001","456730","ED","AN","DL")</f>
        <v>-1793764</v>
      </c>
      <c r="G120" s="18">
        <f>_xll.Get_Balance(G$85,"PTD","USD","Total","A","","001","456730","ED","AN","DL")</f>
        <v>-2219955</v>
      </c>
      <c r="H120" s="18">
        <f>_xll.Get_Balance(H$85,"PTD","USD","Total","A","","001","456730","ED","AN","DL")</f>
        <v>0</v>
      </c>
      <c r="I120" s="18">
        <f>_xll.Get_Balance(I$85,"PTD","USD","Total","A","","001","456730","ED","AN","DL")</f>
        <v>0</v>
      </c>
      <c r="J120" s="18">
        <f>_xll.Get_Balance(J$85,"PTD","USD","Total","A","","001","456730","ED","AN","DL")</f>
        <v>0</v>
      </c>
      <c r="K120" s="18">
        <f>_xll.Get_Balance(K$85,"PTD","USD","Total","A","","001","456730","ED","AN","DL")</f>
        <v>0</v>
      </c>
      <c r="L120" s="18">
        <f>_xll.Get_Balance(L$85,"PTD","USD","Total","A","","001","456730","ED","AN","DL")</f>
        <v>0</v>
      </c>
      <c r="M120" s="18">
        <f>_xll.Get_Balance(M$85,"PTD","USD","Total","A","","001","456730","ED","AN","DL")</f>
        <v>0</v>
      </c>
      <c r="N120" s="18">
        <f>_xll.Get_Balance(N$85,"PTD","USD","Total","A","","001","456730","ED","AN","DL")</f>
        <v>0</v>
      </c>
      <c r="O120" s="18">
        <f>_xll.Get_Balance(O$85,"PTD","USD","Total","A","","001","456730","ED","AN","DL")</f>
        <v>0</v>
      </c>
      <c r="P120" s="18">
        <f>_xll.Get_Balance(P$85,"PTD","USD","Total","A","","001","456730","ED","AN","DL")</f>
        <v>0</v>
      </c>
      <c r="Q120" s="172"/>
      <c r="R120" s="105">
        <f t="shared" si="31"/>
        <v>-6126412</v>
      </c>
    </row>
    <row r="121" spans="1:18">
      <c r="A121" s="67">
        <f t="shared" si="33"/>
        <v>72</v>
      </c>
      <c r="B121" s="3" t="s">
        <v>69</v>
      </c>
      <c r="C121" s="3"/>
      <c r="D121" s="102">
        <f t="shared" si="32"/>
        <v>40300</v>
      </c>
      <c r="E121" s="14">
        <f>_xll.Get_Balance(E$85,"PTD","USD","Total","A","","001","456711","ED","AN","DL")</f>
        <v>32000</v>
      </c>
      <c r="F121" s="14">
        <f>_xll.Get_Balance(F$85,"PTD","USD","Total","A","","001","456711","ED","AN","DL")</f>
        <v>8300</v>
      </c>
      <c r="G121" s="14">
        <f>_xll.Get_Balance(G$85,"PTD","USD","Total","A","","001","456711","ED","AN","DL")</f>
        <v>0</v>
      </c>
      <c r="H121" s="14">
        <f>_xll.Get_Balance(H$85,"PTD","USD","Total","A","","001","456711","ED","AN","DL")</f>
        <v>0</v>
      </c>
      <c r="I121" s="14">
        <f>_xll.Get_Balance(I$85,"PTD","USD","Total","A","","001","456711","ED","AN","DL")</f>
        <v>0</v>
      </c>
      <c r="J121" s="14">
        <f>_xll.Get_Balance(J$85,"PTD","USD","Total","A","","001","456711","ED","AN","DL")</f>
        <v>0</v>
      </c>
      <c r="K121" s="14">
        <f>_xll.Get_Balance(K$85,"PTD","USD","Total","A","","001","456711","ED","AN","DL")</f>
        <v>0</v>
      </c>
      <c r="L121" s="14">
        <f>_xll.Get_Balance(L$85,"PTD","USD","Total","A","","001","456711","ED","AN","DL")</f>
        <v>0</v>
      </c>
      <c r="M121" s="14">
        <f>_xll.Get_Balance(M$85,"PTD","USD","Total","A","","001","456711","ED","AN","DL")</f>
        <v>0</v>
      </c>
      <c r="N121" s="14">
        <f>_xll.Get_Balance(N$85,"PTD","USD","Total","A","","001","456711","ED","AN","DL")</f>
        <v>0</v>
      </c>
      <c r="O121" s="14">
        <f>_xll.Get_Balance(O$85,"PTD","USD","Total","A","","001","456711","ED","AN","DL")</f>
        <v>0</v>
      </c>
      <c r="P121" s="14">
        <f>_xll.Get_Balance(P$85,"PTD","USD","Total","A","","001","456711","ED","AN","DL")</f>
        <v>0</v>
      </c>
      <c r="Q121" s="172"/>
      <c r="R121" s="176">
        <f>SUM(E121:P121)</f>
        <v>40300</v>
      </c>
    </row>
    <row r="122" spans="1:18">
      <c r="A122" s="67">
        <f t="shared" si="33"/>
        <v>73</v>
      </c>
      <c r="B122" s="54" t="s">
        <v>56</v>
      </c>
      <c r="C122" s="54"/>
      <c r="D122" s="102">
        <f t="shared" si="32"/>
        <v>-40300</v>
      </c>
      <c r="E122" s="30">
        <f>_xll.Get_Balance(E$85,"PTD","USD","Total","A","","001","456720","ED","AN","DL")</f>
        <v>-32000</v>
      </c>
      <c r="F122" s="30">
        <f>_xll.Get_Balance(F$85,"PTD","USD","Total","A","","001","456720","ED","AN","DL")</f>
        <v>-8300</v>
      </c>
      <c r="G122" s="30">
        <f>_xll.Get_Balance(G$85,"PTD","USD","Total","A","","001","456720","ED","AN","DL")</f>
        <v>0</v>
      </c>
      <c r="H122" s="30">
        <f>_xll.Get_Balance(H$85,"PTD","USD","Total","A","","001","456720","ED","AN","DL")</f>
        <v>0</v>
      </c>
      <c r="I122" s="30">
        <f>_xll.Get_Balance(I$85,"PTD","USD","Total","A","","001","456720","ED","AN","DL")</f>
        <v>0</v>
      </c>
      <c r="J122" s="30">
        <f>_xll.Get_Balance(J$85,"PTD","USD","Total","A","","001","456720","ED","AN","DL")</f>
        <v>0</v>
      </c>
      <c r="K122" s="30">
        <f>_xll.Get_Balance(K$85,"PTD","USD","Total","A","","001","456720","ED","AN","DL")</f>
        <v>0</v>
      </c>
      <c r="L122" s="30">
        <f>_xll.Get_Balance(L$85,"PTD","USD","Total","A","","001","456720","ED","AN","DL")</f>
        <v>0</v>
      </c>
      <c r="M122" s="30">
        <f>_xll.Get_Balance(M$85,"PTD","USD","Total","A","","001","456720","ED","AN","DL")</f>
        <v>0</v>
      </c>
      <c r="N122" s="30">
        <f>_xll.Get_Balance(N$85,"PTD","USD","Total","A","","001","456720","ED","AN","DL")</f>
        <v>0</v>
      </c>
      <c r="O122" s="30">
        <f>_xll.Get_Balance(O$85,"PTD","USD","Total","A","","001","456720","ED","AN","DL")</f>
        <v>0</v>
      </c>
      <c r="P122" s="30">
        <f>_xll.Get_Balance(P$85,"PTD","USD","Total","A","","001","456720","ED","AN","DL")</f>
        <v>0</v>
      </c>
      <c r="Q122" s="172"/>
      <c r="R122" s="173">
        <f t="shared" si="31"/>
        <v>-40300</v>
      </c>
    </row>
    <row r="123" spans="1:18" ht="22.5" customHeight="1">
      <c r="A123" s="185">
        <f>+A122+1</f>
        <v>74</v>
      </c>
      <c r="B123" s="59" t="s">
        <v>198</v>
      </c>
      <c r="C123" s="59"/>
      <c r="D123" s="33">
        <f>SUM(E123:P123)</f>
        <v>731582</v>
      </c>
      <c r="E123" s="16">
        <f>SUM(E111:E122)</f>
        <v>490074</v>
      </c>
      <c r="F123" s="16">
        <f t="shared" ref="F123:P123" si="34">SUM(F111:F122)</f>
        <v>92902</v>
      </c>
      <c r="G123" s="16">
        <f t="shared" si="34"/>
        <v>148606</v>
      </c>
      <c r="H123" s="16">
        <f t="shared" si="34"/>
        <v>0</v>
      </c>
      <c r="I123" s="16">
        <f t="shared" si="34"/>
        <v>0</v>
      </c>
      <c r="J123" s="16">
        <f t="shared" si="34"/>
        <v>0</v>
      </c>
      <c r="K123" s="16">
        <f t="shared" si="34"/>
        <v>0</v>
      </c>
      <c r="L123" s="16">
        <f t="shared" si="34"/>
        <v>0</v>
      </c>
      <c r="M123" s="16">
        <f t="shared" si="34"/>
        <v>0</v>
      </c>
      <c r="N123" s="16">
        <f t="shared" si="34"/>
        <v>0</v>
      </c>
      <c r="O123" s="16">
        <f t="shared" si="34"/>
        <v>0</v>
      </c>
      <c r="P123" s="16">
        <f t="shared" si="34"/>
        <v>0</v>
      </c>
      <c r="Q123" s="172"/>
      <c r="R123" s="186">
        <f>SUM(R111:R122)</f>
        <v>959301</v>
      </c>
    </row>
    <row r="124" spans="1:18" ht="9" customHeight="1">
      <c r="A124" s="67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72"/>
      <c r="R124" s="105"/>
    </row>
    <row r="125" spans="1:18" ht="9" customHeight="1">
      <c r="A125" s="6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72"/>
      <c r="R125" s="105"/>
    </row>
    <row r="126" spans="1:18">
      <c r="A126" s="67">
        <f>A123+1</f>
        <v>75</v>
      </c>
      <c r="B126" s="61" t="s">
        <v>114</v>
      </c>
      <c r="C126" s="61"/>
      <c r="D126" s="82">
        <f>SUM(E126:P126)</f>
        <v>0</v>
      </c>
      <c r="E126" s="39">
        <f>_xll.Get_Balance(E$85,"PTD","USD","Total","A","","001","557160","ED","AN","DL")</f>
        <v>0</v>
      </c>
      <c r="F126" s="39">
        <f>_xll.Get_Balance(F$85,"PTD","USD","Total","A","","001","557160","ED","AN","DL")</f>
        <v>0</v>
      </c>
      <c r="G126" s="39">
        <f>_xll.Get_Balance(G$85,"PTD","USD","Total","A","","001","557160","ED","AN","DL")</f>
        <v>0</v>
      </c>
      <c r="H126" s="39">
        <f>_xll.Get_Balance(H$85,"PTD","USD","Total","A","","001","557160","ED","AN","DL")</f>
        <v>0</v>
      </c>
      <c r="I126" s="39">
        <f>_xll.Get_Balance(I$85,"PTD","USD","Total","A","","001","557160","ED","AN","DL")</f>
        <v>0</v>
      </c>
      <c r="J126" s="39">
        <f>_xll.Get_Balance(J$85,"PTD","USD","Total","A","","001","557160","ED","AN","DL")</f>
        <v>0</v>
      </c>
      <c r="K126" s="39">
        <f>_xll.Get_Balance(K$85,"PTD","USD","Total","A","","001","557160","ED","AN","DL")</f>
        <v>0</v>
      </c>
      <c r="L126" s="39">
        <f>_xll.Get_Balance(L$85,"PTD","USD","Total","A","","001","557160","ED","AN","DL")</f>
        <v>0</v>
      </c>
      <c r="M126" s="39">
        <f>_xll.Get_Balance(M$85,"PTD","USD","Total","A","","001","557160","ED","AN","DL")</f>
        <v>0</v>
      </c>
      <c r="N126" s="39">
        <f>_xll.Get_Balance(N$85,"PTD","USD","Total","A","","001","557160","ED","AN","DL")</f>
        <v>0</v>
      </c>
      <c r="O126" s="39">
        <f>_xll.Get_Balance(O$85,"PTD","USD","Total","A","","001","557160","ED","AN","DL")</f>
        <v>0</v>
      </c>
      <c r="P126" s="39">
        <f>_xll.Get_Balance(P$85,"PTD","USD","Total","A","","001","557160","ED","AN","DL")</f>
        <v>0</v>
      </c>
      <c r="Q126" s="172"/>
      <c r="R126" s="176">
        <f>SUM(E126:P126)</f>
        <v>0</v>
      </c>
    </row>
    <row r="127" spans="1:18" ht="18.75" customHeight="1">
      <c r="A127" s="185">
        <f>A126+1</f>
        <v>76</v>
      </c>
      <c r="B127" s="59" t="s">
        <v>119</v>
      </c>
      <c r="C127" s="59"/>
      <c r="D127" s="47">
        <f>SUM(E127:P127)</f>
        <v>0</v>
      </c>
      <c r="E127" s="15">
        <f t="shared" ref="E127:P127" si="35">IF(E23=0," ",E126)</f>
        <v>0</v>
      </c>
      <c r="F127" s="15">
        <f t="shared" si="35"/>
        <v>0</v>
      </c>
      <c r="G127" s="15">
        <f t="shared" si="35"/>
        <v>0</v>
      </c>
      <c r="H127" s="15" t="str">
        <f t="shared" si="35"/>
        <v xml:space="preserve"> </v>
      </c>
      <c r="I127" s="15" t="str">
        <f t="shared" si="35"/>
        <v xml:space="preserve"> </v>
      </c>
      <c r="J127" s="15" t="str">
        <f t="shared" si="35"/>
        <v xml:space="preserve"> </v>
      </c>
      <c r="K127" s="15" t="str">
        <f t="shared" si="35"/>
        <v xml:space="preserve"> </v>
      </c>
      <c r="L127" s="15" t="str">
        <f t="shared" si="35"/>
        <v xml:space="preserve"> </v>
      </c>
      <c r="M127" s="15" t="str">
        <f t="shared" si="35"/>
        <v xml:space="preserve"> </v>
      </c>
      <c r="N127" s="15" t="str">
        <f t="shared" si="35"/>
        <v xml:space="preserve"> </v>
      </c>
      <c r="O127" s="15" t="str">
        <f t="shared" si="35"/>
        <v xml:space="preserve"> </v>
      </c>
      <c r="P127" s="15" t="str">
        <f t="shared" si="35"/>
        <v xml:space="preserve"> </v>
      </c>
      <c r="Q127" s="172"/>
      <c r="R127" s="105">
        <f>SUM(E127:P127)</f>
        <v>0</v>
      </c>
    </row>
    <row r="128" spans="1:18" ht="9" customHeight="1">
      <c r="A128" s="6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72"/>
      <c r="R128" s="105"/>
    </row>
    <row r="129" spans="1:19" ht="9" customHeight="1">
      <c r="A129" s="6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72"/>
      <c r="R129" s="105"/>
    </row>
    <row r="130" spans="1:19">
      <c r="A130" s="67">
        <f>A127+1</f>
        <v>77</v>
      </c>
      <c r="B130" s="56" t="s">
        <v>64</v>
      </c>
      <c r="C130" s="56"/>
      <c r="D130" s="39">
        <f>SUM(E130:P130)</f>
        <v>0</v>
      </c>
      <c r="E130" s="187">
        <v>0</v>
      </c>
      <c r="F130" s="187">
        <v>0</v>
      </c>
      <c r="G130" s="187">
        <v>0</v>
      </c>
      <c r="H130" s="187">
        <v>0</v>
      </c>
      <c r="I130" s="187">
        <v>0</v>
      </c>
      <c r="J130" s="187">
        <v>0</v>
      </c>
      <c r="K130" s="187">
        <v>0</v>
      </c>
      <c r="L130" s="187">
        <v>0</v>
      </c>
      <c r="M130" s="187">
        <v>0</v>
      </c>
      <c r="N130" s="187">
        <v>0</v>
      </c>
      <c r="O130" s="187">
        <v>0</v>
      </c>
      <c r="P130" s="187">
        <v>0</v>
      </c>
      <c r="Q130" s="172"/>
      <c r="R130" s="105">
        <f>SUM(E130:P130)</f>
        <v>0</v>
      </c>
      <c r="S130" s="37" t="s">
        <v>24</v>
      </c>
    </row>
    <row r="131" spans="1:19">
      <c r="A131" s="68">
        <f>A130+1</f>
        <v>78</v>
      </c>
      <c r="B131" s="62" t="s">
        <v>75</v>
      </c>
      <c r="C131" s="62"/>
      <c r="D131" s="47">
        <f>SUM(E131:P131)</f>
        <v>67</v>
      </c>
      <c r="E131" s="23">
        <f>_xll.Get_Balance(E$85,"PTD","USD","Total","A","","001","557395","ED","AN","DL")</f>
        <v>6</v>
      </c>
      <c r="F131" s="23">
        <f>_xll.Get_Balance(F$85,"PTD","USD","Total","A","","001","557395","ED","AN","DL")</f>
        <v>23</v>
      </c>
      <c r="G131" s="23">
        <f>_xll.Get_Balance(G$85,"PTD","USD","Total","A","","001","557395","ED","AN","DL")</f>
        <v>38</v>
      </c>
      <c r="H131" s="23">
        <f>_xll.Get_Balance(H$85,"PTD","USD","Total","A","","001","557395","ED","AN","DL")</f>
        <v>0</v>
      </c>
      <c r="I131" s="23">
        <f>_xll.Get_Balance(I$85,"PTD","USD","Total","A","","001","557395","ED","AN","DL")</f>
        <v>0</v>
      </c>
      <c r="J131" s="23">
        <f>_xll.Get_Balance(J$85,"PTD","USD","Total","A","","001","557395","ED","AN","DL")</f>
        <v>0</v>
      </c>
      <c r="K131" s="23">
        <f>_xll.Get_Balance(K$85,"PTD","USD","Total","A","","001","557395","ED","AN","DL")</f>
        <v>0</v>
      </c>
      <c r="L131" s="23">
        <f>_xll.Get_Balance(L$85,"PTD","USD","Total","A","","001","557395","ED","AN","DL")</f>
        <v>0</v>
      </c>
      <c r="M131" s="23">
        <f>_xll.Get_Balance(M$85,"PTD","USD","Total","A","","001","557395","ED","AN","DL")</f>
        <v>0</v>
      </c>
      <c r="N131" s="23">
        <f>_xll.Get_Balance(N$85,"PTD","USD","Total","A","","001","557395","ED","AN","DL")</f>
        <v>0</v>
      </c>
      <c r="O131" s="23">
        <f>_xll.Get_Balance(O$85,"PTD","USD","Total","A","","001","557395","ED","AN","DL")</f>
        <v>0</v>
      </c>
      <c r="P131" s="23">
        <f>_xll.Get_Balance(P$85,"PTD","USD","Total","A","","001","557395","ED","AN","DL")</f>
        <v>0</v>
      </c>
      <c r="Q131" s="172"/>
      <c r="R131" s="173">
        <f>SUM(E131:P131)</f>
        <v>67</v>
      </c>
    </row>
    <row r="132" spans="1:19" ht="17.25" customHeight="1">
      <c r="A132" s="67">
        <f>A131+1</f>
        <v>79</v>
      </c>
      <c r="B132" s="63" t="s">
        <v>76</v>
      </c>
      <c r="C132" s="63"/>
      <c r="D132" s="24">
        <f>SUM(E132:P132)</f>
        <v>67</v>
      </c>
      <c r="E132" s="24">
        <f>E131-E130</f>
        <v>6</v>
      </c>
      <c r="F132" s="24">
        <f t="shared" ref="F132:P132" si="36">F131-F130</f>
        <v>23</v>
      </c>
      <c r="G132" s="24">
        <f t="shared" si="36"/>
        <v>38</v>
      </c>
      <c r="H132" s="24">
        <f t="shared" si="36"/>
        <v>0</v>
      </c>
      <c r="I132" s="24">
        <f t="shared" si="36"/>
        <v>0</v>
      </c>
      <c r="J132" s="24">
        <f t="shared" si="36"/>
        <v>0</v>
      </c>
      <c r="K132" s="24">
        <f t="shared" si="36"/>
        <v>0</v>
      </c>
      <c r="L132" s="24">
        <f t="shared" si="36"/>
        <v>0</v>
      </c>
      <c r="M132" s="24">
        <f t="shared" si="36"/>
        <v>0</v>
      </c>
      <c r="N132" s="24">
        <f t="shared" si="36"/>
        <v>0</v>
      </c>
      <c r="O132" s="24">
        <f t="shared" si="36"/>
        <v>0</v>
      </c>
      <c r="P132" s="24">
        <f t="shared" si="36"/>
        <v>0</v>
      </c>
      <c r="Q132" s="172"/>
      <c r="R132" s="105">
        <f>SUM(E132:P132)</f>
        <v>67</v>
      </c>
    </row>
    <row r="133" spans="1:19" ht="17.25" customHeight="1">
      <c r="A133" s="67"/>
      <c r="B133" s="63"/>
      <c r="C133" s="6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172"/>
      <c r="R133" s="105"/>
    </row>
    <row r="134" spans="1:19">
      <c r="A134" s="67">
        <f>A132+1</f>
        <v>80</v>
      </c>
      <c r="B134" s="56" t="s">
        <v>141</v>
      </c>
      <c r="C134" s="56"/>
      <c r="D134" s="39">
        <f>SUM(E134:P134)</f>
        <v>0</v>
      </c>
      <c r="E134" s="31">
        <f>_xll.Get_Balance(E$85,"PTD","USD","Total","A","","001","557160","ED","WA","DL")</f>
        <v>0</v>
      </c>
      <c r="F134" s="31">
        <f>_xll.Get_Balance(F$85,"PTD","USD","Total","A","","001","557160","ED","WA","DL")</f>
        <v>0</v>
      </c>
      <c r="G134" s="31">
        <f>_xll.Get_Balance(G$85,"PTD","USD","Total","A","","001","557160","ED","WA","DL")*0</f>
        <v>0</v>
      </c>
      <c r="H134" s="31">
        <f>_xll.Get_Balance(H$85,"PTD","USD","Total","A","","001","557160","ED","WA","DL")</f>
        <v>0</v>
      </c>
      <c r="I134" s="31">
        <f>_xll.Get_Balance(I$85,"PTD","USD","Total","A","","001","557160","ED","WA","DL")</f>
        <v>0</v>
      </c>
      <c r="J134" s="31">
        <f>_xll.Get_Balance(J$85,"PTD","USD","Total","A","","001","557160","ED","WA","DL")*0</f>
        <v>0</v>
      </c>
      <c r="K134" s="31">
        <f>_xll.Get_Balance(K$85,"PTD","USD","Total","A","","001","557160","ED","WA","DL")</f>
        <v>0</v>
      </c>
      <c r="L134" s="31">
        <f>_xll.Get_Balance(L$85,"PTD","USD","Total","A","","001","557160","ED","WA","DL")</f>
        <v>0</v>
      </c>
      <c r="M134" s="31">
        <f>_xll.Get_Balance(M$85,"PTD","USD","Total","A","","001","557160","ED","WA","DL")</f>
        <v>0</v>
      </c>
      <c r="N134" s="31">
        <f>_xll.Get_Balance(N$85,"PTD","USD","Total","A","","001","557160","ED","WA","DL")</f>
        <v>0</v>
      </c>
      <c r="O134" s="31">
        <f>_xll.Get_Balance(O$85,"PTD","USD","Total","A","","001","557160","ED","WA","DL")</f>
        <v>0</v>
      </c>
      <c r="P134" s="31">
        <f>_xll.Get_Balance(P$85,"PTD","USD","Total","A","","001","557160","ED","WA","DL")</f>
        <v>0</v>
      </c>
      <c r="Q134" s="172"/>
      <c r="R134" s="105">
        <f>SUM(E134:P134)</f>
        <v>0</v>
      </c>
      <c r="S134" s="37" t="s">
        <v>24</v>
      </c>
    </row>
    <row r="135" spans="1:19">
      <c r="A135" s="67">
        <f>A134+1</f>
        <v>81</v>
      </c>
      <c r="B135" s="56" t="s">
        <v>142</v>
      </c>
      <c r="C135" s="56"/>
      <c r="D135" s="39">
        <f>SUM(E135:P135)</f>
        <v>0</v>
      </c>
      <c r="E135" s="31">
        <f>_xll.Get_Balance(E$85,"PTD","USD","Total","A","","001","557170","ED","WA","DL")</f>
        <v>0</v>
      </c>
      <c r="F135" s="31">
        <f>_xll.Get_Balance(F$85,"PTD","USD","Total","A","","001","557170","ED","WA","DL")</f>
        <v>0</v>
      </c>
      <c r="G135" s="31">
        <f>_xll.Get_Balance(G$85,"PTD","USD","Total","A","","001","557170","ED","WA","DL")</f>
        <v>0</v>
      </c>
      <c r="H135" s="31">
        <f>_xll.Get_Balance(H$85,"PTD","USD","Total","A","","001","557170","ED","WA","DL")</f>
        <v>0</v>
      </c>
      <c r="I135" s="31">
        <f>_xll.Get_Balance(I$85,"PTD","USD","Total","A","","001","557170","ED","WA","DL")</f>
        <v>0</v>
      </c>
      <c r="J135" s="31">
        <f>_xll.Get_Balance(J$85,"PTD","USD","Total","A","","001","557170","ED","WA","DL")</f>
        <v>0</v>
      </c>
      <c r="K135" s="31">
        <f>_xll.Get_Balance(K$85,"PTD","USD","Total","A","","001","557170","ED","WA","DL")</f>
        <v>0</v>
      </c>
      <c r="L135" s="31">
        <f>_xll.Get_Balance(L$85,"PTD","USD","Total","A","","001","557170","ED","WA","DL")</f>
        <v>0</v>
      </c>
      <c r="M135" s="31">
        <f>_xll.Get_Balance(M$85,"PTD","USD","Total","A","","001","557170","ED","WA","DL")</f>
        <v>0</v>
      </c>
      <c r="N135" s="31">
        <f>_xll.Get_Balance(N$85,"PTD","USD","Total","A","","001","557170","ED","WA","DL")</f>
        <v>0</v>
      </c>
      <c r="O135" s="31">
        <f>_xll.Get_Balance(O$85,"PTD","USD","Total","A","","001","557170","ED","WA","DL")</f>
        <v>0</v>
      </c>
      <c r="P135" s="31">
        <f>_xll.Get_Balance(P$85,"PTD","USD","Total","A","","001","557170","ED","WA","DL")</f>
        <v>0</v>
      </c>
      <c r="Q135" s="172"/>
      <c r="R135" s="105"/>
      <c r="S135" s="37"/>
    </row>
    <row r="136" spans="1:19">
      <c r="A136" s="68">
        <f>A135+1</f>
        <v>82</v>
      </c>
      <c r="B136" s="58" t="s">
        <v>143</v>
      </c>
      <c r="C136" s="62"/>
      <c r="D136" s="47">
        <f>SUM(E136:P136)</f>
        <v>0</v>
      </c>
      <c r="E136" s="23">
        <f>_xll.Get_Balance(E$85,"PTD","USD","Total","A","","001","557171","ED","WA","DL")</f>
        <v>0</v>
      </c>
      <c r="F136" s="23">
        <f>_xll.Get_Balance(F$85,"PTD","USD","Total","A","","001","557171","ED","WA","DL")</f>
        <v>0</v>
      </c>
      <c r="G136" s="23">
        <f>_xll.Get_Balance(G$85,"PTD","USD","Total","A","","001","557171","ED","WA","DL")</f>
        <v>0</v>
      </c>
      <c r="H136" s="23">
        <f>_xll.Get_Balance(H$85,"PTD","USD","Total","A","","001","557171","ED","WA","DL")</f>
        <v>0</v>
      </c>
      <c r="I136" s="23">
        <f>_xll.Get_Balance(I$85,"PTD","USD","Total","A","","001","557171","ED","WA","DL")</f>
        <v>0</v>
      </c>
      <c r="J136" s="23">
        <f>_xll.Get_Balance(J$85,"PTD","USD","Total","A","","001","557171","ED","WA","DL")</f>
        <v>0</v>
      </c>
      <c r="K136" s="23">
        <f>_xll.Get_Balance(K$85,"PTD","USD","Total","A","","001","557171","ED","WA","DL")</f>
        <v>0</v>
      </c>
      <c r="L136" s="23">
        <f>_xll.Get_Balance(L$85,"PTD","USD","Total","A","","001","557171","ED","WA","DL")</f>
        <v>0</v>
      </c>
      <c r="M136" s="23">
        <f>_xll.Get_Balance(M$85,"PTD","USD","Total","A","","001","557171","ED","WA","DL")</f>
        <v>0</v>
      </c>
      <c r="N136" s="23">
        <f>_xll.Get_Balance(N$85,"PTD","USD","Total","A","","001","557171","ED","WA","DL")</f>
        <v>0</v>
      </c>
      <c r="O136" s="23">
        <f>_xll.Get_Balance(O$85,"PTD","USD","Total","A","","001","557171","ED","WA","DL")</f>
        <v>0</v>
      </c>
      <c r="P136" s="23">
        <f>_xll.Get_Balance(P$85,"PTD","USD","Total","A","","001","557171","ED","WA","DL")</f>
        <v>0</v>
      </c>
      <c r="Q136" s="172"/>
      <c r="R136" s="173">
        <f>SUM(E136:P136)</f>
        <v>0</v>
      </c>
    </row>
    <row r="137" spans="1:19" ht="17.25" customHeight="1">
      <c r="A137" s="67">
        <f>A136+1</f>
        <v>83</v>
      </c>
      <c r="B137" s="63" t="s">
        <v>140</v>
      </c>
      <c r="C137" s="63"/>
      <c r="D137" s="24">
        <f>E137+F137+G137+H137+I137+J137+K137</f>
        <v>0</v>
      </c>
      <c r="E137" s="24">
        <f>E134+E135+E136</f>
        <v>0</v>
      </c>
      <c r="F137" s="24">
        <f t="shared" ref="F137:P137" si="37">F134+F135+F136</f>
        <v>0</v>
      </c>
      <c r="G137" s="24">
        <f t="shared" si="37"/>
        <v>0</v>
      </c>
      <c r="H137" s="24">
        <f t="shared" si="37"/>
        <v>0</v>
      </c>
      <c r="I137" s="24">
        <f t="shared" si="37"/>
        <v>0</v>
      </c>
      <c r="J137" s="24">
        <f t="shared" si="37"/>
        <v>0</v>
      </c>
      <c r="K137" s="24">
        <f t="shared" si="37"/>
        <v>0</v>
      </c>
      <c r="L137" s="24">
        <f t="shared" si="37"/>
        <v>0</v>
      </c>
      <c r="M137" s="24">
        <f t="shared" si="37"/>
        <v>0</v>
      </c>
      <c r="N137" s="24">
        <f t="shared" si="37"/>
        <v>0</v>
      </c>
      <c r="O137" s="24">
        <f t="shared" si="37"/>
        <v>0</v>
      </c>
      <c r="P137" s="24">
        <f t="shared" si="37"/>
        <v>0</v>
      </c>
      <c r="Q137" s="24">
        <f>Q134+Q135+Q136</f>
        <v>0</v>
      </c>
      <c r="R137" s="24">
        <f>R134+R135+R136</f>
        <v>0</v>
      </c>
    </row>
    <row r="138" spans="1:19" ht="7.5" customHeight="1">
      <c r="A138" s="67"/>
      <c r="B138" s="64"/>
      <c r="C138" s="64"/>
      <c r="D138" s="188"/>
      <c r="E138" s="39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172"/>
      <c r="R138" s="105"/>
    </row>
    <row r="139" spans="1:19" ht="23.25" customHeight="1">
      <c r="A139" s="148">
        <f>A137+1</f>
        <v>84</v>
      </c>
      <c r="B139" s="52" t="s">
        <v>61</v>
      </c>
      <c r="C139" s="52"/>
      <c r="D139" s="33">
        <f>SUM(E139:P139)</f>
        <v>731649</v>
      </c>
      <c r="E139" s="15">
        <f t="shared" ref="E139:P139" si="38">IF(E23=0," ",E123+E127+E132)</f>
        <v>490080</v>
      </c>
      <c r="F139" s="15">
        <f t="shared" si="38"/>
        <v>92925</v>
      </c>
      <c r="G139" s="15">
        <f t="shared" si="38"/>
        <v>148644</v>
      </c>
      <c r="H139" s="15" t="str">
        <f t="shared" si="38"/>
        <v xml:space="preserve"> </v>
      </c>
      <c r="I139" s="15" t="str">
        <f t="shared" si="38"/>
        <v xml:space="preserve"> </v>
      </c>
      <c r="J139" s="15" t="str">
        <f t="shared" si="38"/>
        <v xml:space="preserve"> </v>
      </c>
      <c r="K139" s="15" t="str">
        <f t="shared" si="38"/>
        <v xml:space="preserve"> </v>
      </c>
      <c r="L139" s="15" t="str">
        <f t="shared" si="38"/>
        <v xml:space="preserve"> </v>
      </c>
      <c r="M139" s="15" t="str">
        <f t="shared" si="38"/>
        <v xml:space="preserve"> </v>
      </c>
      <c r="N139" s="15" t="str">
        <f t="shared" si="38"/>
        <v xml:space="preserve"> </v>
      </c>
      <c r="O139" s="15" t="str">
        <f t="shared" si="38"/>
        <v xml:space="preserve"> </v>
      </c>
      <c r="P139" s="15" t="str">
        <f t="shared" si="38"/>
        <v xml:space="preserve"> </v>
      </c>
      <c r="Q139" s="172"/>
      <c r="R139" s="105">
        <f>SUM(F139:Q139)</f>
        <v>241569</v>
      </c>
    </row>
    <row r="140" spans="1:19" ht="9.75" customHeight="1">
      <c r="B140" s="3"/>
      <c r="C140" s="3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72"/>
      <c r="R140" s="105"/>
    </row>
    <row r="141" spans="1:19" s="25" customFormat="1" ht="25.5" customHeight="1" thickBot="1">
      <c r="A141" s="189">
        <f>A139+1</f>
        <v>85</v>
      </c>
      <c r="B141" s="65" t="s">
        <v>10</v>
      </c>
      <c r="C141" s="65"/>
      <c r="D141" s="190">
        <f>SUM(E141:P141)</f>
        <v>36196473</v>
      </c>
      <c r="E141" s="36">
        <f t="shared" ref="E141:P141" si="39">IF(E23=0," ",E83+E95+E101+E108+E139+E137)</f>
        <v>14051568</v>
      </c>
      <c r="F141" s="36">
        <f t="shared" si="39"/>
        <v>11563012</v>
      </c>
      <c r="G141" s="36">
        <f t="shared" si="39"/>
        <v>10581893</v>
      </c>
      <c r="H141" s="36" t="str">
        <f t="shared" si="39"/>
        <v xml:space="preserve"> </v>
      </c>
      <c r="I141" s="36" t="str">
        <f t="shared" si="39"/>
        <v xml:space="preserve"> </v>
      </c>
      <c r="J141" s="36" t="str">
        <f t="shared" si="39"/>
        <v xml:space="preserve"> </v>
      </c>
      <c r="K141" s="36" t="str">
        <f t="shared" si="39"/>
        <v xml:space="preserve"> </v>
      </c>
      <c r="L141" s="36" t="str">
        <f t="shared" si="39"/>
        <v xml:space="preserve"> </v>
      </c>
      <c r="M141" s="36" t="str">
        <f t="shared" si="39"/>
        <v xml:space="preserve"> </v>
      </c>
      <c r="N141" s="36" t="str">
        <f t="shared" si="39"/>
        <v xml:space="preserve"> </v>
      </c>
      <c r="O141" s="36" t="str">
        <f t="shared" si="39"/>
        <v xml:space="preserve"> </v>
      </c>
      <c r="P141" s="36" t="str">
        <f t="shared" si="39"/>
        <v xml:space="preserve"> </v>
      </c>
      <c r="Q141" s="174"/>
      <c r="R141" s="191"/>
    </row>
    <row r="142" spans="1:19" ht="13.5" thickTop="1"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9"/>
    </row>
    <row r="143" spans="1:19">
      <c r="Q143" s="159"/>
    </row>
    <row r="144" spans="1:19">
      <c r="E144" s="151"/>
      <c r="F144" s="151"/>
      <c r="G144" s="151"/>
      <c r="H144" s="151"/>
      <c r="I144" s="151"/>
      <c r="J144" s="192"/>
      <c r="K144" s="151"/>
      <c r="L144" s="151"/>
      <c r="M144" s="151"/>
      <c r="N144" s="151"/>
      <c r="O144" s="151"/>
      <c r="P144" s="151"/>
      <c r="Q144" s="159"/>
    </row>
    <row r="145" spans="5:17">
      <c r="E145" s="151"/>
      <c r="F145" s="151"/>
      <c r="G145" s="151"/>
      <c r="H145" s="151"/>
      <c r="I145" s="151"/>
      <c r="J145" s="192"/>
      <c r="K145" s="151"/>
      <c r="L145" s="151"/>
      <c r="M145" s="151"/>
      <c r="N145" s="151"/>
      <c r="O145" s="151"/>
      <c r="P145" s="151"/>
      <c r="Q145" s="159"/>
    </row>
    <row r="146" spans="5:17">
      <c r="E146" s="151"/>
      <c r="F146" s="151"/>
      <c r="G146" s="151"/>
      <c r="H146" s="151"/>
      <c r="I146" s="151"/>
      <c r="J146" s="192"/>
      <c r="K146" s="151"/>
      <c r="L146" s="151"/>
      <c r="M146" s="151"/>
      <c r="N146" s="151"/>
      <c r="O146" s="151"/>
      <c r="P146" s="151"/>
      <c r="Q146" s="159"/>
    </row>
    <row r="147" spans="5:17">
      <c r="E147" s="151"/>
      <c r="F147" s="151"/>
      <c r="G147" s="151"/>
      <c r="H147" s="151"/>
      <c r="I147" s="151"/>
      <c r="J147" s="192"/>
      <c r="K147" s="151"/>
      <c r="L147" s="151"/>
      <c r="M147" s="151"/>
      <c r="N147" s="151"/>
      <c r="O147" s="151"/>
      <c r="P147" s="151"/>
      <c r="Q147" s="159"/>
    </row>
    <row r="148" spans="5:17">
      <c r="E148" s="151"/>
      <c r="F148" s="151"/>
      <c r="G148" s="151"/>
      <c r="H148" s="151"/>
      <c r="I148" s="151"/>
      <c r="J148" s="192"/>
      <c r="K148" s="151"/>
      <c r="L148" s="151"/>
      <c r="M148" s="151"/>
      <c r="N148" s="151"/>
      <c r="O148" s="151"/>
      <c r="P148" s="151"/>
      <c r="Q148" s="159"/>
    </row>
    <row r="149" spans="5:17">
      <c r="E149" s="151"/>
      <c r="F149" s="151"/>
      <c r="G149" s="151"/>
      <c r="H149" s="151"/>
      <c r="I149" s="151"/>
      <c r="J149" s="192"/>
      <c r="K149" s="151"/>
      <c r="L149" s="151"/>
      <c r="M149" s="151"/>
      <c r="N149" s="151"/>
      <c r="O149" s="151"/>
      <c r="P149" s="151"/>
      <c r="Q149" s="159"/>
    </row>
    <row r="150" spans="5:17">
      <c r="E150" s="151"/>
      <c r="F150" s="151"/>
      <c r="G150" s="151"/>
      <c r="H150" s="151"/>
      <c r="I150" s="151"/>
      <c r="J150" s="192"/>
      <c r="K150" s="151"/>
      <c r="L150" s="151"/>
      <c r="M150" s="151"/>
      <c r="N150" s="151"/>
      <c r="O150" s="151"/>
      <c r="P150" s="151"/>
      <c r="Q150" s="159"/>
    </row>
    <row r="151" spans="5:17">
      <c r="E151" s="151"/>
      <c r="F151" s="151"/>
      <c r="G151" s="151"/>
      <c r="H151" s="151"/>
      <c r="I151" s="151"/>
      <c r="J151" s="192"/>
      <c r="K151" s="151"/>
      <c r="L151" s="151"/>
      <c r="M151" s="151"/>
      <c r="N151" s="151"/>
      <c r="O151" s="151"/>
      <c r="P151" s="151"/>
      <c r="Q151" s="159"/>
    </row>
    <row r="152" spans="5:17">
      <c r="E152" s="151"/>
      <c r="F152" s="151"/>
      <c r="G152" s="151"/>
      <c r="H152" s="151"/>
      <c r="I152" s="151"/>
      <c r="J152" s="192"/>
      <c r="K152" s="151"/>
      <c r="L152" s="151"/>
      <c r="M152" s="151"/>
      <c r="N152" s="151"/>
      <c r="O152" s="151"/>
      <c r="P152" s="151"/>
      <c r="Q152" s="159"/>
    </row>
    <row r="153" spans="5:17">
      <c r="E153" s="151"/>
      <c r="F153" s="151"/>
      <c r="G153" s="151"/>
      <c r="H153" s="151"/>
      <c r="I153" s="151"/>
      <c r="J153" s="192"/>
      <c r="K153" s="151"/>
      <c r="L153" s="151"/>
      <c r="M153" s="151"/>
      <c r="N153" s="151"/>
      <c r="O153" s="151"/>
      <c r="P153" s="151"/>
      <c r="Q153" s="159"/>
    </row>
    <row r="154" spans="5:17"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9"/>
    </row>
    <row r="155" spans="5:17"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9"/>
    </row>
    <row r="156" spans="5:17"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9"/>
    </row>
    <row r="157" spans="5:17"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9"/>
    </row>
    <row r="158" spans="5:17"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9"/>
    </row>
    <row r="159" spans="5:17"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9"/>
    </row>
    <row r="160" spans="5:17"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9"/>
    </row>
    <row r="161" spans="5:17"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9"/>
    </row>
    <row r="162" spans="5:17"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9"/>
    </row>
    <row r="163" spans="5:17"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9"/>
    </row>
    <row r="164" spans="5:17"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9"/>
    </row>
    <row r="165" spans="5:17"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9"/>
    </row>
    <row r="166" spans="5:17"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9"/>
    </row>
    <row r="167" spans="5:17"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9"/>
    </row>
    <row r="168" spans="5:17"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9"/>
    </row>
    <row r="169" spans="5:17"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9"/>
    </row>
    <row r="170" spans="5:17"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9"/>
    </row>
    <row r="171" spans="5:17"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9"/>
    </row>
    <row r="172" spans="5:17"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9"/>
    </row>
    <row r="173" spans="5:17"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9"/>
    </row>
    <row r="174" spans="5:17"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9"/>
    </row>
    <row r="175" spans="5:17"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9"/>
    </row>
    <row r="176" spans="5:17"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9"/>
    </row>
    <row r="177" spans="5:17"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9"/>
    </row>
    <row r="178" spans="5:17"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9"/>
    </row>
    <row r="179" spans="5:17"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9"/>
    </row>
    <row r="180" spans="5:17"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9"/>
    </row>
    <row r="181" spans="5:17"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9"/>
    </row>
    <row r="182" spans="5:17"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9"/>
    </row>
    <row r="183" spans="5:17"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9"/>
    </row>
    <row r="184" spans="5:17"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9"/>
    </row>
    <row r="185" spans="5:17"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9"/>
    </row>
    <row r="186" spans="5:17"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9"/>
    </row>
    <row r="187" spans="5:17"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9"/>
    </row>
    <row r="188" spans="5:17"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9"/>
    </row>
    <row r="189" spans="5:17"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9"/>
    </row>
    <row r="190" spans="5:17"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9"/>
    </row>
    <row r="191" spans="5:17"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9"/>
    </row>
    <row r="192" spans="5:17"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9"/>
    </row>
    <row r="193" spans="5:17"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9"/>
    </row>
    <row r="194" spans="5:17"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9"/>
    </row>
    <row r="195" spans="5:17"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9"/>
    </row>
    <row r="196" spans="5:17"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9"/>
    </row>
    <row r="197" spans="5:17"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9"/>
    </row>
    <row r="198" spans="5:17"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9"/>
    </row>
    <row r="199" spans="5:17"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9"/>
    </row>
    <row r="200" spans="5:17"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9"/>
    </row>
    <row r="201" spans="5:17"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9"/>
    </row>
    <row r="202" spans="5:17"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9"/>
    </row>
    <row r="203" spans="5:17"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9"/>
    </row>
    <row r="204" spans="5:17"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9"/>
    </row>
    <row r="205" spans="5:17"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9"/>
    </row>
    <row r="206" spans="5:17"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9"/>
    </row>
    <row r="207" spans="5:17"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9"/>
    </row>
    <row r="208" spans="5:17"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9"/>
    </row>
    <row r="209" spans="5:17"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9"/>
    </row>
    <row r="210" spans="5:17"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9"/>
    </row>
    <row r="211" spans="5:17"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9"/>
    </row>
    <row r="212" spans="5:17"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9"/>
    </row>
    <row r="213" spans="5:17"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9"/>
    </row>
    <row r="214" spans="5:17"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9"/>
    </row>
    <row r="215" spans="5:17"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9"/>
    </row>
    <row r="216" spans="5:17"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9"/>
    </row>
    <row r="217" spans="5:17"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9"/>
    </row>
    <row r="218" spans="5:17"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9"/>
    </row>
    <row r="219" spans="5:17"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9"/>
    </row>
    <row r="220" spans="5:17"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9"/>
    </row>
    <row r="221" spans="5:17"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9"/>
    </row>
    <row r="222" spans="5:17"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9"/>
    </row>
    <row r="223" spans="5:17"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9"/>
    </row>
    <row r="224" spans="5:17"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9"/>
    </row>
    <row r="225" spans="5:17"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9"/>
    </row>
    <row r="226" spans="5:17"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9"/>
    </row>
    <row r="227" spans="5:17"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9"/>
    </row>
    <row r="228" spans="5:17"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9"/>
    </row>
    <row r="229" spans="5:17"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9"/>
    </row>
    <row r="230" spans="5:17"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9"/>
    </row>
    <row r="231" spans="5:17"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9"/>
    </row>
    <row r="232" spans="5:17"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9"/>
    </row>
    <row r="233" spans="5:17"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9"/>
    </row>
    <row r="234" spans="5:17"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9"/>
    </row>
    <row r="235" spans="5:17"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9"/>
    </row>
    <row r="236" spans="5:17"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9"/>
    </row>
    <row r="237" spans="5:17"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9"/>
    </row>
    <row r="238" spans="5:17"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9"/>
    </row>
    <row r="239" spans="5:17"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9"/>
    </row>
    <row r="240" spans="5:17"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9"/>
    </row>
    <row r="241" spans="6:17"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9"/>
    </row>
    <row r="242" spans="6:17"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9"/>
    </row>
    <row r="243" spans="6:17"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9"/>
    </row>
    <row r="244" spans="6:17"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9"/>
    </row>
    <row r="245" spans="6:17"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9"/>
    </row>
    <row r="246" spans="6:17"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9"/>
    </row>
    <row r="247" spans="6:17"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9"/>
    </row>
    <row r="248" spans="6:17"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9"/>
    </row>
    <row r="249" spans="6:17"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9"/>
    </row>
    <row r="250" spans="6:17"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9"/>
    </row>
    <row r="251" spans="6:17"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9"/>
    </row>
    <row r="252" spans="6:17"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9"/>
    </row>
    <row r="253" spans="6:17"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1"/>
      <c r="Q253" s="159"/>
    </row>
    <row r="254" spans="6:17"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151"/>
      <c r="Q254" s="159"/>
    </row>
    <row r="255" spans="6:17"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9"/>
    </row>
    <row r="256" spans="6:17"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9"/>
    </row>
    <row r="257" spans="6:17"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9"/>
    </row>
    <row r="258" spans="6:17"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9"/>
    </row>
    <row r="259" spans="6:17"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9"/>
    </row>
    <row r="260" spans="6:17"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9"/>
    </row>
    <row r="261" spans="6:17"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9"/>
    </row>
    <row r="262" spans="6:17"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9"/>
    </row>
    <row r="263" spans="6:17"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9"/>
    </row>
    <row r="264" spans="6:17"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9"/>
    </row>
    <row r="265" spans="6:17"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9"/>
    </row>
    <row r="266" spans="6:17"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9"/>
    </row>
    <row r="267" spans="6:17"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9"/>
    </row>
    <row r="268" spans="6:17"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9"/>
    </row>
    <row r="269" spans="6:17"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59"/>
    </row>
    <row r="270" spans="6:17"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9"/>
    </row>
    <row r="271" spans="6:17"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9"/>
    </row>
    <row r="272" spans="6:17"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9"/>
    </row>
    <row r="273" spans="6:17"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9"/>
    </row>
    <row r="274" spans="6:17"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9"/>
    </row>
    <row r="275" spans="6:17"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9"/>
    </row>
    <row r="276" spans="6:17"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9"/>
    </row>
    <row r="277" spans="6:17"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9"/>
    </row>
    <row r="278" spans="6:17"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9"/>
    </row>
    <row r="279" spans="6:17"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9"/>
    </row>
    <row r="280" spans="6:17"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9"/>
    </row>
    <row r="281" spans="6:17"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9"/>
    </row>
    <row r="282" spans="6:17"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9"/>
    </row>
    <row r="283" spans="6:17"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9"/>
    </row>
    <row r="284" spans="6:17"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9"/>
    </row>
    <row r="285" spans="6:17"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9"/>
    </row>
    <row r="286" spans="6:17"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9"/>
    </row>
    <row r="287" spans="6:17"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9"/>
    </row>
    <row r="288" spans="6:17"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9"/>
    </row>
    <row r="289" spans="6:17"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9"/>
    </row>
    <row r="290" spans="6:17"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9"/>
    </row>
    <row r="291" spans="6:17"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9"/>
    </row>
    <row r="292" spans="6:17"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9"/>
    </row>
    <row r="293" spans="6:17"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9"/>
    </row>
    <row r="294" spans="6:17"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9"/>
    </row>
    <row r="295" spans="6:17"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9"/>
    </row>
    <row r="296" spans="6:17"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9"/>
    </row>
    <row r="297" spans="6:17"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9"/>
    </row>
    <row r="298" spans="6:17"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9"/>
    </row>
    <row r="299" spans="6:17"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9"/>
    </row>
    <row r="300" spans="6:17"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9"/>
    </row>
    <row r="301" spans="6:17"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9"/>
    </row>
    <row r="302" spans="6:17"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9"/>
    </row>
    <row r="303" spans="6:17"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9"/>
    </row>
    <row r="304" spans="6:17"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9"/>
    </row>
    <row r="305" spans="6:17"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9"/>
    </row>
    <row r="306" spans="6:17"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9"/>
    </row>
    <row r="307" spans="6:17"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9"/>
    </row>
    <row r="308" spans="6:17"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9"/>
    </row>
    <row r="309" spans="6:17"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151"/>
      <c r="Q309" s="159"/>
    </row>
    <row r="310" spans="6:17"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9"/>
    </row>
    <row r="311" spans="6:17"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9"/>
    </row>
    <row r="312" spans="6:17"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9"/>
    </row>
    <row r="313" spans="6:17"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9"/>
    </row>
    <row r="314" spans="6:17"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9"/>
    </row>
    <row r="315" spans="6:17"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9"/>
    </row>
    <row r="316" spans="6:17"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9"/>
    </row>
    <row r="317" spans="6:17"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9"/>
    </row>
    <row r="318" spans="6:17"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9"/>
    </row>
    <row r="319" spans="6:17"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9"/>
    </row>
    <row r="320" spans="6:17"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9"/>
    </row>
    <row r="321" spans="6:17"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9"/>
    </row>
    <row r="322" spans="6:17"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9"/>
    </row>
    <row r="323" spans="6:17"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9"/>
    </row>
    <row r="324" spans="6:17"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9"/>
    </row>
    <row r="325" spans="6:17"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9"/>
    </row>
    <row r="326" spans="6:17"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9"/>
    </row>
    <row r="327" spans="6:17"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9"/>
    </row>
    <row r="328" spans="6:17"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9"/>
    </row>
    <row r="329" spans="6:17"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9"/>
    </row>
    <row r="330" spans="6:17"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9"/>
    </row>
    <row r="331" spans="6:17"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9"/>
    </row>
    <row r="332" spans="6:17"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9"/>
    </row>
    <row r="333" spans="6:17"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9"/>
    </row>
    <row r="334" spans="6:17"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9"/>
    </row>
    <row r="335" spans="6:17"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9"/>
    </row>
    <row r="336" spans="6:17"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9"/>
    </row>
    <row r="337" spans="6:17"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9"/>
    </row>
    <row r="338" spans="6:17"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9"/>
    </row>
    <row r="339" spans="6:17"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9"/>
    </row>
    <row r="340" spans="6:17"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9"/>
    </row>
    <row r="341" spans="6:17"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9"/>
    </row>
    <row r="342" spans="6:17"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9"/>
    </row>
    <row r="343" spans="6:17"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9"/>
    </row>
    <row r="344" spans="6:17"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9"/>
    </row>
    <row r="345" spans="6:17"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9"/>
    </row>
    <row r="346" spans="6:17"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9"/>
    </row>
    <row r="347" spans="6:17"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9"/>
    </row>
    <row r="348" spans="6:17"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9"/>
    </row>
    <row r="349" spans="6:17"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9"/>
    </row>
    <row r="350" spans="6:17"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9"/>
    </row>
    <row r="351" spans="6:17"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9"/>
    </row>
    <row r="352" spans="6:17"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9"/>
    </row>
    <row r="353" spans="6:17"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9"/>
    </row>
    <row r="354" spans="6:17"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9"/>
    </row>
    <row r="355" spans="6:17"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9"/>
    </row>
    <row r="356" spans="6:17"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9"/>
    </row>
    <row r="357" spans="6:17"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9"/>
    </row>
    <row r="358" spans="6:17"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9"/>
    </row>
    <row r="359" spans="6:17"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9"/>
    </row>
    <row r="360" spans="6:17"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9"/>
    </row>
    <row r="361" spans="6:17"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9"/>
    </row>
    <row r="362" spans="6:17"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9"/>
    </row>
    <row r="363" spans="6:17"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9"/>
    </row>
    <row r="364" spans="6:17"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9"/>
    </row>
    <row r="365" spans="6:17"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9"/>
    </row>
    <row r="366" spans="6:17"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9"/>
    </row>
    <row r="367" spans="6:17"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9"/>
    </row>
    <row r="368" spans="6:17"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9"/>
    </row>
    <row r="369" spans="6:17"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9"/>
    </row>
    <row r="370" spans="6:17"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9"/>
    </row>
    <row r="371" spans="6:17"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9"/>
    </row>
    <row r="372" spans="6:17"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9"/>
    </row>
    <row r="373" spans="6:17"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9"/>
    </row>
    <row r="374" spans="6:17"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9"/>
    </row>
    <row r="375" spans="6:17"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9"/>
    </row>
    <row r="376" spans="6:17"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9"/>
    </row>
    <row r="377" spans="6:17"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9"/>
    </row>
    <row r="378" spans="6:17"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9"/>
    </row>
    <row r="379" spans="6:17"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9"/>
    </row>
    <row r="380" spans="6:17"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9"/>
    </row>
    <row r="381" spans="6:17"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9"/>
    </row>
    <row r="382" spans="6:17"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9"/>
    </row>
    <row r="383" spans="6:17"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9"/>
    </row>
    <row r="384" spans="6:17"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9"/>
    </row>
    <row r="385" spans="6:17"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9"/>
    </row>
    <row r="386" spans="6:17"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9"/>
    </row>
    <row r="387" spans="6:17"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9"/>
    </row>
    <row r="388" spans="6:17"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9"/>
    </row>
    <row r="389" spans="6:17"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9"/>
    </row>
    <row r="390" spans="6:17"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9"/>
    </row>
    <row r="391" spans="6:17"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9"/>
    </row>
    <row r="392" spans="6:17"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9"/>
    </row>
    <row r="393" spans="6:17"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9"/>
    </row>
    <row r="394" spans="6:17"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9"/>
    </row>
    <row r="395" spans="6:17"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9"/>
    </row>
    <row r="396" spans="6:17"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9"/>
    </row>
    <row r="397" spans="6:17"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9"/>
    </row>
    <row r="398" spans="6:17"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9"/>
    </row>
    <row r="399" spans="6:17"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9"/>
    </row>
    <row r="400" spans="6:17"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9"/>
    </row>
    <row r="401" spans="6:17"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9"/>
    </row>
    <row r="402" spans="6:17"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9"/>
    </row>
    <row r="403" spans="6:17"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9"/>
    </row>
    <row r="404" spans="6:17"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9"/>
    </row>
    <row r="405" spans="6:17"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9"/>
    </row>
    <row r="406" spans="6:17"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9"/>
    </row>
    <row r="407" spans="6:17"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9"/>
    </row>
    <row r="408" spans="6:17"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9"/>
    </row>
    <row r="409" spans="6:17"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9"/>
    </row>
    <row r="410" spans="6:17"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9"/>
    </row>
    <row r="411" spans="6:17"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9"/>
    </row>
    <row r="412" spans="6:17"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9"/>
    </row>
    <row r="413" spans="6:17"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9"/>
    </row>
    <row r="414" spans="6:17"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9"/>
    </row>
    <row r="415" spans="6:17"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9"/>
    </row>
    <row r="416" spans="6:17"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9"/>
    </row>
    <row r="417" spans="6:17"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9"/>
    </row>
    <row r="418" spans="6:17"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9"/>
    </row>
    <row r="419" spans="6:17"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9"/>
    </row>
    <row r="420" spans="6:17"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9"/>
    </row>
    <row r="421" spans="6:17"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9"/>
    </row>
    <row r="422" spans="6:17"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9"/>
    </row>
    <row r="423" spans="6:17"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9"/>
    </row>
    <row r="424" spans="6:17"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9"/>
    </row>
    <row r="425" spans="6:17"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9"/>
    </row>
    <row r="426" spans="6:17"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9"/>
    </row>
    <row r="427" spans="6:17"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9"/>
    </row>
    <row r="428" spans="6:17"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9"/>
    </row>
    <row r="429" spans="6:17"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9"/>
    </row>
    <row r="430" spans="6:17"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9"/>
    </row>
    <row r="431" spans="6:17"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9"/>
    </row>
    <row r="432" spans="6:17"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9"/>
    </row>
    <row r="433" spans="6:17"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9"/>
    </row>
    <row r="434" spans="6:17"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9"/>
    </row>
    <row r="435" spans="6:17"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9"/>
    </row>
    <row r="436" spans="6:17"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9"/>
    </row>
    <row r="437" spans="6:17"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9"/>
    </row>
    <row r="438" spans="6:17"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9"/>
    </row>
    <row r="439" spans="6:17"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9"/>
    </row>
    <row r="440" spans="6:17"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9"/>
    </row>
    <row r="441" spans="6:17"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9"/>
    </row>
    <row r="442" spans="6:17"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9"/>
    </row>
    <row r="443" spans="6:17"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9"/>
    </row>
    <row r="444" spans="6:17"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9"/>
    </row>
    <row r="445" spans="6:17"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9"/>
    </row>
    <row r="446" spans="6:17"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9"/>
    </row>
    <row r="447" spans="6:17"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9"/>
    </row>
    <row r="448" spans="6:17"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9"/>
    </row>
    <row r="449" spans="6:17"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9"/>
    </row>
    <row r="450" spans="6:17"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9"/>
    </row>
    <row r="451" spans="6:17"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9"/>
    </row>
    <row r="452" spans="6:17"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9"/>
    </row>
    <row r="453" spans="6:17"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9"/>
    </row>
    <row r="454" spans="6:17"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9"/>
    </row>
    <row r="455" spans="6:17"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9"/>
    </row>
    <row r="456" spans="6:17"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9"/>
    </row>
    <row r="457" spans="6:17"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9"/>
    </row>
    <row r="458" spans="6:17"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9"/>
    </row>
    <row r="459" spans="6:17"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9"/>
    </row>
    <row r="460" spans="6:17"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9"/>
    </row>
    <row r="461" spans="6:17"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9"/>
    </row>
    <row r="462" spans="6:17"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9"/>
    </row>
    <row r="463" spans="6:17"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9"/>
    </row>
    <row r="464" spans="6:17"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9"/>
    </row>
    <row r="465" spans="6:17"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9"/>
    </row>
    <row r="466" spans="6:17"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9"/>
    </row>
    <row r="467" spans="6:17"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9"/>
    </row>
    <row r="468" spans="6:17"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9"/>
    </row>
    <row r="469" spans="6:17"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9"/>
    </row>
    <row r="470" spans="6:17"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9"/>
    </row>
    <row r="471" spans="6:17"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9"/>
    </row>
    <row r="472" spans="6:17"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9"/>
    </row>
    <row r="473" spans="6:17"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9"/>
    </row>
    <row r="474" spans="6:17"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9"/>
    </row>
    <row r="475" spans="6:17"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9"/>
    </row>
    <row r="476" spans="6:17"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9"/>
    </row>
    <row r="477" spans="6:17"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9"/>
    </row>
    <row r="478" spans="6:17"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9"/>
    </row>
    <row r="479" spans="6:17"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9"/>
    </row>
    <row r="480" spans="6:17"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9"/>
    </row>
    <row r="481" spans="6:17"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9"/>
    </row>
    <row r="482" spans="6:17"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9"/>
    </row>
    <row r="483" spans="6:17"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9"/>
    </row>
    <row r="484" spans="6:17"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9"/>
    </row>
    <row r="485" spans="6:17"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9"/>
    </row>
    <row r="486" spans="6:17"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9"/>
    </row>
    <row r="487" spans="6:17"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9"/>
    </row>
    <row r="488" spans="6:17"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9"/>
    </row>
    <row r="489" spans="6:17"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9"/>
    </row>
    <row r="490" spans="6:17"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9"/>
    </row>
    <row r="491" spans="6:17"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9"/>
    </row>
    <row r="492" spans="6:17"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9"/>
    </row>
    <row r="493" spans="6:17"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9"/>
    </row>
    <row r="494" spans="6:17"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9"/>
    </row>
    <row r="495" spans="6:17"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9"/>
    </row>
    <row r="496" spans="6:17"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9"/>
    </row>
    <row r="497" spans="6:17"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9"/>
    </row>
    <row r="498" spans="6:17"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9"/>
    </row>
    <row r="499" spans="6:17"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9"/>
    </row>
    <row r="500" spans="6:17"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9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57" fitToHeight="2" orientation="landscape" r:id="rId1"/>
  <headerFooter alignWithMargins="0">
    <oddFooter>&amp;L&amp;F - &amp;D&amp;R&amp;P</oddFooter>
  </headerFooter>
  <rowBreaks count="1" manualBreakCount="1">
    <brk id="73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0" zoomScaleNormal="80" workbookViewId="0">
      <selection sqref="A1:N1"/>
    </sheetView>
  </sheetViews>
  <sheetFormatPr defaultColWidth="7.7109375" defaultRowHeight="15"/>
  <cols>
    <col min="1" max="1" width="32.42578125" style="106" customWidth="1"/>
    <col min="2" max="2" width="15.7109375" style="106" bestFit="1" customWidth="1"/>
    <col min="3" max="3" width="15.85546875" style="106" bestFit="1" customWidth="1"/>
    <col min="4" max="4" width="15.140625" style="106" bestFit="1" customWidth="1"/>
    <col min="5" max="5" width="16.42578125" style="106" bestFit="1" customWidth="1"/>
    <col min="6" max="6" width="16.5703125" style="106" bestFit="1" customWidth="1"/>
    <col min="7" max="7" width="15" style="106" bestFit="1" customWidth="1"/>
    <col min="8" max="8" width="15.140625" style="106" bestFit="1" customWidth="1"/>
    <col min="9" max="9" width="16.42578125" style="106" bestFit="1" customWidth="1"/>
    <col min="10" max="10" width="15" style="106" bestFit="1" customWidth="1"/>
    <col min="11" max="11" width="15.140625" style="106" bestFit="1" customWidth="1"/>
    <col min="12" max="12" width="15.5703125" style="106" customWidth="1"/>
    <col min="13" max="13" width="15" style="106" bestFit="1" customWidth="1"/>
    <col min="14" max="14" width="17" style="106" bestFit="1" customWidth="1"/>
    <col min="15" max="15" width="7.7109375" style="106"/>
    <col min="16" max="16" width="23" style="106" bestFit="1" customWidth="1"/>
    <col min="17" max="17" width="10.85546875" style="106" bestFit="1" customWidth="1"/>
    <col min="18" max="16384" width="7.7109375" style="106"/>
  </cols>
  <sheetData>
    <row r="1" spans="1:17" ht="15.75">
      <c r="A1" s="241" t="s">
        <v>73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7" ht="20.25">
      <c r="A2" s="242" t="s">
        <v>129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7" ht="23.25">
      <c r="A3" s="243" t="s">
        <v>210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7" ht="15.75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7" spans="1:17" ht="27" customHeight="1">
      <c r="A7" s="107" t="s">
        <v>130</v>
      </c>
      <c r="B7" s="108">
        <v>43861</v>
      </c>
      <c r="C7" s="108">
        <f>EOMONTH(B7,1)</f>
        <v>43890</v>
      </c>
      <c r="D7" s="108">
        <f t="shared" ref="D7:M7" si="0">EOMONTH(C7,1)</f>
        <v>43921</v>
      </c>
      <c r="E7" s="108">
        <f t="shared" si="0"/>
        <v>43951</v>
      </c>
      <c r="F7" s="108">
        <f t="shared" si="0"/>
        <v>43982</v>
      </c>
      <c r="G7" s="108">
        <f t="shared" si="0"/>
        <v>44012</v>
      </c>
      <c r="H7" s="108">
        <f t="shared" si="0"/>
        <v>44043</v>
      </c>
      <c r="I7" s="108">
        <f t="shared" si="0"/>
        <v>44074</v>
      </c>
      <c r="J7" s="108">
        <f t="shared" si="0"/>
        <v>44104</v>
      </c>
      <c r="K7" s="108">
        <f t="shared" si="0"/>
        <v>44135</v>
      </c>
      <c r="L7" s="108">
        <f t="shared" si="0"/>
        <v>44165</v>
      </c>
      <c r="M7" s="108">
        <f t="shared" si="0"/>
        <v>44196</v>
      </c>
      <c r="N7" s="109" t="s">
        <v>125</v>
      </c>
    </row>
    <row r="8" spans="1:17" ht="24.95" customHeight="1">
      <c r="A8" s="110" t="s">
        <v>124</v>
      </c>
      <c r="B8" s="111">
        <f>'Input Tab'!C54</f>
        <v>537509</v>
      </c>
      <c r="C8" s="111">
        <f>'Input Tab'!D54</f>
        <v>504892</v>
      </c>
      <c r="D8" s="111">
        <f>'Input Tab'!E54</f>
        <v>472625</v>
      </c>
      <c r="E8" s="111">
        <f>'Input Tab'!F54</f>
        <v>0</v>
      </c>
      <c r="F8" s="111">
        <f>'Input Tab'!G54</f>
        <v>0</v>
      </c>
      <c r="G8" s="111">
        <f>'Input Tab'!H54</f>
        <v>0</v>
      </c>
      <c r="H8" s="111">
        <f>'Input Tab'!I54</f>
        <v>0</v>
      </c>
      <c r="I8" s="111">
        <f>'Input Tab'!J54</f>
        <v>0</v>
      </c>
      <c r="J8" s="111">
        <f>'Input Tab'!K54</f>
        <v>0</v>
      </c>
      <c r="K8" s="111">
        <f>'Input Tab'!L54</f>
        <v>0</v>
      </c>
      <c r="L8" s="111">
        <f>'Input Tab'!M54</f>
        <v>0</v>
      </c>
      <c r="M8" s="111">
        <f>'Input Tab'!N54</f>
        <v>0</v>
      </c>
      <c r="N8" s="44">
        <f t="shared" ref="N8:N13" si="1">SUM(B8:M8)</f>
        <v>1515026</v>
      </c>
      <c r="P8" s="112"/>
    </row>
    <row r="9" spans="1:17" ht="24.95" customHeight="1">
      <c r="A9" s="113" t="s">
        <v>126</v>
      </c>
      <c r="B9" s="111">
        <f>-301275173/1000</f>
        <v>-301275</v>
      </c>
      <c r="C9" s="114">
        <f>IF(C8=0,0,-B10)</f>
        <v>-299486</v>
      </c>
      <c r="D9" s="114">
        <f t="shared" ref="D9:M9" si="2">IF(D8=0,0,-C10)</f>
        <v>-269928</v>
      </c>
      <c r="E9" s="114">
        <f t="shared" si="2"/>
        <v>0</v>
      </c>
      <c r="F9" s="114">
        <f t="shared" si="2"/>
        <v>0</v>
      </c>
      <c r="G9" s="114">
        <f t="shared" si="2"/>
        <v>0</v>
      </c>
      <c r="H9" s="114">
        <f t="shared" si="2"/>
        <v>0</v>
      </c>
      <c r="I9" s="114">
        <f t="shared" si="2"/>
        <v>0</v>
      </c>
      <c r="J9" s="114">
        <f t="shared" si="2"/>
        <v>0</v>
      </c>
      <c r="K9" s="114">
        <f t="shared" si="2"/>
        <v>0</v>
      </c>
      <c r="L9" s="114">
        <f t="shared" si="2"/>
        <v>0</v>
      </c>
      <c r="M9" s="114">
        <f t="shared" si="2"/>
        <v>0</v>
      </c>
      <c r="N9" s="44">
        <f t="shared" si="1"/>
        <v>-870689</v>
      </c>
    </row>
    <row r="10" spans="1:17" ht="24.95" customHeight="1">
      <c r="A10" s="113" t="s">
        <v>127</v>
      </c>
      <c r="B10" s="111">
        <f>'Input Tab'!C55</f>
        <v>299486</v>
      </c>
      <c r="C10" s="111">
        <f>'Input Tab'!D55</f>
        <v>269928</v>
      </c>
      <c r="D10" s="111">
        <f>'Input Tab'!E55</f>
        <v>266976</v>
      </c>
      <c r="E10" s="111">
        <f>'Input Tab'!F55</f>
        <v>0</v>
      </c>
      <c r="F10" s="111">
        <f>'Input Tab'!G55</f>
        <v>0</v>
      </c>
      <c r="G10" s="111">
        <f>'Input Tab'!H55</f>
        <v>0</v>
      </c>
      <c r="H10" s="111">
        <f>'Input Tab'!I55</f>
        <v>0</v>
      </c>
      <c r="I10" s="111">
        <f>'Input Tab'!J55</f>
        <v>0</v>
      </c>
      <c r="J10" s="111">
        <f>'Input Tab'!K55</f>
        <v>0</v>
      </c>
      <c r="K10" s="111">
        <f>'Input Tab'!L55</f>
        <v>0</v>
      </c>
      <c r="L10" s="111">
        <f>'Input Tab'!M55</f>
        <v>0</v>
      </c>
      <c r="M10" s="111">
        <f>'Input Tab'!N55</f>
        <v>0</v>
      </c>
      <c r="N10" s="44">
        <f t="shared" si="1"/>
        <v>836390</v>
      </c>
      <c r="P10" s="115"/>
      <c r="Q10" s="115"/>
    </row>
    <row r="11" spans="1:17" ht="30.75" customHeight="1">
      <c r="A11" s="116" t="s">
        <v>131</v>
      </c>
      <c r="B11" s="117">
        <f t="shared" ref="B11:L11" si="3">SUM(B8:B10)</f>
        <v>535720</v>
      </c>
      <c r="C11" s="117">
        <f t="shared" si="3"/>
        <v>475334</v>
      </c>
      <c r="D11" s="117">
        <f t="shared" si="3"/>
        <v>469673</v>
      </c>
      <c r="E11" s="117">
        <f t="shared" si="3"/>
        <v>0</v>
      </c>
      <c r="F11" s="117">
        <f t="shared" si="3"/>
        <v>0</v>
      </c>
      <c r="G11" s="117">
        <f t="shared" si="3"/>
        <v>0</v>
      </c>
      <c r="H11" s="117">
        <f t="shared" si="3"/>
        <v>0</v>
      </c>
      <c r="I11" s="117">
        <f t="shared" si="3"/>
        <v>0</v>
      </c>
      <c r="J11" s="117">
        <f t="shared" si="3"/>
        <v>0</v>
      </c>
      <c r="K11" s="117">
        <f t="shared" si="3"/>
        <v>0</v>
      </c>
      <c r="L11" s="117">
        <f t="shared" si="3"/>
        <v>0</v>
      </c>
      <c r="M11" s="117">
        <f>SUM(M8:M10)</f>
        <v>0</v>
      </c>
      <c r="N11" s="118">
        <f t="shared" si="1"/>
        <v>1480727</v>
      </c>
      <c r="P11" s="119"/>
      <c r="Q11" s="112"/>
    </row>
    <row r="12" spans="1:17" ht="32.25" customHeight="1">
      <c r="A12" s="120" t="s">
        <v>132</v>
      </c>
      <c r="B12" s="121">
        <f>'Input Tab'!C56</f>
        <v>556117</v>
      </c>
      <c r="C12" s="121">
        <f>'Input Tab'!D56</f>
        <v>486363</v>
      </c>
      <c r="D12" s="121">
        <f>'Input Tab'!E56</f>
        <v>477535</v>
      </c>
      <c r="E12" s="121">
        <f>'Input Tab'!F56</f>
        <v>431246</v>
      </c>
      <c r="F12" s="121">
        <f>'Input Tab'!G56</f>
        <v>432473</v>
      </c>
      <c r="G12" s="121">
        <f>'Input Tab'!H56</f>
        <v>424693</v>
      </c>
      <c r="H12" s="121">
        <f>'Input Tab'!I56</f>
        <v>490670</v>
      </c>
      <c r="I12" s="121">
        <f>'Input Tab'!J56</f>
        <v>464617</v>
      </c>
      <c r="J12" s="121">
        <f>'Input Tab'!K56</f>
        <v>435934</v>
      </c>
      <c r="K12" s="121">
        <f>'Input Tab'!L56</f>
        <v>436959</v>
      </c>
      <c r="L12" s="121">
        <f>'Input Tab'!M56</f>
        <v>468856</v>
      </c>
      <c r="M12" s="121">
        <f>'Input Tab'!N56</f>
        <v>553150</v>
      </c>
      <c r="N12" s="122">
        <f>SUM(B12:D12)</f>
        <v>1520015</v>
      </c>
      <c r="P12" s="123" t="s">
        <v>136</v>
      </c>
    </row>
    <row r="13" spans="1:17" ht="38.25" customHeight="1">
      <c r="A13" s="124" t="s">
        <v>128</v>
      </c>
      <c r="B13" s="45">
        <f>B11-B12</f>
        <v>-20397</v>
      </c>
      <c r="C13" s="45">
        <f>IF(C8=0," ",C11-C12)</f>
        <v>-11029</v>
      </c>
      <c r="D13" s="45">
        <f t="shared" ref="D13:M13" si="4">IF(D8=0," ",D11-D12)</f>
        <v>-7862</v>
      </c>
      <c r="E13" s="45" t="str">
        <f t="shared" si="4"/>
        <v xml:space="preserve"> </v>
      </c>
      <c r="F13" s="45" t="str">
        <f t="shared" si="4"/>
        <v xml:space="preserve"> </v>
      </c>
      <c r="G13" s="45" t="str">
        <f t="shared" si="4"/>
        <v xml:space="preserve"> </v>
      </c>
      <c r="H13" s="45" t="str">
        <f t="shared" si="4"/>
        <v xml:space="preserve"> </v>
      </c>
      <c r="I13" s="45" t="str">
        <f t="shared" si="4"/>
        <v xml:space="preserve"> </v>
      </c>
      <c r="J13" s="45" t="str">
        <f t="shared" si="4"/>
        <v xml:space="preserve"> </v>
      </c>
      <c r="K13" s="45" t="str">
        <f t="shared" si="4"/>
        <v xml:space="preserve"> </v>
      </c>
      <c r="L13" s="45" t="str">
        <f t="shared" si="4"/>
        <v xml:space="preserve"> </v>
      </c>
      <c r="M13" s="45" t="str">
        <f t="shared" si="4"/>
        <v xml:space="preserve"> </v>
      </c>
      <c r="N13" s="125">
        <f t="shared" si="1"/>
        <v>-39288</v>
      </c>
    </row>
    <row r="14" spans="1:17" ht="42.75" customHeight="1">
      <c r="A14" s="124" t="s">
        <v>133</v>
      </c>
      <c r="B14" s="126">
        <f>'Input Tab'!C57</f>
        <v>18.11</v>
      </c>
      <c r="C14" s="126">
        <f>'Input Tab'!D57</f>
        <v>18.11</v>
      </c>
      <c r="D14" s="126">
        <f>'Input Tab'!E57</f>
        <v>18.11</v>
      </c>
      <c r="E14" s="126">
        <f>'Input Tab'!F57</f>
        <v>18.11</v>
      </c>
      <c r="F14" s="126">
        <f>'Input Tab'!G57</f>
        <v>18.11</v>
      </c>
      <c r="G14" s="126">
        <f>'Input Tab'!H57</f>
        <v>18.11</v>
      </c>
      <c r="H14" s="126">
        <f>'Input Tab'!I57</f>
        <v>18.11</v>
      </c>
      <c r="I14" s="126">
        <f>'Input Tab'!J57</f>
        <v>18.11</v>
      </c>
      <c r="J14" s="126">
        <f>'Input Tab'!K57</f>
        <v>18.11</v>
      </c>
      <c r="K14" s="126">
        <f>'Input Tab'!L57</f>
        <v>18.11</v>
      </c>
      <c r="L14" s="126">
        <f>'Input Tab'!M57</f>
        <v>18.11</v>
      </c>
      <c r="M14" s="126">
        <f>'Input Tab'!N57</f>
        <v>18.11</v>
      </c>
      <c r="N14" s="44"/>
    </row>
    <row r="15" spans="1:17" ht="30.75" customHeight="1" thickBot="1">
      <c r="A15" s="127" t="s">
        <v>134</v>
      </c>
      <c r="B15" s="128">
        <f>B13*B14</f>
        <v>-369390</v>
      </c>
      <c r="C15" s="128">
        <f>IF(C8=0,0,C13*C14)</f>
        <v>-199735</v>
      </c>
      <c r="D15" s="128">
        <f t="shared" ref="D15:M15" si="5">IF(D8=0,0,D13*D14)</f>
        <v>-142381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8">
        <f t="shared" si="5"/>
        <v>0</v>
      </c>
      <c r="J15" s="128">
        <f t="shared" si="5"/>
        <v>0</v>
      </c>
      <c r="K15" s="128">
        <f t="shared" si="5"/>
        <v>0</v>
      </c>
      <c r="L15" s="128">
        <f t="shared" si="5"/>
        <v>0</v>
      </c>
      <c r="M15" s="128">
        <f t="shared" si="5"/>
        <v>0</v>
      </c>
      <c r="N15" s="128">
        <f>SUM(B15:M15)</f>
        <v>-711506</v>
      </c>
    </row>
    <row r="16" spans="1:17" ht="20.100000000000001" customHeight="1" thickTop="1">
      <c r="G16" s="129"/>
      <c r="N16" s="112"/>
    </row>
    <row r="17" spans="1:14" ht="20.100000000000001" customHeight="1">
      <c r="A17" s="130"/>
      <c r="N17" s="112"/>
    </row>
    <row r="18" spans="1:14" ht="36.75" customHeight="1">
      <c r="A18" s="131" t="s">
        <v>135</v>
      </c>
      <c r="B18" s="132">
        <f>B7</f>
        <v>43861</v>
      </c>
      <c r="C18" s="132">
        <f t="shared" ref="C18:N18" si="6">C7</f>
        <v>43890</v>
      </c>
      <c r="D18" s="132">
        <f t="shared" si="6"/>
        <v>43921</v>
      </c>
      <c r="E18" s="132">
        <f t="shared" si="6"/>
        <v>43951</v>
      </c>
      <c r="F18" s="132">
        <f t="shared" si="6"/>
        <v>43982</v>
      </c>
      <c r="G18" s="132">
        <f t="shared" si="6"/>
        <v>44012</v>
      </c>
      <c r="H18" s="132">
        <f t="shared" si="6"/>
        <v>44043</v>
      </c>
      <c r="I18" s="132">
        <f t="shared" si="6"/>
        <v>44074</v>
      </c>
      <c r="J18" s="132">
        <f t="shared" si="6"/>
        <v>44104</v>
      </c>
      <c r="K18" s="132">
        <f t="shared" si="6"/>
        <v>44135</v>
      </c>
      <c r="L18" s="132">
        <f t="shared" si="6"/>
        <v>44165</v>
      </c>
      <c r="M18" s="132">
        <f t="shared" si="6"/>
        <v>44196</v>
      </c>
      <c r="N18" s="108" t="str">
        <f t="shared" si="6"/>
        <v>YTD</v>
      </c>
    </row>
    <row r="19" spans="1:14" ht="29.25" customHeight="1">
      <c r="A19" s="133" t="s">
        <v>2</v>
      </c>
      <c r="B19" s="134">
        <f>IF(B8=0," ",B15*-1)</f>
        <v>369390</v>
      </c>
      <c r="C19" s="134">
        <f>IF(C8=0," ",C15*-1)</f>
        <v>199735</v>
      </c>
      <c r="D19" s="134">
        <f t="shared" ref="D19:M19" si="7">IF(D8=0," ",D15*-1)</f>
        <v>142381</v>
      </c>
      <c r="E19" s="134" t="str">
        <f t="shared" si="7"/>
        <v xml:space="preserve"> </v>
      </c>
      <c r="F19" s="134" t="str">
        <f t="shared" si="7"/>
        <v xml:space="preserve"> </v>
      </c>
      <c r="G19" s="134" t="str">
        <f t="shared" si="7"/>
        <v xml:space="preserve"> </v>
      </c>
      <c r="H19" s="134" t="str">
        <f t="shared" si="7"/>
        <v xml:space="preserve"> </v>
      </c>
      <c r="I19" s="134" t="str">
        <f t="shared" si="7"/>
        <v xml:space="preserve"> </v>
      </c>
      <c r="J19" s="134" t="str">
        <f t="shared" si="7"/>
        <v xml:space="preserve"> </v>
      </c>
      <c r="K19" s="134" t="str">
        <f t="shared" si="7"/>
        <v xml:space="preserve"> </v>
      </c>
      <c r="L19" s="134" t="str">
        <f t="shared" si="7"/>
        <v xml:space="preserve"> </v>
      </c>
      <c r="M19" s="134" t="str">
        <f t="shared" si="7"/>
        <v xml:space="preserve"> </v>
      </c>
      <c r="N19" s="134">
        <f>N15*-1</f>
        <v>711506</v>
      </c>
    </row>
    <row r="20" spans="1:14" ht="15.75">
      <c r="A20" s="135"/>
      <c r="B20" s="136" t="str">
        <f>IF(B19&lt;0,"Rebate","Surcharge")</f>
        <v>Surcharge</v>
      </c>
      <c r="C20" s="136" t="str">
        <f t="shared" ref="C20:N20" si="8">IF(C19&lt;0,"Rebate","Surcharge")</f>
        <v>Surcharge</v>
      </c>
      <c r="D20" s="136" t="str">
        <f t="shared" si="8"/>
        <v>Surcharge</v>
      </c>
      <c r="E20" s="136" t="str">
        <f t="shared" si="8"/>
        <v>Surcharge</v>
      </c>
      <c r="F20" s="136" t="str">
        <f t="shared" si="8"/>
        <v>Surcharge</v>
      </c>
      <c r="G20" s="136" t="str">
        <f t="shared" si="8"/>
        <v>Surcharge</v>
      </c>
      <c r="H20" s="136" t="str">
        <f t="shared" si="8"/>
        <v>Surcharge</v>
      </c>
      <c r="I20" s="136" t="str">
        <f t="shared" si="8"/>
        <v>Surcharge</v>
      </c>
      <c r="J20" s="136" t="str">
        <f t="shared" si="8"/>
        <v>Surcharge</v>
      </c>
      <c r="K20" s="136" t="str">
        <f t="shared" si="8"/>
        <v>Surcharge</v>
      </c>
      <c r="L20" s="136" t="str">
        <f t="shared" si="8"/>
        <v>Surcharge</v>
      </c>
      <c r="M20" s="136" t="str">
        <f t="shared" si="8"/>
        <v>Surcharge</v>
      </c>
      <c r="N20" s="136" t="str">
        <f t="shared" si="8"/>
        <v>Surcharge</v>
      </c>
    </row>
    <row r="23" spans="1:14">
      <c r="G23" s="112"/>
    </row>
    <row r="32" spans="1:14">
      <c r="A32" s="137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2.75"/>
  <cols>
    <col min="1" max="1" width="40.5703125" style="90" bestFit="1" customWidth="1"/>
    <col min="2" max="2" width="11.28515625" style="4" bestFit="1" customWidth="1"/>
    <col min="3" max="14" width="12.85546875" style="4" bestFit="1" customWidth="1"/>
    <col min="15" max="16384" width="9.140625" style="4"/>
  </cols>
  <sheetData>
    <row r="1" spans="1:14">
      <c r="C1" s="91">
        <v>43831</v>
      </c>
      <c r="D1" s="91">
        <v>43862</v>
      </c>
      <c r="E1" s="91">
        <v>43891</v>
      </c>
      <c r="F1" s="91">
        <v>43922</v>
      </c>
      <c r="G1" s="91">
        <v>43952</v>
      </c>
      <c r="H1" s="91">
        <v>43983</v>
      </c>
      <c r="I1" s="91">
        <v>44013</v>
      </c>
      <c r="J1" s="91">
        <v>44044</v>
      </c>
      <c r="K1" s="91">
        <v>44075</v>
      </c>
      <c r="L1" s="91">
        <v>44105</v>
      </c>
      <c r="M1" s="91">
        <v>44136</v>
      </c>
      <c r="N1" s="91">
        <v>44166</v>
      </c>
    </row>
    <row r="4" spans="1:14">
      <c r="A4" s="92" t="s">
        <v>187</v>
      </c>
    </row>
    <row r="5" spans="1:14">
      <c r="A5" s="93" t="s">
        <v>188</v>
      </c>
      <c r="B5" s="94"/>
      <c r="C5" s="95">
        <f>($C$26*0.119202103298727)/12</f>
        <v>13717.6</v>
      </c>
      <c r="D5" s="95">
        <f>($D$26*0.119202103298727)/12</f>
        <v>0</v>
      </c>
      <c r="E5" s="95">
        <f>($E$26*0.119202103298727)/12</f>
        <v>0</v>
      </c>
      <c r="F5" s="95">
        <f>($F$26*0.119202103298727)/12</f>
        <v>0</v>
      </c>
      <c r="G5" s="95">
        <f>($G$26*0.119202103298727)/12</f>
        <v>0</v>
      </c>
      <c r="H5" s="95">
        <f>($H$26*0.119202103298727)/12</f>
        <v>0</v>
      </c>
      <c r="I5" s="95">
        <f>($I$26*0.119202103298727)/12</f>
        <v>0</v>
      </c>
      <c r="J5" s="95">
        <f>($J$26*0.119202103298727)/12</f>
        <v>0</v>
      </c>
      <c r="K5" s="95">
        <f>($K$26*0.119202103298727)/12</f>
        <v>0</v>
      </c>
      <c r="L5" s="95">
        <f>($L$26*0.119202103298727)/12</f>
        <v>0</v>
      </c>
      <c r="M5" s="95">
        <f>($M$26*0.119202103298727)/12</f>
        <v>0</v>
      </c>
      <c r="N5" s="95">
        <f>($N$26*0.119202103298727)/12</f>
        <v>0</v>
      </c>
    </row>
    <row r="6" spans="1:14">
      <c r="A6" s="96" t="s">
        <v>211</v>
      </c>
      <c r="B6" s="94"/>
      <c r="C6" s="80">
        <f>28.27*950</f>
        <v>26856.5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38.25">
      <c r="A7" s="93" t="s">
        <v>189</v>
      </c>
      <c r="B7" s="94"/>
      <c r="C7" s="89">
        <f>-'WA Monthly'!E36</f>
        <v>4512</v>
      </c>
      <c r="D7" s="89">
        <f>-'WA Monthly'!F36</f>
        <v>6519</v>
      </c>
      <c r="E7" s="89">
        <f>-'WA Monthly'!G36</f>
        <v>7796</v>
      </c>
      <c r="F7" s="89">
        <f>-'WA Monthly'!H36</f>
        <v>0</v>
      </c>
      <c r="G7" s="89">
        <f>-'WA Monthly'!I36</f>
        <v>0</v>
      </c>
      <c r="H7" s="89">
        <f>-'WA Monthly'!J36</f>
        <v>0</v>
      </c>
      <c r="I7" s="89">
        <f>-'WA Monthly'!K36</f>
        <v>0</v>
      </c>
      <c r="J7" s="89">
        <f>-'WA Monthly'!L36</f>
        <v>0</v>
      </c>
      <c r="K7" s="89">
        <f>-'WA Monthly'!M36</f>
        <v>0</v>
      </c>
      <c r="L7" s="89">
        <f>-'WA Monthly'!N36</f>
        <v>0</v>
      </c>
      <c r="M7" s="89">
        <f>-'WA Monthly'!O36</f>
        <v>0</v>
      </c>
      <c r="N7" s="89">
        <f>-'WA Monthly'!P36</f>
        <v>0</v>
      </c>
    </row>
    <row r="8" spans="1:14">
      <c r="A8" s="93" t="s">
        <v>212</v>
      </c>
      <c r="B8" s="94"/>
      <c r="C8" s="80">
        <f>30000/12</f>
        <v>2500</v>
      </c>
      <c r="D8" s="80">
        <f t="shared" ref="D8:N8" si="0">30000/12</f>
        <v>2500</v>
      </c>
      <c r="E8" s="80">
        <f t="shared" si="0"/>
        <v>2500</v>
      </c>
      <c r="F8" s="80">
        <f t="shared" si="0"/>
        <v>2500</v>
      </c>
      <c r="G8" s="80">
        <f t="shared" si="0"/>
        <v>2500</v>
      </c>
      <c r="H8" s="80">
        <f t="shared" si="0"/>
        <v>2500</v>
      </c>
      <c r="I8" s="80">
        <f t="shared" si="0"/>
        <v>2500</v>
      </c>
      <c r="J8" s="80">
        <f t="shared" si="0"/>
        <v>2500</v>
      </c>
      <c r="K8" s="80">
        <f t="shared" si="0"/>
        <v>2500</v>
      </c>
      <c r="L8" s="80">
        <f t="shared" si="0"/>
        <v>2500</v>
      </c>
      <c r="M8" s="80">
        <f t="shared" si="0"/>
        <v>2500</v>
      </c>
      <c r="N8" s="80">
        <f t="shared" si="0"/>
        <v>2500</v>
      </c>
    </row>
    <row r="10" spans="1:14">
      <c r="A10" s="92" t="s">
        <v>190</v>
      </c>
    </row>
    <row r="11" spans="1:14">
      <c r="A11" s="93" t="s">
        <v>191</v>
      </c>
      <c r="B11" s="94"/>
      <c r="C11" s="80">
        <f>950*52.71</f>
        <v>50074.5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>
      <c r="A12" s="93" t="s">
        <v>192</v>
      </c>
      <c r="B12" s="94"/>
      <c r="C12" s="89">
        <f>'WA Monthly'!E51</f>
        <v>19928</v>
      </c>
      <c r="D12" s="89">
        <f>'WA Monthly'!F51</f>
        <v>44560</v>
      </c>
      <c r="E12" s="89">
        <f>'WA Monthly'!G51</f>
        <v>91436</v>
      </c>
      <c r="F12" s="89">
        <f>'WA Monthly'!H51</f>
        <v>0</v>
      </c>
      <c r="G12" s="89">
        <f>'WA Monthly'!I51</f>
        <v>0</v>
      </c>
      <c r="H12" s="89">
        <f>'WA Monthly'!J51</f>
        <v>0</v>
      </c>
      <c r="I12" s="89">
        <f>'WA Monthly'!K51</f>
        <v>0</v>
      </c>
      <c r="J12" s="89">
        <f>'WA Monthly'!L51</f>
        <v>0</v>
      </c>
      <c r="K12" s="89">
        <f>'WA Monthly'!M51</f>
        <v>0</v>
      </c>
      <c r="L12" s="89">
        <f>'WA Monthly'!N51</f>
        <v>0</v>
      </c>
      <c r="M12" s="89">
        <f>'WA Monthly'!O51</f>
        <v>0</v>
      </c>
      <c r="N12" s="89">
        <f>'WA Monthly'!P51</f>
        <v>0</v>
      </c>
    </row>
    <row r="13" spans="1:14">
      <c r="A13" s="96" t="s">
        <v>213</v>
      </c>
      <c r="B13" s="94"/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</row>
    <row r="22" spans="1:14">
      <c r="A22" s="92" t="s">
        <v>193</v>
      </c>
      <c r="B22" s="85"/>
    </row>
    <row r="23" spans="1:14" ht="25.5">
      <c r="A23" s="96" t="s">
        <v>194</v>
      </c>
      <c r="B23" s="97"/>
      <c r="C23" s="80">
        <v>657426.1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1:14">
      <c r="A24" s="96" t="s">
        <v>195</v>
      </c>
      <c r="B24" s="98"/>
      <c r="C24" s="80">
        <v>513030.82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14" ht="25.5">
      <c r="A25" s="96" t="s">
        <v>196</v>
      </c>
      <c r="B25" s="98"/>
      <c r="C25" s="99">
        <v>210485.37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>
      <c r="B26" s="100"/>
      <c r="C26" s="101">
        <f>SUM(C23:C25)</f>
        <v>1380942.29</v>
      </c>
      <c r="D26" s="101">
        <f t="shared" ref="D26:N26" si="1">SUM(D23:D25)</f>
        <v>0</v>
      </c>
      <c r="E26" s="101">
        <f t="shared" si="1"/>
        <v>0</v>
      </c>
      <c r="F26" s="101">
        <f t="shared" si="1"/>
        <v>0</v>
      </c>
      <c r="G26" s="101">
        <f t="shared" si="1"/>
        <v>0</v>
      </c>
      <c r="H26" s="101">
        <f t="shared" si="1"/>
        <v>0</v>
      </c>
      <c r="I26" s="101">
        <f t="shared" si="1"/>
        <v>0</v>
      </c>
      <c r="J26" s="101">
        <f t="shared" si="1"/>
        <v>0</v>
      </c>
      <c r="K26" s="101">
        <f t="shared" si="1"/>
        <v>0</v>
      </c>
      <c r="L26" s="101">
        <f t="shared" si="1"/>
        <v>0</v>
      </c>
      <c r="M26" s="101">
        <f t="shared" si="1"/>
        <v>0</v>
      </c>
      <c r="N26" s="101">
        <f t="shared" si="1"/>
        <v>0</v>
      </c>
    </row>
    <row r="30" spans="1:14">
      <c r="A30" s="92" t="s">
        <v>190</v>
      </c>
    </row>
    <row r="31" spans="1:14">
      <c r="A31" s="90" t="s">
        <v>200</v>
      </c>
      <c r="C31" s="102">
        <f>C11</f>
        <v>50075</v>
      </c>
      <c r="D31" s="102">
        <f t="shared" ref="D31:M32" si="2">D11</f>
        <v>0</v>
      </c>
      <c r="E31" s="102">
        <f t="shared" si="2"/>
        <v>0</v>
      </c>
      <c r="F31" s="102">
        <f t="shared" si="2"/>
        <v>0</v>
      </c>
      <c r="G31" s="102">
        <f t="shared" si="2"/>
        <v>0</v>
      </c>
      <c r="H31" s="102">
        <f t="shared" si="2"/>
        <v>0</v>
      </c>
      <c r="I31" s="102">
        <f t="shared" si="2"/>
        <v>0</v>
      </c>
      <c r="J31" s="102">
        <f t="shared" si="2"/>
        <v>0</v>
      </c>
      <c r="K31" s="102">
        <f t="shared" si="2"/>
        <v>0</v>
      </c>
      <c r="L31" s="102">
        <f t="shared" si="2"/>
        <v>0</v>
      </c>
      <c r="M31" s="103">
        <f t="shared" si="2"/>
        <v>0</v>
      </c>
      <c r="N31" s="103">
        <f t="shared" ref="N31" si="3">N11</f>
        <v>0</v>
      </c>
    </row>
    <row r="32" spans="1:14">
      <c r="A32" s="90" t="s">
        <v>201</v>
      </c>
      <c r="C32" s="102">
        <f>C12</f>
        <v>19928</v>
      </c>
      <c r="D32" s="102">
        <f t="shared" si="2"/>
        <v>44560</v>
      </c>
      <c r="E32" s="102">
        <f t="shared" si="2"/>
        <v>91436</v>
      </c>
      <c r="F32" s="102">
        <f t="shared" si="2"/>
        <v>0</v>
      </c>
      <c r="G32" s="102">
        <f t="shared" si="2"/>
        <v>0</v>
      </c>
      <c r="H32" s="102">
        <f t="shared" si="2"/>
        <v>0</v>
      </c>
      <c r="I32" s="102">
        <f t="shared" si="2"/>
        <v>0</v>
      </c>
      <c r="J32" s="102">
        <f t="shared" si="2"/>
        <v>0</v>
      </c>
      <c r="K32" s="102">
        <f t="shared" si="2"/>
        <v>0</v>
      </c>
      <c r="L32" s="102">
        <f t="shared" si="2"/>
        <v>0</v>
      </c>
      <c r="M32" s="103">
        <f t="shared" si="2"/>
        <v>0</v>
      </c>
      <c r="N32" s="103">
        <f t="shared" ref="N32" si="4">N12</f>
        <v>0</v>
      </c>
    </row>
    <row r="33" spans="1:14">
      <c r="A33" s="104" t="s">
        <v>67</v>
      </c>
      <c r="B33" s="102">
        <f>SUM(C33:N33)</f>
        <v>205999</v>
      </c>
      <c r="C33" s="102">
        <f>SUM(C31:C32)</f>
        <v>70003</v>
      </c>
      <c r="D33" s="102">
        <f t="shared" ref="D33:M33" si="5">SUM(D31:D32)</f>
        <v>44560</v>
      </c>
      <c r="E33" s="102">
        <f t="shared" si="5"/>
        <v>91436</v>
      </c>
      <c r="F33" s="102">
        <f t="shared" si="5"/>
        <v>0</v>
      </c>
      <c r="G33" s="102">
        <f t="shared" si="5"/>
        <v>0</v>
      </c>
      <c r="H33" s="102">
        <f t="shared" si="5"/>
        <v>0</v>
      </c>
      <c r="I33" s="102">
        <f t="shared" si="5"/>
        <v>0</v>
      </c>
      <c r="J33" s="102">
        <f t="shared" si="5"/>
        <v>0</v>
      </c>
      <c r="K33" s="102">
        <f t="shared" si="5"/>
        <v>0</v>
      </c>
      <c r="L33" s="102">
        <f t="shared" si="5"/>
        <v>0</v>
      </c>
      <c r="M33" s="103">
        <f t="shared" si="5"/>
        <v>0</v>
      </c>
      <c r="N33" s="103">
        <f t="shared" ref="N33" si="6">SUM(N31:N32)</f>
        <v>0</v>
      </c>
    </row>
    <row r="35" spans="1:14">
      <c r="A35" s="92" t="s">
        <v>202</v>
      </c>
    </row>
    <row r="36" spans="1:14">
      <c r="A36" s="4" t="s">
        <v>203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1:14">
      <c r="A37" s="4" t="s">
        <v>204</v>
      </c>
      <c r="C37" s="105">
        <f>C6</f>
        <v>26857</v>
      </c>
      <c r="D37" s="105">
        <f t="shared" ref="D37:M37" si="7">D6</f>
        <v>0</v>
      </c>
      <c r="E37" s="105">
        <f t="shared" si="7"/>
        <v>0</v>
      </c>
      <c r="F37" s="105">
        <f t="shared" si="7"/>
        <v>0</v>
      </c>
      <c r="G37" s="105">
        <f t="shared" si="7"/>
        <v>0</v>
      </c>
      <c r="H37" s="105">
        <f t="shared" si="7"/>
        <v>0</v>
      </c>
      <c r="I37" s="105">
        <f t="shared" si="7"/>
        <v>0</v>
      </c>
      <c r="J37" s="105">
        <f t="shared" si="7"/>
        <v>0</v>
      </c>
      <c r="K37" s="105">
        <f t="shared" si="7"/>
        <v>0</v>
      </c>
      <c r="L37" s="105">
        <f t="shared" si="7"/>
        <v>0</v>
      </c>
      <c r="M37" s="105">
        <f t="shared" si="7"/>
        <v>0</v>
      </c>
      <c r="N37" s="105">
        <f t="shared" ref="N37" si="8">N6</f>
        <v>0</v>
      </c>
    </row>
    <row r="38" spans="1:14">
      <c r="A38" s="4" t="s">
        <v>205</v>
      </c>
      <c r="C38" s="105">
        <f>C5</f>
        <v>13718</v>
      </c>
      <c r="D38" s="105">
        <f t="shared" ref="D38:M38" si="9">D5</f>
        <v>0</v>
      </c>
      <c r="E38" s="105">
        <f t="shared" si="9"/>
        <v>0</v>
      </c>
      <c r="F38" s="105">
        <f t="shared" si="9"/>
        <v>0</v>
      </c>
      <c r="G38" s="105">
        <f t="shared" si="9"/>
        <v>0</v>
      </c>
      <c r="H38" s="105">
        <f t="shared" si="9"/>
        <v>0</v>
      </c>
      <c r="I38" s="105">
        <f t="shared" si="9"/>
        <v>0</v>
      </c>
      <c r="J38" s="105">
        <f t="shared" si="9"/>
        <v>0</v>
      </c>
      <c r="K38" s="105">
        <f t="shared" si="9"/>
        <v>0</v>
      </c>
      <c r="L38" s="105">
        <f t="shared" si="9"/>
        <v>0</v>
      </c>
      <c r="M38" s="105">
        <f t="shared" si="9"/>
        <v>0</v>
      </c>
      <c r="N38" s="105">
        <f t="shared" ref="N38" si="10">N5</f>
        <v>0</v>
      </c>
    </row>
    <row r="39" spans="1:14">
      <c r="A39" s="85" t="s">
        <v>206</v>
      </c>
      <c r="C39" s="105">
        <f>C7</f>
        <v>4512</v>
      </c>
      <c r="D39" s="105">
        <f t="shared" ref="D39:M40" si="11">D7</f>
        <v>6519</v>
      </c>
      <c r="E39" s="105">
        <f t="shared" si="11"/>
        <v>7796</v>
      </c>
      <c r="F39" s="105">
        <f t="shared" si="11"/>
        <v>0</v>
      </c>
      <c r="G39" s="105">
        <f t="shared" si="11"/>
        <v>0</v>
      </c>
      <c r="H39" s="105">
        <f t="shared" si="11"/>
        <v>0</v>
      </c>
      <c r="I39" s="105">
        <f t="shared" si="11"/>
        <v>0</v>
      </c>
      <c r="J39" s="105">
        <f t="shared" si="11"/>
        <v>0</v>
      </c>
      <c r="K39" s="105">
        <f t="shared" si="11"/>
        <v>0</v>
      </c>
      <c r="L39" s="105">
        <f t="shared" si="11"/>
        <v>0</v>
      </c>
      <c r="M39" s="105">
        <f t="shared" si="11"/>
        <v>0</v>
      </c>
      <c r="N39" s="105">
        <f t="shared" ref="N39" si="12">N7</f>
        <v>0</v>
      </c>
    </row>
    <row r="40" spans="1:14">
      <c r="A40" s="4" t="s">
        <v>207</v>
      </c>
      <c r="C40" s="105">
        <f>C8</f>
        <v>2500</v>
      </c>
      <c r="D40" s="105">
        <f t="shared" si="11"/>
        <v>2500</v>
      </c>
      <c r="E40" s="105">
        <f t="shared" si="11"/>
        <v>2500</v>
      </c>
      <c r="F40" s="105">
        <f t="shared" si="11"/>
        <v>2500</v>
      </c>
      <c r="G40" s="105">
        <f t="shared" si="11"/>
        <v>2500</v>
      </c>
      <c r="H40" s="105">
        <f t="shared" si="11"/>
        <v>2500</v>
      </c>
      <c r="I40" s="105">
        <f t="shared" si="11"/>
        <v>2500</v>
      </c>
      <c r="J40" s="105">
        <f t="shared" si="11"/>
        <v>2500</v>
      </c>
      <c r="K40" s="105">
        <f t="shared" si="11"/>
        <v>2500</v>
      </c>
      <c r="L40" s="105">
        <f t="shared" si="11"/>
        <v>2500</v>
      </c>
      <c r="M40" s="105">
        <f t="shared" si="11"/>
        <v>2500</v>
      </c>
      <c r="N40" s="105">
        <f t="shared" ref="N40" si="13">N8</f>
        <v>2500</v>
      </c>
    </row>
    <row r="41" spans="1:14">
      <c r="A41" s="104" t="s">
        <v>67</v>
      </c>
      <c r="B41" s="102">
        <f>SUM(C41:N41)</f>
        <v>89402</v>
      </c>
      <c r="C41" s="105">
        <f>SUM(C36:C40)</f>
        <v>47587</v>
      </c>
      <c r="D41" s="105">
        <f t="shared" ref="D41:M41" si="14">SUM(D36:D40)</f>
        <v>9019</v>
      </c>
      <c r="E41" s="105">
        <f t="shared" si="14"/>
        <v>10296</v>
      </c>
      <c r="F41" s="105">
        <f t="shared" si="14"/>
        <v>2500</v>
      </c>
      <c r="G41" s="105">
        <f t="shared" si="14"/>
        <v>2500</v>
      </c>
      <c r="H41" s="105">
        <f t="shared" si="14"/>
        <v>2500</v>
      </c>
      <c r="I41" s="105">
        <f t="shared" si="14"/>
        <v>2500</v>
      </c>
      <c r="J41" s="105">
        <f t="shared" si="14"/>
        <v>2500</v>
      </c>
      <c r="K41" s="105">
        <f t="shared" si="14"/>
        <v>2500</v>
      </c>
      <c r="L41" s="105">
        <f t="shared" si="14"/>
        <v>2500</v>
      </c>
      <c r="M41" s="105">
        <f t="shared" si="14"/>
        <v>2500</v>
      </c>
      <c r="N41" s="105">
        <f t="shared" ref="N41" si="15">SUM(N36:N40)</f>
        <v>2500</v>
      </c>
    </row>
    <row r="42" spans="1:14"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4">
      <c r="A43" s="104" t="s">
        <v>208</v>
      </c>
      <c r="B43" s="102">
        <f>SUM(C43:N43)</f>
        <v>116597</v>
      </c>
      <c r="C43" s="105">
        <f>C33-C41</f>
        <v>22416</v>
      </c>
      <c r="D43" s="105">
        <f t="shared" ref="D43:M43" si="16">D33-D41</f>
        <v>35541</v>
      </c>
      <c r="E43" s="105">
        <f t="shared" si="16"/>
        <v>81140</v>
      </c>
      <c r="F43" s="105">
        <f t="shared" si="16"/>
        <v>-2500</v>
      </c>
      <c r="G43" s="105">
        <f t="shared" si="16"/>
        <v>-2500</v>
      </c>
      <c r="H43" s="105">
        <f t="shared" si="16"/>
        <v>-2500</v>
      </c>
      <c r="I43" s="105">
        <f t="shared" si="16"/>
        <v>-2500</v>
      </c>
      <c r="J43" s="105">
        <f t="shared" si="16"/>
        <v>-2500</v>
      </c>
      <c r="K43" s="105">
        <f t="shared" si="16"/>
        <v>-2500</v>
      </c>
      <c r="L43" s="105">
        <f t="shared" si="16"/>
        <v>-2500</v>
      </c>
      <c r="M43" s="105">
        <f t="shared" si="16"/>
        <v>-2500</v>
      </c>
      <c r="N43" s="105">
        <f t="shared" ref="N43" si="17">N33-N41</f>
        <v>-2500</v>
      </c>
    </row>
  </sheetData>
  <pageMargins left="0.7" right="0.7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2020-04-15T07:00:00+00:00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214F8-5D53-4939-82C8-507297DFBFC6}"/>
</file>

<file path=customXml/itemProps2.xml><?xml version="1.0" encoding="utf-8"?>
<ds:datastoreItem xmlns:ds="http://schemas.openxmlformats.org/officeDocument/2006/customXml" ds:itemID="{554B1955-0994-492E-A19E-0400071B8A43}"/>
</file>

<file path=customXml/itemProps3.xml><?xml version="1.0" encoding="utf-8"?>
<ds:datastoreItem xmlns:ds="http://schemas.openxmlformats.org/officeDocument/2006/customXml" ds:itemID="{00BC5F04-33B9-4585-BD39-9D3564090A69}"/>
</file>

<file path=customXml/itemProps4.xml><?xml version="1.0" encoding="utf-8"?>
<ds:datastoreItem xmlns:ds="http://schemas.openxmlformats.org/officeDocument/2006/customXml" ds:itemID="{D70A6B04-669A-4616-B697-3AA0E8124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Input Tab</vt:lpstr>
      <vt:lpstr>WA Summary </vt:lpstr>
      <vt:lpstr>WA Monthly</vt:lpstr>
      <vt:lpstr>WA RRC</vt:lpstr>
      <vt:lpstr>Solar Select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Kaylene Schultz</cp:lastModifiedBy>
  <cp:lastPrinted>2020-03-05T15:36:38Z</cp:lastPrinted>
  <dcterms:created xsi:type="dcterms:W3CDTF">2002-02-05T19:51:48Z</dcterms:created>
  <dcterms:modified xsi:type="dcterms:W3CDTF">2020-04-14T21:09:21Z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