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0740" windowHeight="5655" activeTab="4"/>
  </bookViews>
  <sheets>
    <sheet name="ReadMe" sheetId="1" r:id="rId1"/>
    <sheet name="Inputs" sheetId="2" r:id="rId2"/>
    <sheet name="Summary" sheetId="3" r:id="rId3"/>
    <sheet name="Results" sheetId="4" r:id="rId4"/>
    <sheet name="Zones" sheetId="5" r:id="rId5"/>
    <sheet name="VZ" sheetId="6" r:id="rId6"/>
    <sheet name="Graphs" sheetId="7" r:id="rId7"/>
    <sheet name="Table" sheetId="8" r:id="rId8"/>
    <sheet name="WC_ListByZone" sheetId="9" r:id="rId9"/>
  </sheets>
  <definedNames/>
  <calcPr fullCalcOnLoad="1"/>
</workbook>
</file>

<file path=xl/sharedStrings.xml><?xml version="1.0" encoding="utf-8"?>
<sst xmlns="http://schemas.openxmlformats.org/spreadsheetml/2006/main" count="906" uniqueCount="358">
  <si>
    <t>Lines</t>
  </si>
  <si>
    <t>Cost/Line</t>
  </si>
  <si>
    <t>EVRTWAXF</t>
  </si>
  <si>
    <t>RCLDWAXB</t>
  </si>
  <si>
    <t>RCLDWAXA</t>
  </si>
  <si>
    <t>JUNTWAXA</t>
  </si>
  <si>
    <t>RCBHWAXX</t>
  </si>
  <si>
    <t>RDMDWAXA</t>
  </si>
  <si>
    <t>KRLDWAXX</t>
  </si>
  <si>
    <t>SLLKWAXA</t>
  </si>
  <si>
    <t>HLLKWAXX</t>
  </si>
  <si>
    <t>EVRTWAXC</t>
  </si>
  <si>
    <t>MRWYWAXA</t>
  </si>
  <si>
    <t>KNWCWAXA</t>
  </si>
  <si>
    <t>MYVIWAXX</t>
  </si>
  <si>
    <t>WSPTWAXA</t>
  </si>
  <si>
    <t>WNTCWAXX</t>
  </si>
  <si>
    <t>BOTHWAXB</t>
  </si>
  <si>
    <t>KNWCWAXC</t>
  </si>
  <si>
    <t>ANCRWAXX</t>
  </si>
  <si>
    <t>KNWCWAXB</t>
  </si>
  <si>
    <t>MTVRWAXX</t>
  </si>
  <si>
    <t>CAMSWAXX</t>
  </si>
  <si>
    <t>LKSTWAXA</t>
  </si>
  <si>
    <t>MONRWAXX</t>
  </si>
  <si>
    <t>OKHRWAXX</t>
  </si>
  <si>
    <t>WRLDWAXA</t>
  </si>
  <si>
    <t>SMSHWAXA</t>
  </si>
  <si>
    <t>PLMNWAXX</t>
  </si>
  <si>
    <t>DVLLWAXX</t>
  </si>
  <si>
    <t>SNHSWAXX</t>
  </si>
  <si>
    <t>EWNCWAXA</t>
  </si>
  <si>
    <t>LYNDWAXX</t>
  </si>
  <si>
    <t>FNDLWAXA</t>
  </si>
  <si>
    <t>BLANWAXB</t>
  </si>
  <si>
    <t>WSHGWAXA</t>
  </si>
  <si>
    <t>CMISWAXA</t>
  </si>
  <si>
    <t>BRBAWAXA</t>
  </si>
  <si>
    <t>LKGWWAXA</t>
  </si>
  <si>
    <t>ARTNWAXX</t>
  </si>
  <si>
    <t>CPVLWAXX</t>
  </si>
  <si>
    <t>LACNWAXX</t>
  </si>
  <si>
    <t>STWDWAXX</t>
  </si>
  <si>
    <t>CLVWWAXA</t>
  </si>
  <si>
    <t>LARLWAXX</t>
  </si>
  <si>
    <t>SULTWAXX</t>
  </si>
  <si>
    <t>WDLDWAXA</t>
  </si>
  <si>
    <t>CHLNWAXX</t>
  </si>
  <si>
    <t>CSHRWAXX</t>
  </si>
  <si>
    <t>CSTRWAXA</t>
  </si>
  <si>
    <t>SOLKWAXX</t>
  </si>
  <si>
    <t>BNCYWAXX</t>
  </si>
  <si>
    <t>LVWOWAXX</t>
  </si>
  <si>
    <t>EVSNWAXX</t>
  </si>
  <si>
    <t>NCHSWAXX</t>
  </si>
  <si>
    <t>ALGRWAXX</t>
  </si>
  <si>
    <t>GRFLWAXX</t>
  </si>
  <si>
    <t>GRLDWAXX</t>
  </si>
  <si>
    <t>SUMSWAXX</t>
  </si>
  <si>
    <t>EDSNWAXX</t>
  </si>
  <si>
    <t>CNWYWAXX</t>
  </si>
  <si>
    <t>MPFLWAXA</t>
  </si>
  <si>
    <t>MNSNWAXA</t>
  </si>
  <si>
    <t>CNCRWAXX</t>
  </si>
  <si>
    <t>QNCYWAXX</t>
  </si>
  <si>
    <t>ACMEWAXA</t>
  </si>
  <si>
    <t>HMTNWAXA</t>
  </si>
  <si>
    <t>NWPTWAXX</t>
  </si>
  <si>
    <t>LKWNWAXA</t>
  </si>
  <si>
    <t>TEKOWAXX</t>
  </si>
  <si>
    <t>BGLKWAXX</t>
  </si>
  <si>
    <t>DMNGWAXA</t>
  </si>
  <si>
    <t>BRWSWAXA</t>
  </si>
  <si>
    <t>WSRVWAXA</t>
  </si>
  <si>
    <t>BRPTWAXX</t>
  </si>
  <si>
    <t>RCFRWAXB</t>
  </si>
  <si>
    <t>PALSWAXX</t>
  </si>
  <si>
    <t>DRTNWAXX</t>
  </si>
  <si>
    <t>NILEWAXX</t>
  </si>
  <si>
    <t>RPBLWAXA</t>
  </si>
  <si>
    <t>ENTTWAXX</t>
  </si>
  <si>
    <t>FRFDWAXA</t>
  </si>
  <si>
    <t>GERGWAXX</t>
  </si>
  <si>
    <t>OKDLWAXX</t>
  </si>
  <si>
    <t>WTVLWAXA</t>
  </si>
  <si>
    <t>GRFDWAXX</t>
  </si>
  <si>
    <t>TNSKWAXA</t>
  </si>
  <si>
    <t>LATHWAXA</t>
  </si>
  <si>
    <t>ROSLWAXA</t>
  </si>
  <si>
    <t>FRTNWAXX</t>
  </si>
  <si>
    <t>SKYKWAXX</t>
  </si>
  <si>
    <t>MLDNWAXA</t>
  </si>
  <si>
    <t>THTNWAXA</t>
  </si>
  <si>
    <t>CRLWWAXA</t>
  </si>
  <si>
    <t>MNFDWAXX</t>
  </si>
  <si>
    <t>MLSNWAXA</t>
  </si>
  <si>
    <t>LOMSWAXA</t>
  </si>
  <si>
    <t>MRBLWAXX</t>
  </si>
  <si>
    <t>STPSWAXA</t>
  </si>
  <si>
    <t>Zone</t>
  </si>
  <si>
    <t xml:space="preserve">Lines x  </t>
  </si>
  <si>
    <t>Pct Lines</t>
  </si>
  <si>
    <t xml:space="preserve">Zone 1  </t>
  </si>
  <si>
    <t xml:space="preserve">Zone 2  </t>
  </si>
  <si>
    <t xml:space="preserve">Zone 3  </t>
  </si>
  <si>
    <t>Average</t>
  </si>
  <si>
    <t>EVERETT - MAIN</t>
  </si>
  <si>
    <t>KIRKLAND</t>
  </si>
  <si>
    <t>RICHMOND BEACH</t>
  </si>
  <si>
    <t>RICHLAND</t>
  </si>
  <si>
    <t>JUANITA</t>
  </si>
  <si>
    <t>HALLS LAKE</t>
  </si>
  <si>
    <t>MANOR WAY</t>
  </si>
  <si>
    <t>EVERETT - CASINO</t>
  </si>
  <si>
    <t>REDMOND</t>
  </si>
  <si>
    <t>WESTPORT</t>
  </si>
  <si>
    <t>BOTHELL</t>
  </si>
  <si>
    <t>KENNEWICK - HIGH</t>
  </si>
  <si>
    <t>SILVER LAKE</t>
  </si>
  <si>
    <t>NORTH RICHLAND</t>
  </si>
  <si>
    <t>BURLINGTON</t>
  </si>
  <si>
    <t>OAK HARBOR</t>
  </si>
  <si>
    <t>MARYSVILLE</t>
  </si>
  <si>
    <t>SNOHOMISH</t>
  </si>
  <si>
    <t>MONROE</t>
  </si>
  <si>
    <t>SEDRO WOOLLEY</t>
  </si>
  <si>
    <t>ANACORTES</t>
  </si>
  <si>
    <t>KENNEWICK - MAIN</t>
  </si>
  <si>
    <t>CLEARVIEW</t>
  </si>
  <si>
    <t>BLAINE</t>
  </si>
  <si>
    <t>CAMANO ISLAND</t>
  </si>
  <si>
    <t>STANWOOD</t>
  </si>
  <si>
    <t>SAMMAMISH</t>
  </si>
  <si>
    <t>WENATCHEE</t>
  </si>
  <si>
    <t>CAMAS</t>
  </si>
  <si>
    <t>ARLINGTON</t>
  </si>
  <si>
    <t>WASHOUGAL</t>
  </si>
  <si>
    <t>LAKE GOODWIN</t>
  </si>
  <si>
    <t>BIRCH BAY</t>
  </si>
  <si>
    <t>SULTAN</t>
  </si>
  <si>
    <t>LYNDEN</t>
  </si>
  <si>
    <t>KENNEWICK - MEADOW SPRINGS</t>
  </si>
  <si>
    <t>BIG LAKE</t>
  </si>
  <si>
    <t>DUVALL</t>
  </si>
  <si>
    <t>MOUNT VERNON</t>
  </si>
  <si>
    <t>FERNDALE</t>
  </si>
  <si>
    <t>GRANITE FALLS</t>
  </si>
  <si>
    <t>LACONNER</t>
  </si>
  <si>
    <t>GRAYLAND</t>
  </si>
  <si>
    <t>WOODLAND</t>
  </si>
  <si>
    <t>WEST RICHLAND</t>
  </si>
  <si>
    <t>CASHMERE</t>
  </si>
  <si>
    <t>LEAVENWORTH</t>
  </si>
  <si>
    <t>PULLMAN</t>
  </si>
  <si>
    <t>DARRINGTON</t>
  </si>
  <si>
    <t>COUPEVILLE</t>
  </si>
  <si>
    <t>MARBLEMOUNT</t>
  </si>
  <si>
    <t>NACHES</t>
  </si>
  <si>
    <t>EAST WENATCHEE</t>
  </si>
  <si>
    <t>LAUREL</t>
  </si>
  <si>
    <t>DEMING</t>
  </si>
  <si>
    <t>BENTON CITY</t>
  </si>
  <si>
    <t>CUSTER</t>
  </si>
  <si>
    <t>MAPLE FALLS</t>
  </si>
  <si>
    <t>ACME</t>
  </si>
  <si>
    <t>LYMAN-HAMILTON</t>
  </si>
  <si>
    <t>EVERSON</t>
  </si>
  <si>
    <t>CONWAY</t>
  </si>
  <si>
    <t>ALGER</t>
  </si>
  <si>
    <t>SUMAS</t>
  </si>
  <si>
    <t>BRIDGEPORT</t>
  </si>
  <si>
    <t>SKYKOMISH</t>
  </si>
  <si>
    <t>CHELAN</t>
  </si>
  <si>
    <t>MANSON</t>
  </si>
  <si>
    <t>SOAP LAKE</t>
  </si>
  <si>
    <t>EDISON</t>
  </si>
  <si>
    <t>WASHOUGAL RIVER</t>
  </si>
  <si>
    <t>BREWSTER</t>
  </si>
  <si>
    <t>CONCRETE</t>
  </si>
  <si>
    <t>REPUBLIC</t>
  </si>
  <si>
    <t>LAKE WENATCHEE</t>
  </si>
  <si>
    <t>PALOUSE</t>
  </si>
  <si>
    <t>ENTIAT</t>
  </si>
  <si>
    <t>QUINCY</t>
  </si>
  <si>
    <t>NEWPORT</t>
  </si>
  <si>
    <t>NILE</t>
  </si>
  <si>
    <t>STEVENS PASS</t>
  </si>
  <si>
    <t>TONASKET</t>
  </si>
  <si>
    <t>LOOMIS</t>
  </si>
  <si>
    <t>LATAH</t>
  </si>
  <si>
    <t>WATERVILLE</t>
  </si>
  <si>
    <t>CURLEW</t>
  </si>
  <si>
    <t>GARFIELD</t>
  </si>
  <si>
    <t>FAIRFIELD</t>
  </si>
  <si>
    <t>OAKSDALE</t>
  </si>
  <si>
    <t>GEORGE</t>
  </si>
  <si>
    <t>TEKOA</t>
  </si>
  <si>
    <t>MALDEN</t>
  </si>
  <si>
    <t>ROSALIA</t>
  </si>
  <si>
    <t>ROCKFORD</t>
  </si>
  <si>
    <t>MANSFIELD</t>
  </si>
  <si>
    <t>FARMINGTON</t>
  </si>
  <si>
    <t>MOLSON</t>
  </si>
  <si>
    <t>THORNTON</t>
  </si>
  <si>
    <t>CLLI</t>
  </si>
  <si>
    <t>$ / Line</t>
  </si>
  <si>
    <t>BURLWAXA</t>
  </si>
  <si>
    <t>SWLYWAXA</t>
  </si>
  <si>
    <t>*********</t>
  </si>
  <si>
    <t>Cost / Line</t>
  </si>
  <si>
    <t>Record to Results Tab ==&gt;</t>
  </si>
  <si>
    <t>Lines Times</t>
  </si>
  <si>
    <t>Squared</t>
  </si>
  <si>
    <t xml:space="preserve">Def </t>
  </si>
  <si>
    <t>Mean</t>
  </si>
  <si>
    <t xml:space="preserve"> Dev</t>
  </si>
  <si>
    <t xml:space="preserve">Zone 1 </t>
  </si>
  <si>
    <t xml:space="preserve">Zone 2 </t>
  </si>
  <si>
    <t xml:space="preserve">Zone 3 </t>
  </si>
  <si>
    <t xml:space="preserve">Zone 4 </t>
  </si>
  <si>
    <t xml:space="preserve">Zone 5 </t>
  </si>
  <si>
    <t>Lines x</t>
  </si>
  <si>
    <t xml:space="preserve">  </t>
  </si>
  <si>
    <t xml:space="preserve">Number of Wire Centers  </t>
  </si>
  <si>
    <t xml:space="preserve">Number of Zones  </t>
  </si>
  <si>
    <t xml:space="preserve"> (Max equals 5)</t>
  </si>
  <si>
    <t xml:space="preserve">Total number of Zone Configurations  </t>
  </si>
  <si>
    <t xml:space="preserve">  (Calculated, not an input.)</t>
  </si>
  <si>
    <t xml:space="preserve">For this many Wire Centers  </t>
  </si>
  <si>
    <t xml:space="preserve">  (Not an input.)</t>
  </si>
  <si>
    <t xml:space="preserve">And this may Zones  </t>
  </si>
  <si>
    <t xml:space="preserve">             ''</t>
  </si>
  <si>
    <t xml:space="preserve"> ||   </t>
  </si>
  <si>
    <t xml:space="preserve">Zone Configuration #   </t>
  </si>
  <si>
    <t xml:space="preserve">  \/   </t>
  </si>
  <si>
    <t>Write Objective Function to Results Tab?</t>
  </si>
  <si>
    <t xml:space="preserve"> ( 'Yes' or 'No' )</t>
  </si>
  <si>
    <t>Config #</t>
  </si>
  <si>
    <t>Note</t>
  </si>
  <si>
    <t xml:space="preserve">        Check Diff</t>
  </si>
  <si>
    <t xml:space="preserve"> (Max equals 99)</t>
  </si>
  <si>
    <t>Percent Lines</t>
  </si>
  <si>
    <t xml:space="preserve">State Avg  </t>
  </si>
  <si>
    <t xml:space="preserve">State Total  </t>
  </si>
  <si>
    <t xml:space="preserve">Number of WCs  </t>
  </si>
  <si>
    <t xml:space="preserve">Number of Configurations  </t>
  </si>
  <si>
    <t xml:space="preserve">Configuration Number  </t>
  </si>
  <si>
    <t xml:space="preserve">Value of Dispersion Measure  </t>
  </si>
  <si>
    <t>Minimum ==&gt;</t>
  </si>
  <si>
    <t>Config # ==&gt;</t>
  </si>
  <si>
    <t xml:space="preserve">Zones 1 to 4 </t>
  </si>
  <si>
    <t xml:space="preserve">Zones 1 to 3 </t>
  </si>
  <si>
    <t xml:space="preserve">Zones 1 to 5 </t>
  </si>
  <si>
    <t xml:space="preserve">Zones 1 &amp;  2 </t>
  </si>
  <si>
    <t xml:space="preserve"> '' </t>
  </si>
  <si>
    <t xml:space="preserve">   &lt;== Update range in these formulas to extend to row with the last Config #</t>
  </si>
  <si>
    <t xml:space="preserve">Elapsed Hours:  </t>
  </si>
  <si>
    <t xml:space="preserve">Start:  </t>
  </si>
  <si>
    <t xml:space="preserve">Stop:  </t>
  </si>
  <si>
    <t>No</t>
  </si>
  <si>
    <t>3-Zone Configuration</t>
  </si>
  <si>
    <t xml:space="preserve">Zone 4  </t>
  </si>
  <si>
    <t>5-Zone Configuration</t>
  </si>
  <si>
    <t>LoopThruWA Macro</t>
  </si>
  <si>
    <t xml:space="preserve">Produced by </t>
  </si>
  <si>
    <t xml:space="preserve">Zone 5  </t>
  </si>
  <si>
    <t># of WCs</t>
  </si>
  <si>
    <t>$ / Loop</t>
  </si>
  <si>
    <t xml:space="preserve">  ClearResultsSheet  --  This macro clears the results from the "Results" tab.</t>
  </si>
  <si>
    <t xml:space="preserve">  ClearMessages      --  This macro clears error messages from the "Inputs" tab.</t>
  </si>
  <si>
    <t>WUTC DOCKET NO. UT-023003</t>
  </si>
  <si>
    <t>RMSE Measure</t>
  </si>
  <si>
    <t>LAKE STEVENS</t>
  </si>
  <si>
    <t>CLLI Name</t>
  </si>
  <si>
    <t xml:space="preserve"> </t>
  </si>
  <si>
    <t>Graph</t>
  </si>
  <si>
    <t>Labels</t>
  </si>
  <si>
    <t>Current</t>
  </si>
  <si>
    <t xml:space="preserve">Current </t>
  </si>
  <si>
    <t xml:space="preserve">2-Wire  </t>
  </si>
  <si>
    <t xml:space="preserve">Rate   </t>
  </si>
  <si>
    <t>RMSE</t>
  </si>
  <si>
    <t xml:space="preserve">RMSE            </t>
  </si>
  <si>
    <t>WCs 82 - 99 forced to Zone 5</t>
  </si>
  <si>
    <t>WCs 82 - 99 forced to Zone 3</t>
  </si>
  <si>
    <t>81 WCs, Zone Config #</t>
  </si>
  <si>
    <t xml:space="preserve">  From Larry Bowman on 01/13/04</t>
  </si>
  <si>
    <r>
      <t xml:space="preserve">Verizon WA  </t>
    </r>
    <r>
      <rPr>
        <b/>
        <sz val="9"/>
        <rFont val="Arial"/>
        <family val="2"/>
      </rPr>
      <t>(WUTC Docket No. UT-023003)</t>
    </r>
  </si>
  <si>
    <t xml:space="preserve">Average </t>
  </si>
  <si>
    <t xml:space="preserve">Zone  </t>
  </si>
  <si>
    <t>Chk Diff on Disp Measure</t>
  </si>
  <si>
    <t>Dispersion Measure</t>
  </si>
  <si>
    <t>Based on RMSE Dispersion Measure</t>
  </si>
  <si>
    <t>TRD Direct Testimony</t>
  </si>
  <si>
    <t>Table Comparing VZ proposals -- Direct and Supplemental</t>
  </si>
  <si>
    <t>State</t>
  </si>
  <si>
    <t>TRD</t>
  </si>
  <si>
    <t>Calculated</t>
  </si>
  <si>
    <t xml:space="preserve">  &lt;== Cause for extra-large variance is unknown</t>
  </si>
  <si>
    <t xml:space="preserve">Statewide </t>
  </si>
  <si>
    <t xml:space="preserve">Averages  </t>
  </si>
  <si>
    <t>Variance</t>
  </si>
  <si>
    <t>Square Root of Squared Deviations Puts units on $ basis</t>
  </si>
  <si>
    <t xml:space="preserve">  LoopThruWA          --  This macro loops fhrough the wire centers in WA and finds the zone configurations that minimizes Root Mean</t>
  </si>
  <si>
    <t>Besides this ReadMe tab, the following tabs are found in this spreadsheet:</t>
  </si>
  <si>
    <t>The information in the Zones and VZ tabs is proprietary and is covered by the confidentiality agreement governing this proceeding.</t>
  </si>
  <si>
    <t>Results of LoopThruWA macro</t>
  </si>
  <si>
    <t xml:space="preserve">      Not for Use or Disclosure Outside the Verizon</t>
  </si>
  <si>
    <t xml:space="preserve">      Companies Except under Written Agreement</t>
  </si>
  <si>
    <t xml:space="preserve">  NOTICE - PROPRIETARY INFORMATION</t>
  </si>
  <si>
    <t>Supplemental</t>
  </si>
  <si>
    <t xml:space="preserve">   Supplemental Testimony</t>
  </si>
  <si>
    <t>Averages Calculated by This</t>
  </si>
  <si>
    <t xml:space="preserve">           Spreadsheet</t>
  </si>
  <si>
    <t xml:space="preserve">             VzLoop</t>
  </si>
  <si>
    <t>Table for 3-Zone Proposal used in the supplemental testimony</t>
  </si>
  <si>
    <t>Proposed Rate</t>
  </si>
  <si>
    <t>Number of Wire Centers</t>
  </si>
  <si>
    <t>Percent of Lines</t>
  </si>
  <si>
    <t>Table for 5-Zone Proposal used in the supplemental testimony</t>
  </si>
  <si>
    <t>Iniitial Direct Statewide Average</t>
  </si>
  <si>
    <t>Supplemental Statewide Average</t>
  </si>
  <si>
    <t>Increase</t>
  </si>
  <si>
    <t>Wire Centers - Zone 2</t>
  </si>
  <si>
    <t>Wire Centers - Zone 3</t>
  </si>
  <si>
    <t xml:space="preserve">Wire Centers - Zone 1             </t>
  </si>
  <si>
    <t>First</t>
  </si>
  <si>
    <t>Deaveraging Attachment</t>
  </si>
  <si>
    <t>Second</t>
  </si>
  <si>
    <t>Third</t>
  </si>
  <si>
    <t>Lines and  Cost per Line underlying Deaveraging Attachments in Supplemental Testimony</t>
  </si>
  <si>
    <t>This spreadsheet contains the workpapers underlying the deaveraging proposal filed with Verizon's January, 2004 supplemental testimony.</t>
  </si>
  <si>
    <t xml:space="preserve">                                   Square Error (RMSE) dispersion measure.</t>
  </si>
  <si>
    <t xml:space="preserve">  WC_ListByZone  --  Contains the table showing the wire centers in the 3-zone proposal.</t>
  </si>
  <si>
    <t xml:space="preserve">  Table                  --  Contains the embedded tables showing the 3-zone proposal and 5-zone alternative in the supplemental testimony.</t>
  </si>
  <si>
    <t xml:space="preserve">                                RMSE dispersion measure.</t>
  </si>
  <si>
    <t xml:space="preserve">  Zones                 --  Contains lines and costs used by LoopThruWA macro in columns C and D, along with the formulas used to calculated the </t>
  </si>
  <si>
    <t xml:space="preserve">  VZ                      --  Contains lines and costs underlying Verizon's 01/16/2004 supplemental filing, along with the results from the LoopThruWA macro.</t>
  </si>
  <si>
    <t xml:space="preserve">  Graphs               --  Contains the graphs used in the deaveraging attachments to the supplemental testimony.</t>
  </si>
  <si>
    <t xml:space="preserve">                                assuming that the available space is not exceeded.</t>
  </si>
  <si>
    <t xml:space="preserve">  Results               --  Contains results from the LoopThruWA macro by zone configuration if cell C2 in "Inputs" tab is populated with "Yes", </t>
  </si>
  <si>
    <t xml:space="preserve">  Summary            --  Contains summary results from the LoopThruWA macro.  The graphs in the tab are driven by the values found in this tab.</t>
  </si>
  <si>
    <t xml:space="preserve">  Inputs                  --  Contains the inputs and buttons used to run the spreadsheet's macros.  The inputs are in the yellow-shaded cells.  A  </t>
  </si>
  <si>
    <t xml:space="preserve">                                 "Yes " in cell C2 will result in the "Results" tab being populated with the RMSE dispersion measure for each possible</t>
  </si>
  <si>
    <t xml:space="preserve">                                   well-ordered zone configuration, space permitting.  The average per-line costs and the number of lines for each zone is </t>
  </si>
  <si>
    <t xml:space="preserve">                                  number of zones -- the maximum number is 5.  Cells that are shaded blue, and the zone configuration starting in C25,</t>
  </si>
  <si>
    <t xml:space="preserve">                                  are populated by the LoopThruWA macro and correspond to the configuration that minimizes the RMSE dispersion measure.</t>
  </si>
  <si>
    <t>The spreadsheet contains three macros, which are run by clicking the appropiate button in the "Inputs" tab.  These macros are:</t>
  </si>
  <si>
    <t xml:space="preserve">                                  also shown.  Cell C3 contains the number of wire centers that the deaveraging macro is to run for.  Cell C6 specifies the</t>
  </si>
  <si>
    <t>Note that it is possible to constrain the assignment of wire centers to specific zones starting at the highest cost wire center and working towards the</t>
  </si>
  <si>
    <t>lowest cost wire center.  This is done by reducing the number of wire centers given as an input in cell C3 of the "Inputs" tab and keying the desired</t>
  </si>
  <si>
    <t>remaining 4 zones.</t>
  </si>
  <si>
    <t>zones in the appropriate cells of column C in the "Inputs" tab.  For example, if it were desired to assign the last 18 wire centers to Zone 5, and to let</t>
  </si>
  <si>
    <t xml:space="preserve">the LoopThruWA specify the remaining 4 zones for the first 81 wire centers, you would enter "5" in cells C106 through C123 of the "Inputs" tab, "81" </t>
  </si>
  <si>
    <t xml:space="preserve">in cell C3 and "4" in cell C6.  The LoopthruWA macro will leave Zone 5 as specified, and process the first 81 wire centers only to determine the </t>
  </si>
  <si>
    <t xml:space="preserve">Averages Calculated by </t>
  </si>
  <si>
    <t>BURLWAXX</t>
  </si>
  <si>
    <t>SWLYWAXX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</si>
</sst>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_)"/>
    <numFmt numFmtId="168" formatCode="0.00000%"/>
    <numFmt numFmtId="169" formatCode="0.000"/>
    <numFmt numFmtId="170" formatCode="_(&quot;$&quot;* #,##0.0000_);_(&quot;$&quot;* \(#,##0.0000\);_(&quot;$&quot;* &quot;-&quot;????_);_(@_)"/>
    <numFmt numFmtId="171" formatCode="_(* #,##0.000_);_(* \(#,##0.000\);_(* &quot;-&quot;???_);_(@_)"/>
    <numFmt numFmtId="172" formatCode="#,##0.000_);\(#,##0.000\)"/>
    <numFmt numFmtId="173" formatCode="#,##0.0000000_);\(#,##0.0000000\)"/>
    <numFmt numFmtId="174" formatCode="0.00000000"/>
    <numFmt numFmtId="175" formatCode="0.000000"/>
    <numFmt numFmtId="176" formatCode="0.0000"/>
    <numFmt numFmtId="177" formatCode="0.0000000"/>
    <numFmt numFmtId="178" formatCode="m/d/yy\ h:mm\ AM/PM"/>
    <numFmt numFmtId="179" formatCode="&quot;$&quot;#,##0.00"/>
    <numFmt numFmtId="180" formatCode="&quot;$&quot;#,##0.000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z val="9"/>
      <name val="Arial"/>
      <family val="0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  <xf numFmtId="164" fontId="1" fillId="0" borderId="0" xfId="15" applyNumberFormat="1" applyFont="1" applyAlignment="1">
      <alignment horizontal="center"/>
    </xf>
    <xf numFmtId="44" fontId="1" fillId="0" borderId="0" xfId="17" applyFont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4" fontId="0" fillId="0" borderId="0" xfId="17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44" fontId="1" fillId="0" borderId="0" xfId="17" applyFont="1" applyAlignment="1">
      <alignment horizontal="left"/>
    </xf>
    <xf numFmtId="44" fontId="1" fillId="0" borderId="0" xfId="17" applyFont="1" applyAlignment="1">
      <alignment horizontal="right"/>
    </xf>
    <xf numFmtId="0" fontId="5" fillId="0" borderId="0" xfId="0" applyFont="1" applyAlignment="1">
      <alignment/>
    </xf>
    <xf numFmtId="170" fontId="0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9" fontId="0" fillId="0" borderId="6" xfId="0" applyNumberFormat="1" applyFont="1" applyBorder="1" applyAlignment="1" quotePrefix="1">
      <alignment horizontal="center"/>
    </xf>
    <xf numFmtId="0" fontId="0" fillId="0" borderId="2" xfId="0" applyBorder="1" applyAlignment="1">
      <alignment/>
    </xf>
    <xf numFmtId="44" fontId="0" fillId="0" borderId="0" xfId="17" applyBorder="1" applyAlignment="1">
      <alignment horizontal="right"/>
    </xf>
    <xf numFmtId="44" fontId="0" fillId="0" borderId="6" xfId="17" applyBorder="1" applyAlignment="1">
      <alignment horizontal="right"/>
    </xf>
    <xf numFmtId="0" fontId="0" fillId="0" borderId="7" xfId="0" applyBorder="1" applyAlignment="1">
      <alignment/>
    </xf>
    <xf numFmtId="44" fontId="0" fillId="0" borderId="1" xfId="17" applyBorder="1" applyAlignment="1">
      <alignment horizontal="right"/>
    </xf>
    <xf numFmtId="44" fontId="0" fillId="0" borderId="8" xfId="17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/>
    </xf>
    <xf numFmtId="3" fontId="5" fillId="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8" fontId="5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44" fontId="1" fillId="0" borderId="0" xfId="17" applyFont="1" applyBorder="1" applyAlignment="1">
      <alignment horizontal="left"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17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38" fontId="0" fillId="0" borderId="0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3" fontId="5" fillId="0" borderId="0" xfId="0" applyNumberFormat="1" applyFont="1" applyAlignment="1">
      <alignment horizontal="right"/>
    </xf>
    <xf numFmtId="44" fontId="0" fillId="0" borderId="0" xfId="17" applyAlignment="1">
      <alignment horizontal="center"/>
    </xf>
    <xf numFmtId="0" fontId="1" fillId="0" borderId="0" xfId="0" applyFont="1" applyBorder="1" applyAlignment="1">
      <alignment horizontal="left"/>
    </xf>
    <xf numFmtId="166" fontId="0" fillId="0" borderId="0" xfId="17" applyNumberFormat="1" applyBorder="1" applyAlignment="1">
      <alignment horizontal="right"/>
    </xf>
    <xf numFmtId="169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177" fontId="3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10" fillId="0" borderId="0" xfId="0" applyNumberFormat="1" applyFont="1" applyAlignment="1">
      <alignment horizontal="center"/>
    </xf>
    <xf numFmtId="44" fontId="0" fillId="0" borderId="0" xfId="0" applyNumberFormat="1" applyAlignment="1" quotePrefix="1">
      <alignment/>
    </xf>
    <xf numFmtId="178" fontId="1" fillId="0" borderId="0" xfId="0" applyNumberFormat="1" applyFont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44" fontId="0" fillId="0" borderId="0" xfId="0" applyNumberFormat="1" applyAlignment="1" quotePrefix="1">
      <alignment horizontal="left"/>
    </xf>
    <xf numFmtId="0" fontId="0" fillId="0" borderId="0" xfId="0" applyAlignment="1">
      <alignment horizontal="right"/>
    </xf>
    <xf numFmtId="164" fontId="1" fillId="0" borderId="0" xfId="15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Zone Definitions Based on Absolute Value of Deviations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Cost per Line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Summary!$A$70:$A$168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Summary!$I$70:$I$168</c:f>
              <c:numCache>
                <c:ptCount val="99"/>
                <c:pt idx="0">
                  <c:v>6.460010102321802</c:v>
                </c:pt>
                <c:pt idx="1">
                  <c:v>6.639201011913875</c:v>
                </c:pt>
                <c:pt idx="2">
                  <c:v>7.138282499164808</c:v>
                </c:pt>
                <c:pt idx="3">
                  <c:v>7.153029285466288</c:v>
                </c:pt>
                <c:pt idx="4">
                  <c:v>7.395881856852848</c:v>
                </c:pt>
                <c:pt idx="5">
                  <c:v>7.424770193906922</c:v>
                </c:pt>
                <c:pt idx="6">
                  <c:v>7.735389395078517</c:v>
                </c:pt>
                <c:pt idx="7">
                  <c:v>7.94771055557204</c:v>
                </c:pt>
                <c:pt idx="8">
                  <c:v>8.225901165701787</c:v>
                </c:pt>
                <c:pt idx="9">
                  <c:v>8.424752668118034</c:v>
                </c:pt>
                <c:pt idx="10">
                  <c:v>8.531192792177658</c:v>
                </c:pt>
                <c:pt idx="11">
                  <c:v>8.894023832970332</c:v>
                </c:pt>
                <c:pt idx="12">
                  <c:v>9.2145693657786</c:v>
                </c:pt>
                <c:pt idx="13">
                  <c:v>10.213101760286051</c:v>
                </c:pt>
                <c:pt idx="14">
                  <c:v>10.43380747799606</c:v>
                </c:pt>
                <c:pt idx="15">
                  <c:v>10.453334253393844</c:v>
                </c:pt>
                <c:pt idx="16">
                  <c:v>10.459880135003372</c:v>
                </c:pt>
                <c:pt idx="17">
                  <c:v>10.500402519730093</c:v>
                </c:pt>
                <c:pt idx="18">
                  <c:v>10.524583384492827</c:v>
                </c:pt>
                <c:pt idx="19">
                  <c:v>10.768036831917078</c:v>
                </c:pt>
                <c:pt idx="20">
                  <c:v>10.952630037979072</c:v>
                </c:pt>
                <c:pt idx="21">
                  <c:v>11.106450970737557</c:v>
                </c:pt>
                <c:pt idx="22">
                  <c:v>11.45793230266468</c:v>
                </c:pt>
                <c:pt idx="23">
                  <c:v>11.948875809337189</c:v>
                </c:pt>
                <c:pt idx="24">
                  <c:v>12.490154953448922</c:v>
                </c:pt>
                <c:pt idx="25">
                  <c:v>12.571366179725125</c:v>
                </c:pt>
                <c:pt idx="26">
                  <c:v>12.70800521916165</c:v>
                </c:pt>
                <c:pt idx="27">
                  <c:v>12.963149484942774</c:v>
                </c:pt>
                <c:pt idx="28">
                  <c:v>13.074572572624758</c:v>
                </c:pt>
                <c:pt idx="29">
                  <c:v>13.143882357543374</c:v>
                </c:pt>
                <c:pt idx="30">
                  <c:v>13.16910209759036</c:v>
                </c:pt>
                <c:pt idx="31">
                  <c:v>13.190319111400136</c:v>
                </c:pt>
                <c:pt idx="32">
                  <c:v>13.494710729149753</c:v>
                </c:pt>
                <c:pt idx="33">
                  <c:v>13.53255314524415</c:v>
                </c:pt>
                <c:pt idx="34">
                  <c:v>13.884192051825572</c:v>
                </c:pt>
                <c:pt idx="35">
                  <c:v>13.899521774086834</c:v>
                </c:pt>
                <c:pt idx="36">
                  <c:v>14.20729965423125</c:v>
                </c:pt>
                <c:pt idx="37">
                  <c:v>14.23776469213725</c:v>
                </c:pt>
                <c:pt idx="38">
                  <c:v>14.920538850485228</c:v>
                </c:pt>
                <c:pt idx="39">
                  <c:v>15.000466267590324</c:v>
                </c:pt>
                <c:pt idx="40">
                  <c:v>15.013721536008852</c:v>
                </c:pt>
                <c:pt idx="41">
                  <c:v>15.091109048693042</c:v>
                </c:pt>
                <c:pt idx="42">
                  <c:v>15.44571051141079</c:v>
                </c:pt>
                <c:pt idx="43">
                  <c:v>15.637647411208691</c:v>
                </c:pt>
                <c:pt idx="44">
                  <c:v>16.245652328560208</c:v>
                </c:pt>
                <c:pt idx="45">
                  <c:v>16.28779148397273</c:v>
                </c:pt>
                <c:pt idx="46">
                  <c:v>17.503118632246192</c:v>
                </c:pt>
                <c:pt idx="47">
                  <c:v>18.229502682065945</c:v>
                </c:pt>
                <c:pt idx="48">
                  <c:v>18.316240394320655</c:v>
                </c:pt>
                <c:pt idx="49">
                  <c:v>18.670023634428237</c:v>
                </c:pt>
                <c:pt idx="50">
                  <c:v>19.487827340725737</c:v>
                </c:pt>
                <c:pt idx="51">
                  <c:v>19.68067343865162</c:v>
                </c:pt>
                <c:pt idx="52">
                  <c:v>21.44271488891788</c:v>
                </c:pt>
                <c:pt idx="53">
                  <c:v>21.86533801595969</c:v>
                </c:pt>
                <c:pt idx="54">
                  <c:v>22.633498569568374</c:v>
                </c:pt>
                <c:pt idx="55">
                  <c:v>23.369829091759144</c:v>
                </c:pt>
                <c:pt idx="56">
                  <c:v>23.78747988896846</c:v>
                </c:pt>
                <c:pt idx="57">
                  <c:v>25.598516197000738</c:v>
                </c:pt>
                <c:pt idx="58">
                  <c:v>25.668142922714438</c:v>
                </c:pt>
                <c:pt idx="59">
                  <c:v>25.717295676024204</c:v>
                </c:pt>
                <c:pt idx="60">
                  <c:v>26.01586014336417</c:v>
                </c:pt>
                <c:pt idx="61">
                  <c:v>27.486517623325387</c:v>
                </c:pt>
                <c:pt idx="62">
                  <c:v>28.41149970069348</c:v>
                </c:pt>
                <c:pt idx="63">
                  <c:v>28.509898551455663</c:v>
                </c:pt>
                <c:pt idx="64">
                  <c:v>29.681740253732332</c:v>
                </c:pt>
                <c:pt idx="65">
                  <c:v>29.83745195965511</c:v>
                </c:pt>
                <c:pt idx="66">
                  <c:v>30.422377545206885</c:v>
                </c:pt>
                <c:pt idx="67">
                  <c:v>30.574068988868543</c:v>
                </c:pt>
                <c:pt idx="68">
                  <c:v>30.668676134184796</c:v>
                </c:pt>
                <c:pt idx="69">
                  <c:v>30.721341526641012</c:v>
                </c:pt>
                <c:pt idx="70">
                  <c:v>31.059738608031015</c:v>
                </c:pt>
                <c:pt idx="71">
                  <c:v>33.879976539163394</c:v>
                </c:pt>
                <c:pt idx="72">
                  <c:v>35.816419336256864</c:v>
                </c:pt>
                <c:pt idx="73">
                  <c:v>36.4802267761391</c:v>
                </c:pt>
                <c:pt idx="74">
                  <c:v>41.06031561242964</c:v>
                </c:pt>
                <c:pt idx="75">
                  <c:v>42.3714320296164</c:v>
                </c:pt>
                <c:pt idx="76">
                  <c:v>42.53349260234197</c:v>
                </c:pt>
                <c:pt idx="77">
                  <c:v>43.32677409070285</c:v>
                </c:pt>
                <c:pt idx="78">
                  <c:v>44.03762451234809</c:v>
                </c:pt>
                <c:pt idx="79">
                  <c:v>49.75587804428364</c:v>
                </c:pt>
                <c:pt idx="80">
                  <c:v>51.86840454806764</c:v>
                </c:pt>
                <c:pt idx="81">
                  <c:v>52.98188912162191</c:v>
                </c:pt>
                <c:pt idx="82">
                  <c:v>53.77538805095688</c:v>
                </c:pt>
                <c:pt idx="83">
                  <c:v>55.644866359068224</c:v>
                </c:pt>
                <c:pt idx="84">
                  <c:v>57.34483664690165</c:v>
                </c:pt>
                <c:pt idx="85">
                  <c:v>60.485087023723445</c:v>
                </c:pt>
                <c:pt idx="86">
                  <c:v>61.06018949196861</c:v>
                </c:pt>
                <c:pt idx="87">
                  <c:v>62.32683836436474</c:v>
                </c:pt>
                <c:pt idx="88">
                  <c:v>62.96199552288593</c:v>
                </c:pt>
                <c:pt idx="89">
                  <c:v>67.45556067064011</c:v>
                </c:pt>
                <c:pt idx="90">
                  <c:v>70.88175594897136</c:v>
                </c:pt>
                <c:pt idx="91">
                  <c:v>72.40068691487663</c:v>
                </c:pt>
                <c:pt idx="92">
                  <c:v>80.58771668793302</c:v>
                </c:pt>
                <c:pt idx="93">
                  <c:v>84.25178197005928</c:v>
                </c:pt>
                <c:pt idx="94">
                  <c:v>85.78152280687875</c:v>
                </c:pt>
                <c:pt idx="95">
                  <c:v>90.12480007461528</c:v>
                </c:pt>
                <c:pt idx="96">
                  <c:v>101.76710973907848</c:v>
                </c:pt>
                <c:pt idx="97">
                  <c:v>136.60479724165774</c:v>
                </c:pt>
                <c:pt idx="98">
                  <c:v>142.5467755126442</c:v>
                </c:pt>
              </c:numCache>
            </c:numRef>
          </c:val>
          <c:smooth val="0"/>
        </c:ser>
        <c:ser>
          <c:idx val="1"/>
          <c:order val="1"/>
          <c:tx>
            <c:v>Zone Average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Summary!$A$70:$A$168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99299"/>
        <c:axId val="66984520"/>
      </c:lineChart>
      <c:catAx>
        <c:axId val="6709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984520"/>
        <c:crosses val="autoZero"/>
        <c:auto val="1"/>
        <c:lblOffset val="100"/>
        <c:tickLblSkip val="1"/>
        <c:noMultiLvlLbl val="0"/>
      </c:catAx>
      <c:valAx>
        <c:axId val="66984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$/Line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09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Zone Definitions Based on Root Mean Square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Cost per Line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Summary!$A$70:$A$168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Summary!$I$70:$I$168</c:f>
              <c:numCache>
                <c:ptCount val="99"/>
                <c:pt idx="0">
                  <c:v>6.460010102321802</c:v>
                </c:pt>
                <c:pt idx="1">
                  <c:v>6.639201011913875</c:v>
                </c:pt>
                <c:pt idx="2">
                  <c:v>7.138282499164808</c:v>
                </c:pt>
                <c:pt idx="3">
                  <c:v>7.153029285466288</c:v>
                </c:pt>
                <c:pt idx="4">
                  <c:v>7.395881856852848</c:v>
                </c:pt>
                <c:pt idx="5">
                  <c:v>7.424770193906922</c:v>
                </c:pt>
                <c:pt idx="6">
                  <c:v>7.735389395078517</c:v>
                </c:pt>
                <c:pt idx="7">
                  <c:v>7.94771055557204</c:v>
                </c:pt>
                <c:pt idx="8">
                  <c:v>8.225901165701787</c:v>
                </c:pt>
                <c:pt idx="9">
                  <c:v>8.424752668118034</c:v>
                </c:pt>
                <c:pt idx="10">
                  <c:v>8.531192792177658</c:v>
                </c:pt>
                <c:pt idx="11">
                  <c:v>8.894023832970332</c:v>
                </c:pt>
                <c:pt idx="12">
                  <c:v>9.2145693657786</c:v>
                </c:pt>
                <c:pt idx="13">
                  <c:v>10.213101760286051</c:v>
                </c:pt>
                <c:pt idx="14">
                  <c:v>10.43380747799606</c:v>
                </c:pt>
                <c:pt idx="15">
                  <c:v>10.453334253393844</c:v>
                </c:pt>
                <c:pt idx="16">
                  <c:v>10.459880135003372</c:v>
                </c:pt>
                <c:pt idx="17">
                  <c:v>10.500402519730093</c:v>
                </c:pt>
                <c:pt idx="18">
                  <c:v>10.524583384492827</c:v>
                </c:pt>
                <c:pt idx="19">
                  <c:v>10.768036831917078</c:v>
                </c:pt>
                <c:pt idx="20">
                  <c:v>10.952630037979072</c:v>
                </c:pt>
                <c:pt idx="21">
                  <c:v>11.106450970737557</c:v>
                </c:pt>
                <c:pt idx="22">
                  <c:v>11.45793230266468</c:v>
                </c:pt>
                <c:pt idx="23">
                  <c:v>11.948875809337189</c:v>
                </c:pt>
                <c:pt idx="24">
                  <c:v>12.490154953448922</c:v>
                </c:pt>
                <c:pt idx="25">
                  <c:v>12.571366179725125</c:v>
                </c:pt>
                <c:pt idx="26">
                  <c:v>12.70800521916165</c:v>
                </c:pt>
                <c:pt idx="27">
                  <c:v>12.963149484942774</c:v>
                </c:pt>
                <c:pt idx="28">
                  <c:v>13.074572572624758</c:v>
                </c:pt>
                <c:pt idx="29">
                  <c:v>13.143882357543374</c:v>
                </c:pt>
                <c:pt idx="30">
                  <c:v>13.16910209759036</c:v>
                </c:pt>
                <c:pt idx="31">
                  <c:v>13.190319111400136</c:v>
                </c:pt>
                <c:pt idx="32">
                  <c:v>13.494710729149753</c:v>
                </c:pt>
                <c:pt idx="33">
                  <c:v>13.53255314524415</c:v>
                </c:pt>
                <c:pt idx="34">
                  <c:v>13.884192051825572</c:v>
                </c:pt>
                <c:pt idx="35">
                  <c:v>13.899521774086834</c:v>
                </c:pt>
                <c:pt idx="36">
                  <c:v>14.20729965423125</c:v>
                </c:pt>
                <c:pt idx="37">
                  <c:v>14.23776469213725</c:v>
                </c:pt>
                <c:pt idx="38">
                  <c:v>14.920538850485228</c:v>
                </c:pt>
                <c:pt idx="39">
                  <c:v>15.000466267590324</c:v>
                </c:pt>
                <c:pt idx="40">
                  <c:v>15.013721536008852</c:v>
                </c:pt>
                <c:pt idx="41">
                  <c:v>15.091109048693042</c:v>
                </c:pt>
                <c:pt idx="42">
                  <c:v>15.44571051141079</c:v>
                </c:pt>
                <c:pt idx="43">
                  <c:v>15.637647411208691</c:v>
                </c:pt>
                <c:pt idx="44">
                  <c:v>16.245652328560208</c:v>
                </c:pt>
                <c:pt idx="45">
                  <c:v>16.28779148397273</c:v>
                </c:pt>
                <c:pt idx="46">
                  <c:v>17.503118632246192</c:v>
                </c:pt>
                <c:pt idx="47">
                  <c:v>18.229502682065945</c:v>
                </c:pt>
                <c:pt idx="48">
                  <c:v>18.316240394320655</c:v>
                </c:pt>
                <c:pt idx="49">
                  <c:v>18.670023634428237</c:v>
                </c:pt>
                <c:pt idx="50">
                  <c:v>19.487827340725737</c:v>
                </c:pt>
                <c:pt idx="51">
                  <c:v>19.68067343865162</c:v>
                </c:pt>
                <c:pt idx="52">
                  <c:v>21.44271488891788</c:v>
                </c:pt>
                <c:pt idx="53">
                  <c:v>21.86533801595969</c:v>
                </c:pt>
                <c:pt idx="54">
                  <c:v>22.633498569568374</c:v>
                </c:pt>
                <c:pt idx="55">
                  <c:v>23.369829091759144</c:v>
                </c:pt>
                <c:pt idx="56">
                  <c:v>23.78747988896846</c:v>
                </c:pt>
                <c:pt idx="57">
                  <c:v>25.598516197000738</c:v>
                </c:pt>
                <c:pt idx="58">
                  <c:v>25.668142922714438</c:v>
                </c:pt>
                <c:pt idx="59">
                  <c:v>25.717295676024204</c:v>
                </c:pt>
                <c:pt idx="60">
                  <c:v>26.01586014336417</c:v>
                </c:pt>
                <c:pt idx="61">
                  <c:v>27.486517623325387</c:v>
                </c:pt>
                <c:pt idx="62">
                  <c:v>28.41149970069348</c:v>
                </c:pt>
                <c:pt idx="63">
                  <c:v>28.509898551455663</c:v>
                </c:pt>
                <c:pt idx="64">
                  <c:v>29.681740253732332</c:v>
                </c:pt>
                <c:pt idx="65">
                  <c:v>29.83745195965511</c:v>
                </c:pt>
                <c:pt idx="66">
                  <c:v>30.422377545206885</c:v>
                </c:pt>
                <c:pt idx="67">
                  <c:v>30.574068988868543</c:v>
                </c:pt>
                <c:pt idx="68">
                  <c:v>30.668676134184796</c:v>
                </c:pt>
                <c:pt idx="69">
                  <c:v>30.721341526641012</c:v>
                </c:pt>
                <c:pt idx="70">
                  <c:v>31.059738608031015</c:v>
                </c:pt>
                <c:pt idx="71">
                  <c:v>33.879976539163394</c:v>
                </c:pt>
                <c:pt idx="72">
                  <c:v>35.816419336256864</c:v>
                </c:pt>
                <c:pt idx="73">
                  <c:v>36.4802267761391</c:v>
                </c:pt>
                <c:pt idx="74">
                  <c:v>41.06031561242964</c:v>
                </c:pt>
                <c:pt idx="75">
                  <c:v>42.3714320296164</c:v>
                </c:pt>
                <c:pt idx="76">
                  <c:v>42.53349260234197</c:v>
                </c:pt>
                <c:pt idx="77">
                  <c:v>43.32677409070285</c:v>
                </c:pt>
                <c:pt idx="78">
                  <c:v>44.03762451234809</c:v>
                </c:pt>
                <c:pt idx="79">
                  <c:v>49.75587804428364</c:v>
                </c:pt>
                <c:pt idx="80">
                  <c:v>51.86840454806764</c:v>
                </c:pt>
                <c:pt idx="81">
                  <c:v>52.98188912162191</c:v>
                </c:pt>
                <c:pt idx="82">
                  <c:v>53.77538805095688</c:v>
                </c:pt>
                <c:pt idx="83">
                  <c:v>55.644866359068224</c:v>
                </c:pt>
                <c:pt idx="84">
                  <c:v>57.34483664690165</c:v>
                </c:pt>
                <c:pt idx="85">
                  <c:v>60.485087023723445</c:v>
                </c:pt>
                <c:pt idx="86">
                  <c:v>61.06018949196861</c:v>
                </c:pt>
                <c:pt idx="87">
                  <c:v>62.32683836436474</c:v>
                </c:pt>
                <c:pt idx="88">
                  <c:v>62.96199552288593</c:v>
                </c:pt>
                <c:pt idx="89">
                  <c:v>67.45556067064011</c:v>
                </c:pt>
                <c:pt idx="90">
                  <c:v>70.88175594897136</c:v>
                </c:pt>
                <c:pt idx="91">
                  <c:v>72.40068691487663</c:v>
                </c:pt>
                <c:pt idx="92">
                  <c:v>80.58771668793302</c:v>
                </c:pt>
                <c:pt idx="93">
                  <c:v>84.25178197005928</c:v>
                </c:pt>
                <c:pt idx="94">
                  <c:v>85.78152280687875</c:v>
                </c:pt>
                <c:pt idx="95">
                  <c:v>90.12480007461528</c:v>
                </c:pt>
                <c:pt idx="96">
                  <c:v>101.76710973907848</c:v>
                </c:pt>
                <c:pt idx="97">
                  <c:v>136.60479724165774</c:v>
                </c:pt>
                <c:pt idx="98">
                  <c:v>142.5467755126442</c:v>
                </c:pt>
              </c:numCache>
            </c:numRef>
          </c:val>
          <c:smooth val="0"/>
        </c:ser>
        <c:ser>
          <c:idx val="1"/>
          <c:order val="1"/>
          <c:tx>
            <c:v>Zone Average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Summary!$A$70:$A$168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Summary!$M$70:$M$168</c:f>
              <c:numCache>
                <c:ptCount val="99"/>
                <c:pt idx="0">
                  <c:v>8.5484</c:v>
                </c:pt>
                <c:pt idx="1">
                  <c:v>8.5484</c:v>
                </c:pt>
                <c:pt idx="2">
                  <c:v>8.5484</c:v>
                </c:pt>
                <c:pt idx="3">
                  <c:v>8.5484</c:v>
                </c:pt>
                <c:pt idx="4">
                  <c:v>8.5484</c:v>
                </c:pt>
                <c:pt idx="5">
                  <c:v>8.5484</c:v>
                </c:pt>
                <c:pt idx="6">
                  <c:v>8.5484</c:v>
                </c:pt>
                <c:pt idx="7">
                  <c:v>8.5484</c:v>
                </c:pt>
                <c:pt idx="8">
                  <c:v>8.5484</c:v>
                </c:pt>
                <c:pt idx="9">
                  <c:v>8.5484</c:v>
                </c:pt>
                <c:pt idx="10">
                  <c:v>8.5484</c:v>
                </c:pt>
                <c:pt idx="11">
                  <c:v>8.5484</c:v>
                </c:pt>
                <c:pt idx="12">
                  <c:v>8.5484</c:v>
                </c:pt>
                <c:pt idx="13">
                  <c:v>8.5484</c:v>
                </c:pt>
                <c:pt idx="14">
                  <c:v>8.5484</c:v>
                </c:pt>
                <c:pt idx="15">
                  <c:v>8.5484</c:v>
                </c:pt>
                <c:pt idx="16">
                  <c:v>8.5484</c:v>
                </c:pt>
                <c:pt idx="17">
                  <c:v>8.5484</c:v>
                </c:pt>
                <c:pt idx="18">
                  <c:v>8.5484</c:v>
                </c:pt>
                <c:pt idx="19">
                  <c:v>8.5484</c:v>
                </c:pt>
                <c:pt idx="20">
                  <c:v>8.5484</c:v>
                </c:pt>
                <c:pt idx="21">
                  <c:v>8.5484</c:v>
                </c:pt>
                <c:pt idx="22">
                  <c:v>8.5484</c:v>
                </c:pt>
                <c:pt idx="23">
                  <c:v>14.6341</c:v>
                </c:pt>
                <c:pt idx="24">
                  <c:v>14.6341</c:v>
                </c:pt>
                <c:pt idx="25">
                  <c:v>14.6341</c:v>
                </c:pt>
                <c:pt idx="26">
                  <c:v>14.6341</c:v>
                </c:pt>
                <c:pt idx="27">
                  <c:v>14.6341</c:v>
                </c:pt>
                <c:pt idx="28">
                  <c:v>14.6341</c:v>
                </c:pt>
                <c:pt idx="29">
                  <c:v>14.6341</c:v>
                </c:pt>
                <c:pt idx="30">
                  <c:v>14.6341</c:v>
                </c:pt>
                <c:pt idx="31">
                  <c:v>14.6341</c:v>
                </c:pt>
                <c:pt idx="32">
                  <c:v>14.6341</c:v>
                </c:pt>
                <c:pt idx="33">
                  <c:v>14.6341</c:v>
                </c:pt>
                <c:pt idx="34">
                  <c:v>14.6341</c:v>
                </c:pt>
                <c:pt idx="35">
                  <c:v>14.6341</c:v>
                </c:pt>
                <c:pt idx="36">
                  <c:v>14.6341</c:v>
                </c:pt>
                <c:pt idx="37">
                  <c:v>14.6341</c:v>
                </c:pt>
                <c:pt idx="38">
                  <c:v>14.6341</c:v>
                </c:pt>
                <c:pt idx="39">
                  <c:v>14.6341</c:v>
                </c:pt>
                <c:pt idx="40">
                  <c:v>14.6341</c:v>
                </c:pt>
                <c:pt idx="41">
                  <c:v>14.6341</c:v>
                </c:pt>
                <c:pt idx="42">
                  <c:v>14.6341</c:v>
                </c:pt>
                <c:pt idx="43">
                  <c:v>14.6341</c:v>
                </c:pt>
                <c:pt idx="44">
                  <c:v>14.6341</c:v>
                </c:pt>
                <c:pt idx="45">
                  <c:v>14.6341</c:v>
                </c:pt>
                <c:pt idx="46">
                  <c:v>14.6341</c:v>
                </c:pt>
                <c:pt idx="47">
                  <c:v>14.6341</c:v>
                </c:pt>
                <c:pt idx="48">
                  <c:v>14.6341</c:v>
                </c:pt>
                <c:pt idx="49">
                  <c:v>14.6341</c:v>
                </c:pt>
                <c:pt idx="50">
                  <c:v>14.6341</c:v>
                </c:pt>
                <c:pt idx="51">
                  <c:v>14.6341</c:v>
                </c:pt>
                <c:pt idx="52">
                  <c:v>14.6341</c:v>
                </c:pt>
                <c:pt idx="53">
                  <c:v>28.5481</c:v>
                </c:pt>
                <c:pt idx="54">
                  <c:v>28.5481</c:v>
                </c:pt>
                <c:pt idx="55">
                  <c:v>28.5481</c:v>
                </c:pt>
                <c:pt idx="56">
                  <c:v>28.5481</c:v>
                </c:pt>
                <c:pt idx="57">
                  <c:v>28.5481</c:v>
                </c:pt>
                <c:pt idx="58">
                  <c:v>28.5481</c:v>
                </c:pt>
                <c:pt idx="59">
                  <c:v>28.5481</c:v>
                </c:pt>
                <c:pt idx="60">
                  <c:v>28.5481</c:v>
                </c:pt>
                <c:pt idx="61">
                  <c:v>28.5481</c:v>
                </c:pt>
                <c:pt idx="62">
                  <c:v>28.5481</c:v>
                </c:pt>
                <c:pt idx="63">
                  <c:v>28.5481</c:v>
                </c:pt>
                <c:pt idx="64">
                  <c:v>28.5481</c:v>
                </c:pt>
                <c:pt idx="65">
                  <c:v>28.5481</c:v>
                </c:pt>
                <c:pt idx="66">
                  <c:v>28.5481</c:v>
                </c:pt>
                <c:pt idx="67">
                  <c:v>28.5481</c:v>
                </c:pt>
                <c:pt idx="68">
                  <c:v>28.5481</c:v>
                </c:pt>
                <c:pt idx="69">
                  <c:v>28.5481</c:v>
                </c:pt>
                <c:pt idx="70">
                  <c:v>28.5481</c:v>
                </c:pt>
                <c:pt idx="71">
                  <c:v>28.5481</c:v>
                </c:pt>
                <c:pt idx="72">
                  <c:v>28.5481</c:v>
                </c:pt>
                <c:pt idx="73">
                  <c:v>28.5481</c:v>
                </c:pt>
                <c:pt idx="74">
                  <c:v>48.9896</c:v>
                </c:pt>
                <c:pt idx="75">
                  <c:v>48.9896</c:v>
                </c:pt>
                <c:pt idx="76">
                  <c:v>48.9896</c:v>
                </c:pt>
                <c:pt idx="77">
                  <c:v>48.9896</c:v>
                </c:pt>
                <c:pt idx="78">
                  <c:v>48.9896</c:v>
                </c:pt>
                <c:pt idx="79">
                  <c:v>48.9896</c:v>
                </c:pt>
                <c:pt idx="80">
                  <c:v>48.9896</c:v>
                </c:pt>
                <c:pt idx="81">
                  <c:v>48.9896</c:v>
                </c:pt>
                <c:pt idx="82">
                  <c:v>48.9896</c:v>
                </c:pt>
                <c:pt idx="83">
                  <c:v>48.9896</c:v>
                </c:pt>
                <c:pt idx="84">
                  <c:v>48.9896</c:v>
                </c:pt>
                <c:pt idx="85">
                  <c:v>48.9896</c:v>
                </c:pt>
                <c:pt idx="86">
                  <c:v>48.9896</c:v>
                </c:pt>
                <c:pt idx="87">
                  <c:v>48.9896</c:v>
                </c:pt>
                <c:pt idx="88">
                  <c:v>48.9896</c:v>
                </c:pt>
                <c:pt idx="89">
                  <c:v>82.8298</c:v>
                </c:pt>
                <c:pt idx="90">
                  <c:v>82.8298</c:v>
                </c:pt>
                <c:pt idx="91">
                  <c:v>82.8298</c:v>
                </c:pt>
                <c:pt idx="92">
                  <c:v>82.8298</c:v>
                </c:pt>
                <c:pt idx="93">
                  <c:v>82.8298</c:v>
                </c:pt>
                <c:pt idx="94">
                  <c:v>82.8298</c:v>
                </c:pt>
                <c:pt idx="95">
                  <c:v>82.8298</c:v>
                </c:pt>
                <c:pt idx="96">
                  <c:v>82.8298</c:v>
                </c:pt>
                <c:pt idx="97">
                  <c:v>82.8298</c:v>
                </c:pt>
                <c:pt idx="98">
                  <c:v>82.8298</c:v>
                </c:pt>
              </c:numCache>
            </c:numRef>
          </c:val>
          <c:smooth val="0"/>
        </c:ser>
        <c:axId val="65492393"/>
        <c:axId val="46094742"/>
      </c:lineChart>
      <c:catAx>
        <c:axId val="654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094742"/>
        <c:crosses val="autoZero"/>
        <c:auto val="1"/>
        <c:lblOffset val="100"/>
        <c:tickLblSkip val="1"/>
        <c:noMultiLvlLbl val="0"/>
      </c:catAx>
      <c:valAx>
        <c:axId val="4609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$/Line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9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Verizon NW 2-Wire Loop Costs by Wire Center
Ranked Low to High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75"/>
          <c:w val="0.9715"/>
          <c:h val="0.81225"/>
        </c:manualLayout>
      </c:layout>
      <c:lineChart>
        <c:grouping val="standard"/>
        <c:varyColors val="1"/>
        <c:ser>
          <c:idx val="0"/>
          <c:order val="0"/>
          <c:tx>
            <c:v>VZ Cost per 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4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noFill/>
                <a:ln>
                  <a:noFill/>
                </a:ln>
              </c:spPr>
            </c:marker>
          </c:dPt>
          <c:cat>
            <c:strRef>
              <c:f>VZ!$B$8:$B$106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VZ!$H$8:$H$106</c:f>
              <c:numCache>
                <c:ptCount val="99"/>
                <c:pt idx="0">
                  <c:v>16.47485579005125</c:v>
                </c:pt>
                <c:pt idx="1">
                  <c:v>18.22756513598447</c:v>
                </c:pt>
                <c:pt idx="2">
                  <c:v>19.488323268638027</c:v>
                </c:pt>
                <c:pt idx="3">
                  <c:v>20.737672200679057</c:v>
                </c:pt>
                <c:pt idx="4">
                  <c:v>21.1716475510305</c:v>
                </c:pt>
                <c:pt idx="5">
                  <c:v>21.63932977378414</c:v>
                </c:pt>
                <c:pt idx="6">
                  <c:v>21.670671964808598</c:v>
                </c:pt>
                <c:pt idx="7">
                  <c:v>21.70566571210507</c:v>
                </c:pt>
                <c:pt idx="8">
                  <c:v>24.871064955089288</c:v>
                </c:pt>
                <c:pt idx="9">
                  <c:v>25.46394230403292</c:v>
                </c:pt>
                <c:pt idx="10">
                  <c:v>25.47788048323789</c:v>
                </c:pt>
                <c:pt idx="11">
                  <c:v>25.57909676102505</c:v>
                </c:pt>
                <c:pt idx="12">
                  <c:v>26.89973463253923</c:v>
                </c:pt>
                <c:pt idx="13">
                  <c:v>28.444638140977602</c:v>
                </c:pt>
                <c:pt idx="14">
                  <c:v>29.05078382312628</c:v>
                </c:pt>
                <c:pt idx="15">
                  <c:v>29.838187742158432</c:v>
                </c:pt>
                <c:pt idx="16">
                  <c:v>29.95986630113672</c:v>
                </c:pt>
                <c:pt idx="17">
                  <c:v>30.06642317587024</c:v>
                </c:pt>
                <c:pt idx="18">
                  <c:v>30.57853078977631</c:v>
                </c:pt>
                <c:pt idx="19">
                  <c:v>30.78699049042135</c:v>
                </c:pt>
                <c:pt idx="20">
                  <c:v>31.181996231952777</c:v>
                </c:pt>
                <c:pt idx="21">
                  <c:v>31.99834203526781</c:v>
                </c:pt>
                <c:pt idx="22">
                  <c:v>32.072205176139605</c:v>
                </c:pt>
                <c:pt idx="23">
                  <c:v>32.838539856139</c:v>
                </c:pt>
                <c:pt idx="24">
                  <c:v>33.41642632974886</c:v>
                </c:pt>
                <c:pt idx="25">
                  <c:v>33.93066503910764</c:v>
                </c:pt>
                <c:pt idx="26">
                  <c:v>33.9826546464385</c:v>
                </c:pt>
                <c:pt idx="27">
                  <c:v>34.02950885398476</c:v>
                </c:pt>
                <c:pt idx="28">
                  <c:v>36.40437805525147</c:v>
                </c:pt>
                <c:pt idx="29">
                  <c:v>36.446837580738496</c:v>
                </c:pt>
                <c:pt idx="30">
                  <c:v>36.990014182434024</c:v>
                </c:pt>
                <c:pt idx="31">
                  <c:v>37.5700872455501</c:v>
                </c:pt>
                <c:pt idx="32">
                  <c:v>38.78164182388683</c:v>
                </c:pt>
                <c:pt idx="33">
                  <c:v>38.9896618605224</c:v>
                </c:pt>
                <c:pt idx="34">
                  <c:v>39.2484894889525</c:v>
                </c:pt>
                <c:pt idx="35">
                  <c:v>39.27186873298749</c:v>
                </c:pt>
                <c:pt idx="36">
                  <c:v>39.41375807955686</c:v>
                </c:pt>
                <c:pt idx="37">
                  <c:v>40.08795406032867</c:v>
                </c:pt>
                <c:pt idx="38">
                  <c:v>40.28076084264284</c:v>
                </c:pt>
                <c:pt idx="39">
                  <c:v>40.302968493016074</c:v>
                </c:pt>
                <c:pt idx="40">
                  <c:v>40.79676096062718</c:v>
                </c:pt>
                <c:pt idx="41">
                  <c:v>41.439108602882726</c:v>
                </c:pt>
                <c:pt idx="42">
                  <c:v>41.84343745135447</c:v>
                </c:pt>
                <c:pt idx="43">
                  <c:v>42.78832297970569</c:v>
                </c:pt>
                <c:pt idx="44">
                  <c:v>46.161843780670196</c:v>
                </c:pt>
                <c:pt idx="45">
                  <c:v>46.493503823563685</c:v>
                </c:pt>
                <c:pt idx="46">
                  <c:v>46.50615199631643</c:v>
                </c:pt>
                <c:pt idx="47">
                  <c:v>47.08192095025451</c:v>
                </c:pt>
                <c:pt idx="48">
                  <c:v>47.90375636390601</c:v>
                </c:pt>
                <c:pt idx="49">
                  <c:v>48.69726674550343</c:v>
                </c:pt>
                <c:pt idx="50">
                  <c:v>49.27497577631284</c:v>
                </c:pt>
                <c:pt idx="51">
                  <c:v>50.1214031073456</c:v>
                </c:pt>
                <c:pt idx="52">
                  <c:v>50.182892449143424</c:v>
                </c:pt>
                <c:pt idx="53">
                  <c:v>51.19276654087844</c:v>
                </c:pt>
                <c:pt idx="54">
                  <c:v>52.02546543715761</c:v>
                </c:pt>
                <c:pt idx="55">
                  <c:v>53.48236892174562</c:v>
                </c:pt>
                <c:pt idx="56">
                  <c:v>55.56377394900173</c:v>
                </c:pt>
                <c:pt idx="57">
                  <c:v>56.45575895706193</c:v>
                </c:pt>
                <c:pt idx="58">
                  <c:v>57.85294258622469</c:v>
                </c:pt>
                <c:pt idx="59">
                  <c:v>57.99985224418301</c:v>
                </c:pt>
                <c:pt idx="60">
                  <c:v>59.670681480104605</c:v>
                </c:pt>
                <c:pt idx="61">
                  <c:v>61.981994008050776</c:v>
                </c:pt>
                <c:pt idx="62">
                  <c:v>66.02227335173579</c:v>
                </c:pt>
                <c:pt idx="63">
                  <c:v>67.56343293357544</c:v>
                </c:pt>
                <c:pt idx="64">
                  <c:v>68.37272597136261</c:v>
                </c:pt>
                <c:pt idx="65">
                  <c:v>70.26934905362688</c:v>
                </c:pt>
                <c:pt idx="66">
                  <c:v>70.88727672697706</c:v>
                </c:pt>
                <c:pt idx="67">
                  <c:v>74.11883294489529</c:v>
                </c:pt>
                <c:pt idx="68">
                  <c:v>74.20207666972384</c:v>
                </c:pt>
                <c:pt idx="69">
                  <c:v>76.28102760364392</c:v>
                </c:pt>
                <c:pt idx="70">
                  <c:v>79.46366244289938</c:v>
                </c:pt>
                <c:pt idx="71">
                  <c:v>79.9641000364903</c:v>
                </c:pt>
                <c:pt idx="72">
                  <c:v>89.17846010950149</c:v>
                </c:pt>
                <c:pt idx="73">
                  <c:v>90.64489923484908</c:v>
                </c:pt>
                <c:pt idx="74">
                  <c:v>95.62549939737593</c:v>
                </c:pt>
                <c:pt idx="75">
                  <c:v>107.23855183620836</c:v>
                </c:pt>
                <c:pt idx="76">
                  <c:v>107.36007953471483</c:v>
                </c:pt>
                <c:pt idx="77">
                  <c:v>109.03315570322755</c:v>
                </c:pt>
                <c:pt idx="78">
                  <c:v>110.05208279611145</c:v>
                </c:pt>
                <c:pt idx="79">
                  <c:v>111.9192009443897</c:v>
                </c:pt>
                <c:pt idx="80">
                  <c:v>113.93332797168904</c:v>
                </c:pt>
                <c:pt idx="81">
                  <c:v>134.11233726568275</c:v>
                </c:pt>
                <c:pt idx="82">
                  <c:v>164.33236783473762</c:v>
                </c:pt>
                <c:pt idx="83">
                  <c:v>167.67411109917288</c:v>
                </c:pt>
                <c:pt idx="84">
                  <c:v>169.96684948557152</c:v>
                </c:pt>
                <c:pt idx="85">
                  <c:v>173.1682424008042</c:v>
                </c:pt>
                <c:pt idx="86">
                  <c:v>173.86098680562822</c:v>
                </c:pt>
                <c:pt idx="87">
                  <c:v>176.2631165067732</c:v>
                </c:pt>
                <c:pt idx="88">
                  <c:v>183.5976909591464</c:v>
                </c:pt>
                <c:pt idx="89">
                  <c:v>201.5004804489592</c:v>
                </c:pt>
                <c:pt idx="90">
                  <c:v>205.6580769849338</c:v>
                </c:pt>
                <c:pt idx="91">
                  <c:v>206.80964962892432</c:v>
                </c:pt>
                <c:pt idx="92">
                  <c:v>208.74861782374927</c:v>
                </c:pt>
                <c:pt idx="93">
                  <c:v>227.64820067000568</c:v>
                </c:pt>
                <c:pt idx="94">
                  <c:v>258.7980958624304</c:v>
                </c:pt>
                <c:pt idx="95">
                  <c:v>285.8793119888523</c:v>
                </c:pt>
                <c:pt idx="96">
                  <c:v>294.2537658441844</c:v>
                </c:pt>
                <c:pt idx="97">
                  <c:v>317.45685230279275</c:v>
                </c:pt>
                <c:pt idx="98">
                  <c:v>448.11009377536345</c:v>
                </c:pt>
              </c:numCache>
            </c:numRef>
          </c:val>
          <c:smooth val="0"/>
        </c:ser>
        <c:marker val="1"/>
        <c:axId val="62360735"/>
        <c:axId val="5383188"/>
      </c:lineChart>
      <c:catAx>
        <c:axId val="6236073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3188"/>
        <c:crosses val="autoZero"/>
        <c:auto val="0"/>
        <c:lblOffset val="100"/>
        <c:tickLblSkip val="1"/>
        <c:noMultiLvlLbl val="0"/>
      </c:catAx>
      <c:valAx>
        <c:axId val="5383188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60735"/>
        <c:crossesAt val="1"/>
        <c:crossBetween val="between"/>
        <c:dispUnits/>
      </c:valAx>
      <c:spPr>
        <a:solidFill>
          <a:srgbClr val="CC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Verizon NW 2-Wire Loop Costs by Wire Center
Constrained 3-Zone Proposal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75"/>
          <c:w val="0.971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v>RMSE Measure, 3 Zones, Constrained</c:v>
          </c:tx>
          <c:spPr>
            <a:solidFill>
              <a:srgbClr val="660066"/>
            </a:soli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VZ!$B$8:$B$106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VZ!$M$8:$M$106</c:f>
              <c:numCache>
                <c:ptCount val="99"/>
                <c:pt idx="0">
                  <c:v>28.762671548562892</c:v>
                </c:pt>
                <c:pt idx="1">
                  <c:v>28.762671548562892</c:v>
                </c:pt>
                <c:pt idx="2">
                  <c:v>28.762671548562892</c:v>
                </c:pt>
                <c:pt idx="3">
                  <c:v>28.762671548562892</c:v>
                </c:pt>
                <c:pt idx="4">
                  <c:v>28.762671548562892</c:v>
                </c:pt>
                <c:pt idx="5">
                  <c:v>28.762671548562892</c:v>
                </c:pt>
                <c:pt idx="6">
                  <c:v>28.762671548562892</c:v>
                </c:pt>
                <c:pt idx="7">
                  <c:v>28.762671548562892</c:v>
                </c:pt>
                <c:pt idx="8">
                  <c:v>28.762671548562892</c:v>
                </c:pt>
                <c:pt idx="9">
                  <c:v>28.762671548562892</c:v>
                </c:pt>
                <c:pt idx="10">
                  <c:v>28.762671548562892</c:v>
                </c:pt>
                <c:pt idx="11">
                  <c:v>28.762671548562892</c:v>
                </c:pt>
                <c:pt idx="12">
                  <c:v>28.762671548562892</c:v>
                </c:pt>
                <c:pt idx="13">
                  <c:v>28.762671548562892</c:v>
                </c:pt>
                <c:pt idx="14">
                  <c:v>28.762671548562892</c:v>
                </c:pt>
                <c:pt idx="15">
                  <c:v>28.762671548562892</c:v>
                </c:pt>
                <c:pt idx="16">
                  <c:v>28.762671548562892</c:v>
                </c:pt>
                <c:pt idx="17">
                  <c:v>28.762671548562892</c:v>
                </c:pt>
                <c:pt idx="18">
                  <c:v>28.762671548562892</c:v>
                </c:pt>
                <c:pt idx="19">
                  <c:v>28.762671548562892</c:v>
                </c:pt>
                <c:pt idx="20">
                  <c:v>28.762671548562892</c:v>
                </c:pt>
                <c:pt idx="21">
                  <c:v>28.762671548562892</c:v>
                </c:pt>
                <c:pt idx="22">
                  <c:v>28.762671548562892</c:v>
                </c:pt>
                <c:pt idx="23">
                  <c:v>28.762671548562892</c:v>
                </c:pt>
                <c:pt idx="24">
                  <c:v>28.762671548562892</c:v>
                </c:pt>
                <c:pt idx="25">
                  <c:v>28.762671548562892</c:v>
                </c:pt>
                <c:pt idx="26">
                  <c:v>28.762671548562892</c:v>
                </c:pt>
                <c:pt idx="27">
                  <c:v>28.762671548562892</c:v>
                </c:pt>
                <c:pt idx="28">
                  <c:v>28.762671548562892</c:v>
                </c:pt>
                <c:pt idx="29">
                  <c:v>28.762671548562892</c:v>
                </c:pt>
                <c:pt idx="30">
                  <c:v>28.762671548562892</c:v>
                </c:pt>
                <c:pt idx="31">
                  <c:v>28.762671548562892</c:v>
                </c:pt>
                <c:pt idx="32">
                  <c:v>28.762671548562892</c:v>
                </c:pt>
                <c:pt idx="33">
                  <c:v>28.762671548562892</c:v>
                </c:pt>
                <c:pt idx="34">
                  <c:v>28.762671548562892</c:v>
                </c:pt>
                <c:pt idx="35">
                  <c:v>28.762671548562892</c:v>
                </c:pt>
                <c:pt idx="36">
                  <c:v>28.762671548562892</c:v>
                </c:pt>
                <c:pt idx="37">
                  <c:v>28.762671548562892</c:v>
                </c:pt>
                <c:pt idx="38">
                  <c:v>28.762671548562892</c:v>
                </c:pt>
                <c:pt idx="39">
                  <c:v>28.762671548562892</c:v>
                </c:pt>
                <c:pt idx="40">
                  <c:v>28.762671548562892</c:v>
                </c:pt>
                <c:pt idx="41">
                  <c:v>28.762671548562892</c:v>
                </c:pt>
                <c:pt idx="42">
                  <c:v>28.762671548562892</c:v>
                </c:pt>
                <c:pt idx="43">
                  <c:v>28.762671548562892</c:v>
                </c:pt>
                <c:pt idx="44">
                  <c:v>28.762671548562892</c:v>
                </c:pt>
                <c:pt idx="45">
                  <c:v>28.762671548562892</c:v>
                </c:pt>
                <c:pt idx="46">
                  <c:v>28.762671548562892</c:v>
                </c:pt>
                <c:pt idx="47">
                  <c:v>28.762671548562892</c:v>
                </c:pt>
                <c:pt idx="48">
                  <c:v>28.762671548562892</c:v>
                </c:pt>
                <c:pt idx="49">
                  <c:v>28.762671548562892</c:v>
                </c:pt>
                <c:pt idx="50">
                  <c:v>28.762671548562892</c:v>
                </c:pt>
                <c:pt idx="51">
                  <c:v>28.762671548562892</c:v>
                </c:pt>
                <c:pt idx="52">
                  <c:v>28.762671548562892</c:v>
                </c:pt>
                <c:pt idx="53">
                  <c:v>28.762671548562892</c:v>
                </c:pt>
                <c:pt idx="54">
                  <c:v>28.762671548562892</c:v>
                </c:pt>
                <c:pt idx="55">
                  <c:v>28.762671548562892</c:v>
                </c:pt>
                <c:pt idx="56">
                  <c:v>80.84968309376009</c:v>
                </c:pt>
                <c:pt idx="57">
                  <c:v>80.84968309376009</c:v>
                </c:pt>
                <c:pt idx="58">
                  <c:v>80.84968309376009</c:v>
                </c:pt>
                <c:pt idx="59">
                  <c:v>80.84968309376009</c:v>
                </c:pt>
                <c:pt idx="60">
                  <c:v>80.84968309376009</c:v>
                </c:pt>
                <c:pt idx="61">
                  <c:v>80.84968309376009</c:v>
                </c:pt>
                <c:pt idx="62">
                  <c:v>80.84968309376009</c:v>
                </c:pt>
                <c:pt idx="63">
                  <c:v>80.84968309376009</c:v>
                </c:pt>
                <c:pt idx="64">
                  <c:v>80.84968309376009</c:v>
                </c:pt>
                <c:pt idx="65">
                  <c:v>80.84968309376009</c:v>
                </c:pt>
                <c:pt idx="66">
                  <c:v>80.84968309376009</c:v>
                </c:pt>
                <c:pt idx="67">
                  <c:v>80.84968309376009</c:v>
                </c:pt>
                <c:pt idx="68">
                  <c:v>80.84968309376009</c:v>
                </c:pt>
                <c:pt idx="69">
                  <c:v>80.84968309376009</c:v>
                </c:pt>
                <c:pt idx="70">
                  <c:v>80.84968309376009</c:v>
                </c:pt>
                <c:pt idx="71">
                  <c:v>80.84968309376009</c:v>
                </c:pt>
                <c:pt idx="72">
                  <c:v>80.84968309376009</c:v>
                </c:pt>
                <c:pt idx="73">
                  <c:v>80.84968309376009</c:v>
                </c:pt>
                <c:pt idx="74">
                  <c:v>80.84968309376009</c:v>
                </c:pt>
                <c:pt idx="75">
                  <c:v>80.84968309376009</c:v>
                </c:pt>
                <c:pt idx="76">
                  <c:v>80.84968309376009</c:v>
                </c:pt>
                <c:pt idx="77">
                  <c:v>80.84968309376009</c:v>
                </c:pt>
                <c:pt idx="78">
                  <c:v>80.84968309376009</c:v>
                </c:pt>
                <c:pt idx="79">
                  <c:v>80.84968309376009</c:v>
                </c:pt>
                <c:pt idx="80">
                  <c:v>80.84968309376009</c:v>
                </c:pt>
                <c:pt idx="81">
                  <c:v>194.34828367440136</c:v>
                </c:pt>
                <c:pt idx="82">
                  <c:v>194.34828367440136</c:v>
                </c:pt>
                <c:pt idx="83">
                  <c:v>194.34828367440136</c:v>
                </c:pt>
                <c:pt idx="84">
                  <c:v>194.34828367440136</c:v>
                </c:pt>
                <c:pt idx="85">
                  <c:v>194.34828367440136</c:v>
                </c:pt>
                <c:pt idx="86">
                  <c:v>194.34828367440136</c:v>
                </c:pt>
                <c:pt idx="87">
                  <c:v>194.34828367440136</c:v>
                </c:pt>
                <c:pt idx="88">
                  <c:v>194.34828367440136</c:v>
                </c:pt>
                <c:pt idx="89">
                  <c:v>194.34828367440136</c:v>
                </c:pt>
                <c:pt idx="90">
                  <c:v>194.34828367440136</c:v>
                </c:pt>
                <c:pt idx="91">
                  <c:v>194.34828367440136</c:v>
                </c:pt>
                <c:pt idx="92">
                  <c:v>194.34828367440136</c:v>
                </c:pt>
                <c:pt idx="93">
                  <c:v>194.34828367440136</c:v>
                </c:pt>
                <c:pt idx="94">
                  <c:v>194.34828367440136</c:v>
                </c:pt>
                <c:pt idx="95">
                  <c:v>194.34828367440136</c:v>
                </c:pt>
                <c:pt idx="96">
                  <c:v>194.34828367440136</c:v>
                </c:pt>
                <c:pt idx="97">
                  <c:v>194.34828367440136</c:v>
                </c:pt>
                <c:pt idx="98">
                  <c:v>194.34828367440136</c:v>
                </c:pt>
              </c:numCache>
            </c:numRef>
          </c:val>
        </c:ser>
        <c:axId val="2872581"/>
        <c:axId val="37343554"/>
      </c:barChart>
      <c:lineChart>
        <c:grouping val="standard"/>
        <c:varyColors val="1"/>
        <c:ser>
          <c:idx val="0"/>
          <c:order val="1"/>
          <c:tx>
            <c:v>VZ Cost per 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4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noFill/>
                <a:ln>
                  <a:noFill/>
                </a:ln>
              </c:spPr>
            </c:marker>
          </c:dPt>
          <c:cat>
            <c:strRef>
              <c:f>VZ!$B$8:$B$106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VZ!$H$8:$H$106</c:f>
              <c:numCache>
                <c:ptCount val="99"/>
                <c:pt idx="0">
                  <c:v>16.47485579005125</c:v>
                </c:pt>
                <c:pt idx="1">
                  <c:v>18.22756513598447</c:v>
                </c:pt>
                <c:pt idx="2">
                  <c:v>19.488323268638027</c:v>
                </c:pt>
                <c:pt idx="3">
                  <c:v>20.737672200679057</c:v>
                </c:pt>
                <c:pt idx="4">
                  <c:v>21.1716475510305</c:v>
                </c:pt>
                <c:pt idx="5">
                  <c:v>21.63932977378414</c:v>
                </c:pt>
                <c:pt idx="6">
                  <c:v>21.670671964808598</c:v>
                </c:pt>
                <c:pt idx="7">
                  <c:v>21.70566571210507</c:v>
                </c:pt>
                <c:pt idx="8">
                  <c:v>24.871064955089288</c:v>
                </c:pt>
                <c:pt idx="9">
                  <c:v>25.46394230403292</c:v>
                </c:pt>
                <c:pt idx="10">
                  <c:v>25.47788048323789</c:v>
                </c:pt>
                <c:pt idx="11">
                  <c:v>25.57909676102505</c:v>
                </c:pt>
                <c:pt idx="12">
                  <c:v>26.89973463253923</c:v>
                </c:pt>
                <c:pt idx="13">
                  <c:v>28.444638140977602</c:v>
                </c:pt>
                <c:pt idx="14">
                  <c:v>29.05078382312628</c:v>
                </c:pt>
                <c:pt idx="15">
                  <c:v>29.838187742158432</c:v>
                </c:pt>
                <c:pt idx="16">
                  <c:v>29.95986630113672</c:v>
                </c:pt>
                <c:pt idx="17">
                  <c:v>30.06642317587024</c:v>
                </c:pt>
                <c:pt idx="18">
                  <c:v>30.57853078977631</c:v>
                </c:pt>
                <c:pt idx="19">
                  <c:v>30.78699049042135</c:v>
                </c:pt>
                <c:pt idx="20">
                  <c:v>31.181996231952777</c:v>
                </c:pt>
                <c:pt idx="21">
                  <c:v>31.99834203526781</c:v>
                </c:pt>
                <c:pt idx="22">
                  <c:v>32.072205176139605</c:v>
                </c:pt>
                <c:pt idx="23">
                  <c:v>32.838539856139</c:v>
                </c:pt>
                <c:pt idx="24">
                  <c:v>33.41642632974886</c:v>
                </c:pt>
                <c:pt idx="25">
                  <c:v>33.93066503910764</c:v>
                </c:pt>
                <c:pt idx="26">
                  <c:v>33.9826546464385</c:v>
                </c:pt>
                <c:pt idx="27">
                  <c:v>34.02950885398476</c:v>
                </c:pt>
                <c:pt idx="28">
                  <c:v>36.40437805525147</c:v>
                </c:pt>
                <c:pt idx="29">
                  <c:v>36.446837580738496</c:v>
                </c:pt>
                <c:pt idx="30">
                  <c:v>36.990014182434024</c:v>
                </c:pt>
                <c:pt idx="31">
                  <c:v>37.5700872455501</c:v>
                </c:pt>
                <c:pt idx="32">
                  <c:v>38.78164182388683</c:v>
                </c:pt>
                <c:pt idx="33">
                  <c:v>38.9896618605224</c:v>
                </c:pt>
                <c:pt idx="34">
                  <c:v>39.2484894889525</c:v>
                </c:pt>
                <c:pt idx="35">
                  <c:v>39.27186873298749</c:v>
                </c:pt>
                <c:pt idx="36">
                  <c:v>39.41375807955686</c:v>
                </c:pt>
                <c:pt idx="37">
                  <c:v>40.08795406032867</c:v>
                </c:pt>
                <c:pt idx="38">
                  <c:v>40.28076084264284</c:v>
                </c:pt>
                <c:pt idx="39">
                  <c:v>40.302968493016074</c:v>
                </c:pt>
                <c:pt idx="40">
                  <c:v>40.79676096062718</c:v>
                </c:pt>
                <c:pt idx="41">
                  <c:v>41.439108602882726</c:v>
                </c:pt>
                <c:pt idx="42">
                  <c:v>41.84343745135447</c:v>
                </c:pt>
                <c:pt idx="43">
                  <c:v>42.78832297970569</c:v>
                </c:pt>
                <c:pt idx="44">
                  <c:v>46.161843780670196</c:v>
                </c:pt>
                <c:pt idx="45">
                  <c:v>46.493503823563685</c:v>
                </c:pt>
                <c:pt idx="46">
                  <c:v>46.50615199631643</c:v>
                </c:pt>
                <c:pt idx="47">
                  <c:v>47.08192095025451</c:v>
                </c:pt>
                <c:pt idx="48">
                  <c:v>47.90375636390601</c:v>
                </c:pt>
                <c:pt idx="49">
                  <c:v>48.69726674550343</c:v>
                </c:pt>
                <c:pt idx="50">
                  <c:v>49.27497577631284</c:v>
                </c:pt>
                <c:pt idx="51">
                  <c:v>50.1214031073456</c:v>
                </c:pt>
                <c:pt idx="52">
                  <c:v>50.182892449143424</c:v>
                </c:pt>
                <c:pt idx="53">
                  <c:v>51.19276654087844</c:v>
                </c:pt>
                <c:pt idx="54">
                  <c:v>52.02546543715761</c:v>
                </c:pt>
                <c:pt idx="55">
                  <c:v>53.48236892174562</c:v>
                </c:pt>
                <c:pt idx="56">
                  <c:v>55.56377394900173</c:v>
                </c:pt>
                <c:pt idx="57">
                  <c:v>56.45575895706193</c:v>
                </c:pt>
                <c:pt idx="58">
                  <c:v>57.85294258622469</c:v>
                </c:pt>
                <c:pt idx="59">
                  <c:v>57.99985224418301</c:v>
                </c:pt>
                <c:pt idx="60">
                  <c:v>59.670681480104605</c:v>
                </c:pt>
                <c:pt idx="61">
                  <c:v>61.981994008050776</c:v>
                </c:pt>
                <c:pt idx="62">
                  <c:v>66.02227335173579</c:v>
                </c:pt>
                <c:pt idx="63">
                  <c:v>67.56343293357544</c:v>
                </c:pt>
                <c:pt idx="64">
                  <c:v>68.37272597136261</c:v>
                </c:pt>
                <c:pt idx="65">
                  <c:v>70.26934905362688</c:v>
                </c:pt>
                <c:pt idx="66">
                  <c:v>70.88727672697706</c:v>
                </c:pt>
                <c:pt idx="67">
                  <c:v>74.11883294489529</c:v>
                </c:pt>
                <c:pt idx="68">
                  <c:v>74.20207666972384</c:v>
                </c:pt>
                <c:pt idx="69">
                  <c:v>76.28102760364392</c:v>
                </c:pt>
                <c:pt idx="70">
                  <c:v>79.46366244289938</c:v>
                </c:pt>
                <c:pt idx="71">
                  <c:v>79.9641000364903</c:v>
                </c:pt>
                <c:pt idx="72">
                  <c:v>89.17846010950149</c:v>
                </c:pt>
                <c:pt idx="73">
                  <c:v>90.64489923484908</c:v>
                </c:pt>
                <c:pt idx="74">
                  <c:v>95.62549939737593</c:v>
                </c:pt>
                <c:pt idx="75">
                  <c:v>107.23855183620836</c:v>
                </c:pt>
                <c:pt idx="76">
                  <c:v>107.36007953471483</c:v>
                </c:pt>
                <c:pt idx="77">
                  <c:v>109.03315570322755</c:v>
                </c:pt>
                <c:pt idx="78">
                  <c:v>110.05208279611145</c:v>
                </c:pt>
                <c:pt idx="79">
                  <c:v>111.9192009443897</c:v>
                </c:pt>
                <c:pt idx="80">
                  <c:v>113.93332797168904</c:v>
                </c:pt>
                <c:pt idx="81">
                  <c:v>134.11233726568275</c:v>
                </c:pt>
                <c:pt idx="82">
                  <c:v>164.33236783473762</c:v>
                </c:pt>
                <c:pt idx="83">
                  <c:v>167.67411109917288</c:v>
                </c:pt>
                <c:pt idx="84">
                  <c:v>169.96684948557152</c:v>
                </c:pt>
                <c:pt idx="85">
                  <c:v>173.1682424008042</c:v>
                </c:pt>
                <c:pt idx="86">
                  <c:v>173.86098680562822</c:v>
                </c:pt>
                <c:pt idx="87">
                  <c:v>176.2631165067732</c:v>
                </c:pt>
                <c:pt idx="88">
                  <c:v>183.5976909591464</c:v>
                </c:pt>
                <c:pt idx="89">
                  <c:v>201.5004804489592</c:v>
                </c:pt>
                <c:pt idx="90">
                  <c:v>205.6580769849338</c:v>
                </c:pt>
                <c:pt idx="91">
                  <c:v>206.80964962892432</c:v>
                </c:pt>
                <c:pt idx="92">
                  <c:v>208.74861782374927</c:v>
                </c:pt>
                <c:pt idx="93">
                  <c:v>227.64820067000568</c:v>
                </c:pt>
                <c:pt idx="94">
                  <c:v>258.7980958624304</c:v>
                </c:pt>
                <c:pt idx="95">
                  <c:v>285.8793119888523</c:v>
                </c:pt>
                <c:pt idx="96">
                  <c:v>294.2537658441844</c:v>
                </c:pt>
                <c:pt idx="97">
                  <c:v>317.45685230279275</c:v>
                </c:pt>
                <c:pt idx="98">
                  <c:v>448.11009377536345</c:v>
                </c:pt>
              </c:numCache>
            </c:numRef>
          </c:val>
          <c:smooth val="0"/>
        </c:ser>
        <c:axId val="15704155"/>
        <c:axId val="2827424"/>
      </c:lineChart>
      <c:catAx>
        <c:axId val="2872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343554"/>
        <c:crosses val="autoZero"/>
        <c:auto val="0"/>
        <c:lblOffset val="100"/>
        <c:tickLblSkip val="1"/>
        <c:noMultiLvlLbl val="0"/>
      </c:catAx>
      <c:valAx>
        <c:axId val="37343554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2581"/>
        <c:crossesAt val="1"/>
        <c:crossBetween val="between"/>
        <c:dispUnits/>
      </c:valAx>
      <c:catAx>
        <c:axId val="15704155"/>
        <c:scaling>
          <c:orientation val="minMax"/>
        </c:scaling>
        <c:axPos val="b"/>
        <c:delete val="1"/>
        <c:majorTickMark val="in"/>
        <c:minorTickMark val="none"/>
        <c:tickLblPos val="nextTo"/>
        <c:crossAx val="2827424"/>
        <c:crosses val="autoZero"/>
        <c:auto val="0"/>
        <c:lblOffset val="100"/>
        <c:tickLblSkip val="1"/>
        <c:noMultiLvlLbl val="0"/>
      </c:catAx>
      <c:valAx>
        <c:axId val="2827424"/>
        <c:scaling>
          <c:orientation val="minMax"/>
        </c:scaling>
        <c:axPos val="l"/>
        <c:delete val="1"/>
        <c:majorTickMark val="in"/>
        <c:minorTickMark val="none"/>
        <c:tickLblPos val="nextTo"/>
        <c:crossAx val="15704155"/>
        <c:crossesAt val="1"/>
        <c:crossBetween val="between"/>
        <c:dispUnits/>
      </c:valAx>
      <c:spPr>
        <a:solidFill>
          <a:srgbClr val="CC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Verizon NW 2-Wire Loop Costs by Wire Center
Constrained 5-Zone Proposal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675"/>
          <c:w val="0.9715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v>RMSE Measure, 5 Zones, Constrained</c:v>
          </c:tx>
          <c:spPr>
            <a:solidFill>
              <a:srgbClr val="660066"/>
            </a:soli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VZ!$B$8:$B$106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VZ!$S$8:$S$106</c:f>
              <c:numCache>
                <c:ptCount val="99"/>
                <c:pt idx="0">
                  <c:v>22.947209070445627</c:v>
                </c:pt>
                <c:pt idx="1">
                  <c:v>22.947209070445627</c:v>
                </c:pt>
                <c:pt idx="2">
                  <c:v>22.947209070445627</c:v>
                </c:pt>
                <c:pt idx="3">
                  <c:v>22.947209070445627</c:v>
                </c:pt>
                <c:pt idx="4">
                  <c:v>22.947209070445627</c:v>
                </c:pt>
                <c:pt idx="5">
                  <c:v>22.947209070445627</c:v>
                </c:pt>
                <c:pt idx="6">
                  <c:v>22.947209070445627</c:v>
                </c:pt>
                <c:pt idx="7">
                  <c:v>22.947209070445627</c:v>
                </c:pt>
                <c:pt idx="8">
                  <c:v>22.947209070445627</c:v>
                </c:pt>
                <c:pt idx="9">
                  <c:v>22.947209070445627</c:v>
                </c:pt>
                <c:pt idx="10">
                  <c:v>22.947209070445627</c:v>
                </c:pt>
                <c:pt idx="11">
                  <c:v>22.947209070445627</c:v>
                </c:pt>
                <c:pt idx="12">
                  <c:v>22.947209070445627</c:v>
                </c:pt>
                <c:pt idx="13">
                  <c:v>22.947209070445627</c:v>
                </c:pt>
                <c:pt idx="14">
                  <c:v>34.73173880038133</c:v>
                </c:pt>
                <c:pt idx="15">
                  <c:v>34.73173880038133</c:v>
                </c:pt>
                <c:pt idx="16">
                  <c:v>34.73173880038133</c:v>
                </c:pt>
                <c:pt idx="17">
                  <c:v>34.73173880038133</c:v>
                </c:pt>
                <c:pt idx="18">
                  <c:v>34.73173880038133</c:v>
                </c:pt>
                <c:pt idx="19">
                  <c:v>34.73173880038133</c:v>
                </c:pt>
                <c:pt idx="20">
                  <c:v>34.73173880038133</c:v>
                </c:pt>
                <c:pt idx="21">
                  <c:v>34.73173880038133</c:v>
                </c:pt>
                <c:pt idx="22">
                  <c:v>34.73173880038133</c:v>
                </c:pt>
                <c:pt idx="23">
                  <c:v>34.73173880038133</c:v>
                </c:pt>
                <c:pt idx="24">
                  <c:v>34.73173880038133</c:v>
                </c:pt>
                <c:pt idx="25">
                  <c:v>34.73173880038133</c:v>
                </c:pt>
                <c:pt idx="26">
                  <c:v>34.73173880038133</c:v>
                </c:pt>
                <c:pt idx="27">
                  <c:v>34.73173880038133</c:v>
                </c:pt>
                <c:pt idx="28">
                  <c:v>34.73173880038133</c:v>
                </c:pt>
                <c:pt idx="29">
                  <c:v>34.73173880038133</c:v>
                </c:pt>
                <c:pt idx="30">
                  <c:v>34.73173880038133</c:v>
                </c:pt>
                <c:pt idx="31">
                  <c:v>34.73173880038133</c:v>
                </c:pt>
                <c:pt idx="32">
                  <c:v>34.73173880038133</c:v>
                </c:pt>
                <c:pt idx="33">
                  <c:v>34.73173880038133</c:v>
                </c:pt>
                <c:pt idx="34">
                  <c:v>34.73173880038133</c:v>
                </c:pt>
                <c:pt idx="35">
                  <c:v>34.73173880038133</c:v>
                </c:pt>
                <c:pt idx="36">
                  <c:v>34.73173880038133</c:v>
                </c:pt>
                <c:pt idx="37">
                  <c:v>34.73173880038133</c:v>
                </c:pt>
                <c:pt idx="38">
                  <c:v>34.73173880038133</c:v>
                </c:pt>
                <c:pt idx="39">
                  <c:v>34.73173880038133</c:v>
                </c:pt>
                <c:pt idx="40">
                  <c:v>34.73173880038133</c:v>
                </c:pt>
                <c:pt idx="41">
                  <c:v>34.73173880038133</c:v>
                </c:pt>
                <c:pt idx="42">
                  <c:v>34.73173880038133</c:v>
                </c:pt>
                <c:pt idx="43">
                  <c:v>34.73173880038133</c:v>
                </c:pt>
                <c:pt idx="44">
                  <c:v>54.45844277657642</c:v>
                </c:pt>
                <c:pt idx="45">
                  <c:v>54.45844277657642</c:v>
                </c:pt>
                <c:pt idx="46">
                  <c:v>54.45844277657642</c:v>
                </c:pt>
                <c:pt idx="47">
                  <c:v>54.45844277657642</c:v>
                </c:pt>
                <c:pt idx="48">
                  <c:v>54.45844277657642</c:v>
                </c:pt>
                <c:pt idx="49">
                  <c:v>54.45844277657642</c:v>
                </c:pt>
                <c:pt idx="50">
                  <c:v>54.45844277657642</c:v>
                </c:pt>
                <c:pt idx="51">
                  <c:v>54.45844277657642</c:v>
                </c:pt>
                <c:pt idx="52">
                  <c:v>54.45844277657642</c:v>
                </c:pt>
                <c:pt idx="53">
                  <c:v>54.45844277657642</c:v>
                </c:pt>
                <c:pt idx="54">
                  <c:v>54.45844277657642</c:v>
                </c:pt>
                <c:pt idx="55">
                  <c:v>54.45844277657642</c:v>
                </c:pt>
                <c:pt idx="56">
                  <c:v>54.45844277657642</c:v>
                </c:pt>
                <c:pt idx="57">
                  <c:v>54.45844277657642</c:v>
                </c:pt>
                <c:pt idx="58">
                  <c:v>54.45844277657642</c:v>
                </c:pt>
                <c:pt idx="59">
                  <c:v>54.45844277657642</c:v>
                </c:pt>
                <c:pt idx="60">
                  <c:v>54.45844277657642</c:v>
                </c:pt>
                <c:pt idx="61">
                  <c:v>54.45844277657642</c:v>
                </c:pt>
                <c:pt idx="62">
                  <c:v>54.45844277657642</c:v>
                </c:pt>
                <c:pt idx="63">
                  <c:v>54.45844277657642</c:v>
                </c:pt>
                <c:pt idx="64">
                  <c:v>54.45844277657642</c:v>
                </c:pt>
                <c:pt idx="65">
                  <c:v>54.45844277657642</c:v>
                </c:pt>
                <c:pt idx="66">
                  <c:v>54.45844277657642</c:v>
                </c:pt>
                <c:pt idx="67">
                  <c:v>54.45844277657642</c:v>
                </c:pt>
                <c:pt idx="68">
                  <c:v>54.45844277657642</c:v>
                </c:pt>
                <c:pt idx="69">
                  <c:v>54.45844277657642</c:v>
                </c:pt>
                <c:pt idx="70">
                  <c:v>100.39848635432033</c:v>
                </c:pt>
                <c:pt idx="71">
                  <c:v>100.39848635432033</c:v>
                </c:pt>
                <c:pt idx="72">
                  <c:v>100.39848635432033</c:v>
                </c:pt>
                <c:pt idx="73">
                  <c:v>100.39848635432033</c:v>
                </c:pt>
                <c:pt idx="74">
                  <c:v>100.39848635432033</c:v>
                </c:pt>
                <c:pt idx="75">
                  <c:v>100.39848635432033</c:v>
                </c:pt>
                <c:pt idx="76">
                  <c:v>100.39848635432033</c:v>
                </c:pt>
                <c:pt idx="77">
                  <c:v>100.39848635432033</c:v>
                </c:pt>
                <c:pt idx="78">
                  <c:v>100.39848635432033</c:v>
                </c:pt>
                <c:pt idx="79">
                  <c:v>100.39848635432033</c:v>
                </c:pt>
                <c:pt idx="80">
                  <c:v>100.39848635432033</c:v>
                </c:pt>
                <c:pt idx="81">
                  <c:v>194.34828367440136</c:v>
                </c:pt>
                <c:pt idx="82">
                  <c:v>194.34828367440136</c:v>
                </c:pt>
                <c:pt idx="83">
                  <c:v>194.34828367440136</c:v>
                </c:pt>
                <c:pt idx="84">
                  <c:v>194.34828367440136</c:v>
                </c:pt>
                <c:pt idx="85">
                  <c:v>194.34828367440136</c:v>
                </c:pt>
                <c:pt idx="86">
                  <c:v>194.34828367440136</c:v>
                </c:pt>
                <c:pt idx="87">
                  <c:v>194.34828367440136</c:v>
                </c:pt>
                <c:pt idx="88">
                  <c:v>194.34828367440136</c:v>
                </c:pt>
                <c:pt idx="89">
                  <c:v>194.34828367440136</c:v>
                </c:pt>
                <c:pt idx="90">
                  <c:v>194.34828367440136</c:v>
                </c:pt>
                <c:pt idx="91">
                  <c:v>194.34828367440136</c:v>
                </c:pt>
                <c:pt idx="92">
                  <c:v>194.34828367440136</c:v>
                </c:pt>
                <c:pt idx="93">
                  <c:v>194.34828367440136</c:v>
                </c:pt>
                <c:pt idx="94">
                  <c:v>194.34828367440136</c:v>
                </c:pt>
                <c:pt idx="95">
                  <c:v>194.34828367440136</c:v>
                </c:pt>
                <c:pt idx="96">
                  <c:v>194.34828367440136</c:v>
                </c:pt>
                <c:pt idx="97">
                  <c:v>194.34828367440136</c:v>
                </c:pt>
                <c:pt idx="98">
                  <c:v>194.34828367440136</c:v>
                </c:pt>
              </c:numCache>
            </c:numRef>
          </c:val>
        </c:ser>
        <c:axId val="36756513"/>
        <c:axId val="8072622"/>
      </c:barChart>
      <c:lineChart>
        <c:grouping val="standard"/>
        <c:varyColors val="1"/>
        <c:ser>
          <c:idx val="0"/>
          <c:order val="1"/>
          <c:tx>
            <c:v>VZ Cost per 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4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noFill/>
                <a:ln>
                  <a:noFill/>
                </a:ln>
              </c:spPr>
            </c:marker>
          </c:dPt>
          <c:cat>
            <c:strRef>
              <c:f>VZ!$B$8:$B$106</c:f>
              <c:strCache>
                <c:ptCount val="99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</c:strCache>
            </c:strRef>
          </c:cat>
          <c:val>
            <c:numRef>
              <c:f>VZ!$H$8:$H$106</c:f>
              <c:numCache>
                <c:ptCount val="99"/>
                <c:pt idx="0">
                  <c:v>16.47485579005125</c:v>
                </c:pt>
                <c:pt idx="1">
                  <c:v>18.22756513598447</c:v>
                </c:pt>
                <c:pt idx="2">
                  <c:v>19.488323268638027</c:v>
                </c:pt>
                <c:pt idx="3">
                  <c:v>20.737672200679057</c:v>
                </c:pt>
                <c:pt idx="4">
                  <c:v>21.1716475510305</c:v>
                </c:pt>
                <c:pt idx="5">
                  <c:v>21.63932977378414</c:v>
                </c:pt>
                <c:pt idx="6">
                  <c:v>21.670671964808598</c:v>
                </c:pt>
                <c:pt idx="7">
                  <c:v>21.70566571210507</c:v>
                </c:pt>
                <c:pt idx="8">
                  <c:v>24.871064955089288</c:v>
                </c:pt>
                <c:pt idx="9">
                  <c:v>25.46394230403292</c:v>
                </c:pt>
                <c:pt idx="10">
                  <c:v>25.47788048323789</c:v>
                </c:pt>
                <c:pt idx="11">
                  <c:v>25.57909676102505</c:v>
                </c:pt>
                <c:pt idx="12">
                  <c:v>26.89973463253923</c:v>
                </c:pt>
                <c:pt idx="13">
                  <c:v>28.444638140977602</c:v>
                </c:pt>
                <c:pt idx="14">
                  <c:v>29.05078382312628</c:v>
                </c:pt>
                <c:pt idx="15">
                  <c:v>29.838187742158432</c:v>
                </c:pt>
                <c:pt idx="16">
                  <c:v>29.95986630113672</c:v>
                </c:pt>
                <c:pt idx="17">
                  <c:v>30.06642317587024</c:v>
                </c:pt>
                <c:pt idx="18">
                  <c:v>30.57853078977631</c:v>
                </c:pt>
                <c:pt idx="19">
                  <c:v>30.78699049042135</c:v>
                </c:pt>
                <c:pt idx="20">
                  <c:v>31.181996231952777</c:v>
                </c:pt>
                <c:pt idx="21">
                  <c:v>31.99834203526781</c:v>
                </c:pt>
                <c:pt idx="22">
                  <c:v>32.072205176139605</c:v>
                </c:pt>
                <c:pt idx="23">
                  <c:v>32.838539856139</c:v>
                </c:pt>
                <c:pt idx="24">
                  <c:v>33.41642632974886</c:v>
                </c:pt>
                <c:pt idx="25">
                  <c:v>33.93066503910764</c:v>
                </c:pt>
                <c:pt idx="26">
                  <c:v>33.9826546464385</c:v>
                </c:pt>
                <c:pt idx="27">
                  <c:v>34.02950885398476</c:v>
                </c:pt>
                <c:pt idx="28">
                  <c:v>36.40437805525147</c:v>
                </c:pt>
                <c:pt idx="29">
                  <c:v>36.446837580738496</c:v>
                </c:pt>
                <c:pt idx="30">
                  <c:v>36.990014182434024</c:v>
                </c:pt>
                <c:pt idx="31">
                  <c:v>37.5700872455501</c:v>
                </c:pt>
                <c:pt idx="32">
                  <c:v>38.78164182388683</c:v>
                </c:pt>
                <c:pt idx="33">
                  <c:v>38.9896618605224</c:v>
                </c:pt>
                <c:pt idx="34">
                  <c:v>39.2484894889525</c:v>
                </c:pt>
                <c:pt idx="35">
                  <c:v>39.27186873298749</c:v>
                </c:pt>
                <c:pt idx="36">
                  <c:v>39.41375807955686</c:v>
                </c:pt>
                <c:pt idx="37">
                  <c:v>40.08795406032867</c:v>
                </c:pt>
                <c:pt idx="38">
                  <c:v>40.28076084264284</c:v>
                </c:pt>
                <c:pt idx="39">
                  <c:v>40.302968493016074</c:v>
                </c:pt>
                <c:pt idx="40">
                  <c:v>40.79676096062718</c:v>
                </c:pt>
                <c:pt idx="41">
                  <c:v>41.439108602882726</c:v>
                </c:pt>
                <c:pt idx="42">
                  <c:v>41.84343745135447</c:v>
                </c:pt>
                <c:pt idx="43">
                  <c:v>42.78832297970569</c:v>
                </c:pt>
                <c:pt idx="44">
                  <c:v>46.161843780670196</c:v>
                </c:pt>
                <c:pt idx="45">
                  <c:v>46.493503823563685</c:v>
                </c:pt>
                <c:pt idx="46">
                  <c:v>46.50615199631643</c:v>
                </c:pt>
                <c:pt idx="47">
                  <c:v>47.08192095025451</c:v>
                </c:pt>
                <c:pt idx="48">
                  <c:v>47.90375636390601</c:v>
                </c:pt>
                <c:pt idx="49">
                  <c:v>48.69726674550343</c:v>
                </c:pt>
                <c:pt idx="50">
                  <c:v>49.27497577631284</c:v>
                </c:pt>
                <c:pt idx="51">
                  <c:v>50.1214031073456</c:v>
                </c:pt>
                <c:pt idx="52">
                  <c:v>50.182892449143424</c:v>
                </c:pt>
                <c:pt idx="53">
                  <c:v>51.19276654087844</c:v>
                </c:pt>
                <c:pt idx="54">
                  <c:v>52.02546543715761</c:v>
                </c:pt>
                <c:pt idx="55">
                  <c:v>53.48236892174562</c:v>
                </c:pt>
                <c:pt idx="56">
                  <c:v>55.56377394900173</c:v>
                </c:pt>
                <c:pt idx="57">
                  <c:v>56.45575895706193</c:v>
                </c:pt>
                <c:pt idx="58">
                  <c:v>57.85294258622469</c:v>
                </c:pt>
                <c:pt idx="59">
                  <c:v>57.99985224418301</c:v>
                </c:pt>
                <c:pt idx="60">
                  <c:v>59.670681480104605</c:v>
                </c:pt>
                <c:pt idx="61">
                  <c:v>61.981994008050776</c:v>
                </c:pt>
                <c:pt idx="62">
                  <c:v>66.02227335173579</c:v>
                </c:pt>
                <c:pt idx="63">
                  <c:v>67.56343293357544</c:v>
                </c:pt>
                <c:pt idx="64">
                  <c:v>68.37272597136261</c:v>
                </c:pt>
                <c:pt idx="65">
                  <c:v>70.26934905362688</c:v>
                </c:pt>
                <c:pt idx="66">
                  <c:v>70.88727672697706</c:v>
                </c:pt>
                <c:pt idx="67">
                  <c:v>74.11883294489529</c:v>
                </c:pt>
                <c:pt idx="68">
                  <c:v>74.20207666972384</c:v>
                </c:pt>
                <c:pt idx="69">
                  <c:v>76.28102760364392</c:v>
                </c:pt>
                <c:pt idx="70">
                  <c:v>79.46366244289938</c:v>
                </c:pt>
                <c:pt idx="71">
                  <c:v>79.9641000364903</c:v>
                </c:pt>
                <c:pt idx="72">
                  <c:v>89.17846010950149</c:v>
                </c:pt>
                <c:pt idx="73">
                  <c:v>90.64489923484908</c:v>
                </c:pt>
                <c:pt idx="74">
                  <c:v>95.62549939737593</c:v>
                </c:pt>
                <c:pt idx="75">
                  <c:v>107.23855183620836</c:v>
                </c:pt>
                <c:pt idx="76">
                  <c:v>107.36007953471483</c:v>
                </c:pt>
                <c:pt idx="77">
                  <c:v>109.03315570322755</c:v>
                </c:pt>
                <c:pt idx="78">
                  <c:v>110.05208279611145</c:v>
                </c:pt>
                <c:pt idx="79">
                  <c:v>111.9192009443897</c:v>
                </c:pt>
                <c:pt idx="80">
                  <c:v>113.93332797168904</c:v>
                </c:pt>
                <c:pt idx="81">
                  <c:v>134.11233726568275</c:v>
                </c:pt>
                <c:pt idx="82">
                  <c:v>164.33236783473762</c:v>
                </c:pt>
                <c:pt idx="83">
                  <c:v>167.67411109917288</c:v>
                </c:pt>
                <c:pt idx="84">
                  <c:v>169.96684948557152</c:v>
                </c:pt>
                <c:pt idx="85">
                  <c:v>173.1682424008042</c:v>
                </c:pt>
                <c:pt idx="86">
                  <c:v>173.86098680562822</c:v>
                </c:pt>
                <c:pt idx="87">
                  <c:v>176.2631165067732</c:v>
                </c:pt>
                <c:pt idx="88">
                  <c:v>183.5976909591464</c:v>
                </c:pt>
                <c:pt idx="89">
                  <c:v>201.5004804489592</c:v>
                </c:pt>
                <c:pt idx="90">
                  <c:v>205.6580769849338</c:v>
                </c:pt>
                <c:pt idx="91">
                  <c:v>206.80964962892432</c:v>
                </c:pt>
                <c:pt idx="92">
                  <c:v>208.74861782374927</c:v>
                </c:pt>
                <c:pt idx="93">
                  <c:v>227.64820067000568</c:v>
                </c:pt>
                <c:pt idx="94">
                  <c:v>258.7980958624304</c:v>
                </c:pt>
                <c:pt idx="95">
                  <c:v>285.8793119888523</c:v>
                </c:pt>
                <c:pt idx="96">
                  <c:v>294.2537658441844</c:v>
                </c:pt>
                <c:pt idx="97">
                  <c:v>317.45685230279275</c:v>
                </c:pt>
                <c:pt idx="98">
                  <c:v>448.11009377536345</c:v>
                </c:pt>
              </c:numCache>
            </c:numRef>
          </c:val>
          <c:smooth val="0"/>
        </c:ser>
        <c:axId val="37835223"/>
        <c:axId val="22095852"/>
      </c:lineChart>
      <c:catAx>
        <c:axId val="36756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72622"/>
        <c:crosses val="autoZero"/>
        <c:auto val="0"/>
        <c:lblOffset val="100"/>
        <c:tickLblSkip val="1"/>
        <c:noMultiLvlLbl val="0"/>
      </c:catAx>
      <c:valAx>
        <c:axId val="8072622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56513"/>
        <c:crossesAt val="1"/>
        <c:crossBetween val="between"/>
        <c:dispUnits/>
      </c:valAx>
      <c:catAx>
        <c:axId val="37835223"/>
        <c:scaling>
          <c:orientation val="minMax"/>
        </c:scaling>
        <c:axPos val="b"/>
        <c:delete val="1"/>
        <c:majorTickMark val="in"/>
        <c:minorTickMark val="none"/>
        <c:tickLblPos val="nextTo"/>
        <c:crossAx val="22095852"/>
        <c:crosses val="autoZero"/>
        <c:auto val="0"/>
        <c:lblOffset val="100"/>
        <c:tickLblSkip val="1"/>
        <c:noMultiLvlLbl val="0"/>
      </c:catAx>
      <c:valAx>
        <c:axId val="22095852"/>
        <c:scaling>
          <c:orientation val="minMax"/>
        </c:scaling>
        <c:axPos val="l"/>
        <c:delete val="1"/>
        <c:majorTickMark val="in"/>
        <c:minorTickMark val="none"/>
        <c:tickLblPos val="nextTo"/>
        <c:crossAx val="37835223"/>
        <c:crossesAt val="1"/>
        <c:crossBetween val="between"/>
        <c:dispUnits/>
      </c:valAx>
      <c:spPr>
        <a:solidFill>
          <a:srgbClr val="CC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15</xdr:row>
      <xdr:rowOff>19050</xdr:rowOff>
    </xdr:from>
    <xdr:to>
      <xdr:col>8</xdr:col>
      <xdr:colOff>9525</xdr:colOff>
      <xdr:row>18</xdr:row>
      <xdr:rowOff>66675</xdr:rowOff>
    </xdr:to>
    <xdr:sp macro="[0]!LoopThruWA">
      <xdr:nvSpPr>
        <xdr:cNvPr id="1" name="TextBox 1"/>
        <xdr:cNvSpPr txBox="1">
          <a:spLocks noChangeArrowheads="1"/>
        </xdr:cNvSpPr>
      </xdr:nvSpPr>
      <xdr:spPr>
        <a:xfrm>
          <a:off x="5743575" y="2466975"/>
          <a:ext cx="1152525" cy="5334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Find Optimal
Zone Configuration</a:t>
          </a:r>
        </a:p>
      </xdr:txBody>
    </xdr:sp>
    <xdr:clientData/>
  </xdr:twoCellAnchor>
  <xdr:twoCellAnchor>
    <xdr:from>
      <xdr:col>7</xdr:col>
      <xdr:colOff>0</xdr:colOff>
      <xdr:row>20</xdr:row>
      <xdr:rowOff>66675</xdr:rowOff>
    </xdr:from>
    <xdr:to>
      <xdr:col>8</xdr:col>
      <xdr:colOff>19050</xdr:colOff>
      <xdr:row>22</xdr:row>
      <xdr:rowOff>142875</xdr:rowOff>
    </xdr:to>
    <xdr:sp macro="[0]!ClearMessages">
      <xdr:nvSpPr>
        <xdr:cNvPr id="2" name="TextBox 2"/>
        <xdr:cNvSpPr txBox="1">
          <a:spLocks noChangeArrowheads="1"/>
        </xdr:cNvSpPr>
      </xdr:nvSpPr>
      <xdr:spPr>
        <a:xfrm>
          <a:off x="5734050" y="3324225"/>
          <a:ext cx="1171575" cy="4000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Clear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Error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Messages</a:t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8</xdr:col>
      <xdr:colOff>28575</xdr:colOff>
      <xdr:row>27</xdr:row>
      <xdr:rowOff>0</xdr:rowOff>
    </xdr:to>
    <xdr:sp macro="[0]!ClearResultsSheet">
      <xdr:nvSpPr>
        <xdr:cNvPr id="3" name="TextBox 3"/>
        <xdr:cNvSpPr txBox="1">
          <a:spLocks noChangeArrowheads="1"/>
        </xdr:cNvSpPr>
      </xdr:nvSpPr>
      <xdr:spPr>
        <a:xfrm>
          <a:off x="5734050" y="4038600"/>
          <a:ext cx="1181100" cy="3524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Clear Results
 Tab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142875</xdr:rowOff>
    </xdr:from>
    <xdr:to>
      <xdr:col>26</xdr:col>
      <xdr:colOff>114300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8020050" y="628650"/>
        <a:ext cx="6972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24</xdr:row>
      <xdr:rowOff>0</xdr:rowOff>
    </xdr:from>
    <xdr:to>
      <xdr:col>26</xdr:col>
      <xdr:colOff>114300</xdr:colOff>
      <xdr:row>41</xdr:row>
      <xdr:rowOff>0</xdr:rowOff>
    </xdr:to>
    <xdr:graphicFrame>
      <xdr:nvGraphicFramePr>
        <xdr:cNvPr id="2" name="Chart 3"/>
        <xdr:cNvGraphicFramePr/>
      </xdr:nvGraphicFramePr>
      <xdr:xfrm>
        <a:off x="8010525" y="3886200"/>
        <a:ext cx="6981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128</xdr:row>
      <xdr:rowOff>38100</xdr:rowOff>
    </xdr:from>
    <xdr:to>
      <xdr:col>10</xdr:col>
      <xdr:colOff>419100</xdr:colOff>
      <xdr:row>131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619875" y="20831175"/>
          <a:ext cx="0" cy="4572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90575" y="981075"/>
        <a:ext cx="6705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16</xdr:row>
      <xdr:rowOff>133350</xdr:rowOff>
    </xdr:from>
    <xdr:to>
      <xdr:col>10</xdr:col>
      <xdr:colOff>47625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2724150"/>
          <a:ext cx="600075" cy="190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LATAH</a:t>
          </a:r>
        </a:p>
      </xdr:txBody>
    </xdr:sp>
    <xdr:clientData/>
  </xdr:twoCellAnchor>
  <xdr:twoCellAnchor>
    <xdr:from>
      <xdr:col>10</xdr:col>
      <xdr:colOff>38100</xdr:colOff>
      <xdr:row>18</xdr:row>
      <xdr:rowOff>0</xdr:rowOff>
    </xdr:from>
    <xdr:to>
      <xdr:col>11</xdr:col>
      <xdr:colOff>0</xdr:colOff>
      <xdr:row>19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705475" y="2914650"/>
          <a:ext cx="571500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590550</xdr:colOff>
      <xdr:row>49</xdr:row>
      <xdr:rowOff>152400</xdr:rowOff>
    </xdr:to>
    <xdr:graphicFrame>
      <xdr:nvGraphicFramePr>
        <xdr:cNvPr id="4" name="Chart 4"/>
        <xdr:cNvGraphicFramePr/>
      </xdr:nvGraphicFramePr>
      <xdr:xfrm>
        <a:off x="790575" y="4857750"/>
        <a:ext cx="66865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12</xdr:col>
      <xdr:colOff>600075</xdr:colOff>
      <xdr:row>74</xdr:row>
      <xdr:rowOff>0</xdr:rowOff>
    </xdr:to>
    <xdr:graphicFrame>
      <xdr:nvGraphicFramePr>
        <xdr:cNvPr id="5" name="Chart 5"/>
        <xdr:cNvGraphicFramePr/>
      </xdr:nvGraphicFramePr>
      <xdr:xfrm>
        <a:off x="790575" y="8743950"/>
        <a:ext cx="66960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9</xdr:row>
      <xdr:rowOff>85725</xdr:rowOff>
    </xdr:from>
    <xdr:to>
      <xdr:col>14</xdr:col>
      <xdr:colOff>428625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7867650" y="1552575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9</xdr:row>
      <xdr:rowOff>76200</xdr:rowOff>
    </xdr:from>
    <xdr:to>
      <xdr:col>12</xdr:col>
      <xdr:colOff>466725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6686550" y="1543050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8"/>
  <sheetViews>
    <sheetView workbookViewId="0" topLeftCell="A4">
      <selection activeCell="A3" sqref="A3"/>
    </sheetView>
  </sheetViews>
  <sheetFormatPr defaultColWidth="9.140625" defaultRowHeight="12.75"/>
  <cols>
    <col min="1" max="1" width="4.421875" style="0" customWidth="1"/>
    <col min="2" max="2" width="126.28125" style="0" customWidth="1"/>
    <col min="3" max="3" width="4.421875" style="0" customWidth="1"/>
  </cols>
  <sheetData>
    <row r="1" ht="12.75">
      <c r="A1" s="1" t="s">
        <v>270</v>
      </c>
    </row>
    <row r="4" ht="12.75">
      <c r="B4" t="s">
        <v>331</v>
      </c>
    </row>
    <row r="6" ht="12.75">
      <c r="B6" s="123" t="s">
        <v>305</v>
      </c>
    </row>
    <row r="8" ht="12.75">
      <c r="B8" t="s">
        <v>347</v>
      </c>
    </row>
    <row r="10" ht="12.75">
      <c r="B10" t="s">
        <v>303</v>
      </c>
    </row>
    <row r="11" ht="12.75">
      <c r="B11" t="s">
        <v>332</v>
      </c>
    </row>
    <row r="13" ht="12.75">
      <c r="B13" t="s">
        <v>269</v>
      </c>
    </row>
    <row r="15" ht="12.75">
      <c r="B15" t="s">
        <v>268</v>
      </c>
    </row>
    <row r="18" ht="12.75">
      <c r="B18" t="s">
        <v>304</v>
      </c>
    </row>
    <row r="20" ht="12.75">
      <c r="B20" t="s">
        <v>342</v>
      </c>
    </row>
    <row r="21" ht="12.75">
      <c r="B21" t="s">
        <v>343</v>
      </c>
    </row>
    <row r="22" ht="12.75">
      <c r="B22" t="s">
        <v>344</v>
      </c>
    </row>
    <row r="23" ht="12.75">
      <c r="B23" t="s">
        <v>348</v>
      </c>
    </row>
    <row r="24" ht="12.75">
      <c r="B24" t="s">
        <v>345</v>
      </c>
    </row>
    <row r="25" ht="12.75">
      <c r="B25" t="s">
        <v>346</v>
      </c>
    </row>
    <row r="27" ht="12.75">
      <c r="B27" t="s">
        <v>341</v>
      </c>
    </row>
    <row r="29" ht="12.75">
      <c r="B29" t="s">
        <v>340</v>
      </c>
    </row>
    <row r="30" ht="12.75">
      <c r="B30" t="s">
        <v>339</v>
      </c>
    </row>
    <row r="32" ht="12.75">
      <c r="B32" t="s">
        <v>336</v>
      </c>
    </row>
    <row r="33" ht="12.75">
      <c r="B33" t="s">
        <v>335</v>
      </c>
    </row>
    <row r="35" ht="12.75">
      <c r="B35" t="s">
        <v>337</v>
      </c>
    </row>
    <row r="37" ht="12.75">
      <c r="B37" t="s">
        <v>338</v>
      </c>
    </row>
    <row r="39" ht="12.75">
      <c r="B39" t="s">
        <v>334</v>
      </c>
    </row>
    <row r="41" ht="12.75">
      <c r="B41" t="s">
        <v>333</v>
      </c>
    </row>
    <row r="43" ht="12.75">
      <c r="B43" t="s">
        <v>349</v>
      </c>
    </row>
    <row r="44" ht="12.75">
      <c r="B44" t="s">
        <v>350</v>
      </c>
    </row>
    <row r="45" ht="12.75">
      <c r="B45" t="s">
        <v>352</v>
      </c>
    </row>
    <row r="46" ht="12.75">
      <c r="B46" t="s">
        <v>353</v>
      </c>
    </row>
    <row r="47" ht="12.75">
      <c r="B47" t="s">
        <v>354</v>
      </c>
    </row>
    <row r="48" ht="12.75">
      <c r="B48" t="s">
        <v>351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32"/>
  <sheetViews>
    <sheetView workbookViewId="0" topLeftCell="A1">
      <selection activeCell="H1" sqref="H1"/>
    </sheetView>
  </sheetViews>
  <sheetFormatPr defaultColWidth="9.140625" defaultRowHeight="12.75"/>
  <cols>
    <col min="1" max="1" width="13.140625" style="0" customWidth="1"/>
    <col min="2" max="2" width="27.421875" style="0" customWidth="1"/>
    <col min="3" max="3" width="12.57421875" style="1" customWidth="1"/>
    <col min="5" max="5" width="5.421875" style="0" customWidth="1"/>
    <col min="8" max="8" width="17.28125" style="0" customWidth="1"/>
  </cols>
  <sheetData>
    <row r="1" spans="3:8" ht="12.75">
      <c r="C1" s="43" t="s">
        <v>222</v>
      </c>
      <c r="H1" s="94">
        <f ca="1">NOW()</f>
        <v>38164.33694641204</v>
      </c>
    </row>
    <row r="2" spans="2:6" ht="12.75">
      <c r="B2" s="2" t="s">
        <v>235</v>
      </c>
      <c r="C2" s="44" t="s">
        <v>259</v>
      </c>
      <c r="D2" s="45" t="s">
        <v>236</v>
      </c>
      <c r="F2" s="47" t="str">
        <f>IF(((C2="Yes")+(C2="No"))=1," ","&lt;== Must be 'Yes' or 'No'")</f>
        <v> </v>
      </c>
    </row>
    <row r="3" spans="2:4" ht="12.75">
      <c r="B3" s="2" t="s">
        <v>223</v>
      </c>
      <c r="C3" s="44">
        <v>99</v>
      </c>
      <c r="D3" s="45" t="s">
        <v>240</v>
      </c>
    </row>
    <row r="4" spans="2:3" ht="12.75">
      <c r="B4" s="2"/>
      <c r="C4" s="43" t="s">
        <v>222</v>
      </c>
    </row>
    <row r="5" spans="2:3" ht="12.75">
      <c r="B5" s="2"/>
      <c r="C5" s="43" t="s">
        <v>222</v>
      </c>
    </row>
    <row r="6" spans="2:4" ht="12.75">
      <c r="B6" s="2" t="s">
        <v>224</v>
      </c>
      <c r="C6" s="44">
        <v>5</v>
      </c>
      <c r="D6" s="45" t="s">
        <v>225</v>
      </c>
    </row>
    <row r="7" spans="2:3" ht="12.75">
      <c r="B7" s="2"/>
      <c r="C7" s="43" t="s">
        <v>222</v>
      </c>
    </row>
    <row r="8" ht="12.75">
      <c r="C8"/>
    </row>
    <row r="9" ht="12.75">
      <c r="C9"/>
    </row>
    <row r="10" ht="12.75">
      <c r="C10" s="43" t="s">
        <v>222</v>
      </c>
    </row>
    <row r="11" ht="12.75">
      <c r="C11" s="4"/>
    </row>
    <row r="12" spans="2:4" ht="12.75">
      <c r="B12" s="2" t="s">
        <v>226</v>
      </c>
      <c r="C12" s="46">
        <v>3612280</v>
      </c>
      <c r="D12" s="10" t="s">
        <v>227</v>
      </c>
    </row>
    <row r="13" spans="2:4" ht="13.5" thickBot="1">
      <c r="B13" s="2" t="s">
        <v>228</v>
      </c>
      <c r="C13" s="46">
        <v>99</v>
      </c>
      <c r="D13" s="10" t="s">
        <v>229</v>
      </c>
    </row>
    <row r="14" spans="2:9" ht="13.5" thickTop="1">
      <c r="B14" s="2" t="s">
        <v>230</v>
      </c>
      <c r="C14" s="46">
        <v>5</v>
      </c>
      <c r="D14" s="10" t="s">
        <v>231</v>
      </c>
      <c r="G14" s="106"/>
      <c r="H14" s="107"/>
      <c r="I14" s="108"/>
    </row>
    <row r="15" spans="3:9" ht="12.75">
      <c r="C15" s="4"/>
      <c r="G15" s="109"/>
      <c r="H15" s="12"/>
      <c r="I15" s="110"/>
    </row>
    <row r="16" spans="3:9" ht="12.75">
      <c r="C16" s="43" t="s">
        <v>222</v>
      </c>
      <c r="D16" s="47" t="s">
        <v>222</v>
      </c>
      <c r="G16" s="109"/>
      <c r="H16" s="12"/>
      <c r="I16" s="110"/>
    </row>
    <row r="17" spans="3:9" ht="12.75">
      <c r="C17" s="4"/>
      <c r="G17" s="109"/>
      <c r="H17" s="12"/>
      <c r="I17" s="110"/>
    </row>
    <row r="18" spans="3:9" ht="12.75">
      <c r="C18" s="4"/>
      <c r="D18" t="s">
        <v>222</v>
      </c>
      <c r="G18" s="109"/>
      <c r="H18" s="12"/>
      <c r="I18" s="110"/>
    </row>
    <row r="19" spans="2:9" ht="12.75">
      <c r="B19" s="2" t="s">
        <v>223</v>
      </c>
      <c r="C19" s="46">
        <v>99</v>
      </c>
      <c r="D19" s="10" t="s">
        <v>229</v>
      </c>
      <c r="E19" s="9"/>
      <c r="G19" s="109"/>
      <c r="H19" s="12"/>
      <c r="I19" s="110"/>
    </row>
    <row r="20" spans="2:9" ht="12.75">
      <c r="B20" s="2" t="s">
        <v>224</v>
      </c>
      <c r="C20" s="46">
        <v>5</v>
      </c>
      <c r="D20" s="48" t="s">
        <v>232</v>
      </c>
      <c r="E20" s="9"/>
      <c r="G20" s="109"/>
      <c r="H20" s="12"/>
      <c r="I20" s="110"/>
    </row>
    <row r="21" spans="3:9" ht="12.75">
      <c r="C21" s="4"/>
      <c r="D21" s="48" t="s">
        <v>232</v>
      </c>
      <c r="E21" s="9"/>
      <c r="G21" s="109"/>
      <c r="H21" s="12"/>
      <c r="I21" s="110"/>
    </row>
    <row r="22" spans="2:9" ht="12.75">
      <c r="B22" s="2" t="s">
        <v>233</v>
      </c>
      <c r="C22" s="49">
        <v>2382355</v>
      </c>
      <c r="D22" s="48" t="s">
        <v>232</v>
      </c>
      <c r="E22" s="9"/>
      <c r="G22" s="109"/>
      <c r="H22" s="12"/>
      <c r="I22" s="110"/>
    </row>
    <row r="23" spans="3:9" ht="12.75">
      <c r="C23" s="50" t="s">
        <v>222</v>
      </c>
      <c r="D23" s="48" t="s">
        <v>232</v>
      </c>
      <c r="E23" s="9"/>
      <c r="G23" s="109"/>
      <c r="H23" s="12"/>
      <c r="I23" s="110"/>
    </row>
    <row r="24" spans="2:9" ht="12.75">
      <c r="B24" s="50" t="s">
        <v>222</v>
      </c>
      <c r="C24" s="43" t="s">
        <v>222</v>
      </c>
      <c r="D24" s="48" t="s">
        <v>234</v>
      </c>
      <c r="G24" s="109"/>
      <c r="H24" s="12"/>
      <c r="I24" s="110"/>
    </row>
    <row r="25" spans="1:9" ht="12.75">
      <c r="A25" s="70">
        <f>Zones!A12</f>
        <v>1</v>
      </c>
      <c r="B25" s="71" t="str">
        <f>Zones!B12</f>
        <v>RCBHWAXX</v>
      </c>
      <c r="C25" s="87">
        <v>1</v>
      </c>
      <c r="G25" s="109"/>
      <c r="H25" s="12"/>
      <c r="I25" s="110"/>
    </row>
    <row r="26" spans="1:9" ht="12.75">
      <c r="A26" s="70">
        <f>Zones!A13</f>
        <v>2</v>
      </c>
      <c r="B26" s="71" t="str">
        <f>Zones!B13</f>
        <v>EVRTWAXF</v>
      </c>
      <c r="C26" s="87">
        <v>1</v>
      </c>
      <c r="G26" s="109"/>
      <c r="H26" s="12"/>
      <c r="I26" s="110"/>
    </row>
    <row r="27" spans="1:9" ht="12.75">
      <c r="A27" s="70">
        <f>Zones!A14</f>
        <v>3</v>
      </c>
      <c r="B27" s="71" t="str">
        <f>Zones!B14</f>
        <v>MRWYWAXA</v>
      </c>
      <c r="C27" s="87">
        <v>1</v>
      </c>
      <c r="G27" s="109"/>
      <c r="H27" s="12"/>
      <c r="I27" s="110"/>
    </row>
    <row r="28" spans="1:9" ht="12.75">
      <c r="A28" s="70">
        <f>Zones!A15</f>
        <v>4</v>
      </c>
      <c r="B28" s="71" t="str">
        <f>Zones!B15</f>
        <v>EVRTWAXC</v>
      </c>
      <c r="C28" s="87">
        <v>1</v>
      </c>
      <c r="G28" s="109"/>
      <c r="H28" s="12"/>
      <c r="I28" s="110"/>
    </row>
    <row r="29" spans="1:9" ht="13.5" thickBot="1">
      <c r="A29" s="70">
        <f>Zones!A16</f>
        <v>5</v>
      </c>
      <c r="B29" s="71" t="str">
        <f>Zones!B16</f>
        <v>RCLDWAXB</v>
      </c>
      <c r="C29" s="87">
        <v>1</v>
      </c>
      <c r="G29" s="111"/>
      <c r="H29" s="112"/>
      <c r="I29" s="113"/>
    </row>
    <row r="30" spans="1:3" ht="13.5" thickTop="1">
      <c r="A30" s="70">
        <f>Zones!A17</f>
        <v>6</v>
      </c>
      <c r="B30" s="71" t="str">
        <f>Zones!B17</f>
        <v>HLLKWAXX</v>
      </c>
      <c r="C30" s="87">
        <v>1</v>
      </c>
    </row>
    <row r="31" spans="1:3" ht="12.75">
      <c r="A31" s="70">
        <f>Zones!A18</f>
        <v>7</v>
      </c>
      <c r="B31" s="71" t="str">
        <f>Zones!B18</f>
        <v>SLLKWAXA</v>
      </c>
      <c r="C31" s="87">
        <v>1</v>
      </c>
    </row>
    <row r="32" spans="1:3" ht="12.75">
      <c r="A32" s="70">
        <f>Zones!A19</f>
        <v>8</v>
      </c>
      <c r="B32" s="71" t="str">
        <f>Zones!B19</f>
        <v>RDMDWAXA</v>
      </c>
      <c r="C32" s="87">
        <v>1</v>
      </c>
    </row>
    <row r="33" spans="1:3" ht="12.75">
      <c r="A33" s="70">
        <f>Zones!A20</f>
        <v>9</v>
      </c>
      <c r="B33" s="71" t="str">
        <f>Zones!B20</f>
        <v>KRLDWAXX</v>
      </c>
      <c r="C33" s="87">
        <v>1</v>
      </c>
    </row>
    <row r="34" spans="1:3" ht="12.75">
      <c r="A34" s="70">
        <f>Zones!A21</f>
        <v>10</v>
      </c>
      <c r="B34" s="71" t="str">
        <f>Zones!B21</f>
        <v>BOTHWAXB</v>
      </c>
      <c r="C34" s="87">
        <v>1</v>
      </c>
    </row>
    <row r="35" spans="1:3" ht="12.75">
      <c r="A35" s="70">
        <f>Zones!A22</f>
        <v>11</v>
      </c>
      <c r="B35" s="71" t="str">
        <f>Zones!B22</f>
        <v>JUNTWAXA</v>
      </c>
      <c r="C35" s="87">
        <v>1</v>
      </c>
    </row>
    <row r="36" spans="1:3" ht="12.75">
      <c r="A36" s="70">
        <f>Zones!A23</f>
        <v>12</v>
      </c>
      <c r="B36" s="71" t="str">
        <f>Zones!B23</f>
        <v>MTVRWAXX</v>
      </c>
      <c r="C36" s="87">
        <v>1</v>
      </c>
    </row>
    <row r="37" spans="1:3" ht="12.75">
      <c r="A37" s="70">
        <f>Zones!A24</f>
        <v>13</v>
      </c>
      <c r="B37" s="71" t="str">
        <f>Zones!B24</f>
        <v>MYVIWAXX</v>
      </c>
      <c r="C37" s="87">
        <v>1</v>
      </c>
    </row>
    <row r="38" spans="1:3" ht="12.75">
      <c r="A38" s="70">
        <f>Zones!A25</f>
        <v>14</v>
      </c>
      <c r="B38" s="71" t="str">
        <f>Zones!B25</f>
        <v>WSPTWAXA</v>
      </c>
      <c r="C38" s="87">
        <v>1</v>
      </c>
    </row>
    <row r="39" spans="1:3" ht="12.75">
      <c r="A39" s="70">
        <f>Zones!A26</f>
        <v>15</v>
      </c>
      <c r="B39" s="71" t="str">
        <f>Zones!B26</f>
        <v>SMSHWAXA</v>
      </c>
      <c r="C39" s="87">
        <v>1</v>
      </c>
    </row>
    <row r="40" spans="1:3" ht="12.75">
      <c r="A40" s="70">
        <f>Zones!A27</f>
        <v>16</v>
      </c>
      <c r="B40" s="71" t="str">
        <f>Zones!B27</f>
        <v>KNWCWAXA</v>
      </c>
      <c r="C40" s="87">
        <v>1</v>
      </c>
    </row>
    <row r="41" spans="1:3" ht="12.75">
      <c r="A41" s="70">
        <f>Zones!A28</f>
        <v>17</v>
      </c>
      <c r="B41" s="71" t="str">
        <f>Zones!B28</f>
        <v>KNWCWAXB</v>
      </c>
      <c r="C41" s="87">
        <v>1</v>
      </c>
    </row>
    <row r="42" spans="1:3" ht="12.75">
      <c r="A42" s="70">
        <f>Zones!A29</f>
        <v>18</v>
      </c>
      <c r="B42" s="71" t="str">
        <f>Zones!B29</f>
        <v>OKHRWAXX</v>
      </c>
      <c r="C42" s="87">
        <v>1</v>
      </c>
    </row>
    <row r="43" spans="1:3" ht="12.75">
      <c r="A43" s="70">
        <f>Zones!A30</f>
        <v>19</v>
      </c>
      <c r="B43" s="71" t="str">
        <f>Zones!B30</f>
        <v>LKSTWAXA</v>
      </c>
      <c r="C43" s="87">
        <v>1</v>
      </c>
    </row>
    <row r="44" spans="1:3" ht="12.75">
      <c r="A44" s="70">
        <f>Zones!A31</f>
        <v>20</v>
      </c>
      <c r="B44" s="71" t="str">
        <f>Zones!B31</f>
        <v>ANCRWAXX</v>
      </c>
      <c r="C44" s="87">
        <v>1</v>
      </c>
    </row>
    <row r="45" spans="1:3" ht="12.75">
      <c r="A45" s="70">
        <f>Zones!A32</f>
        <v>21</v>
      </c>
      <c r="B45" s="71" t="str">
        <f>Zones!B32</f>
        <v>WNTCWAXX</v>
      </c>
      <c r="C45" s="87">
        <v>1</v>
      </c>
    </row>
    <row r="46" spans="1:3" ht="12.75">
      <c r="A46" s="70">
        <f>Zones!A33</f>
        <v>22</v>
      </c>
      <c r="B46" s="71" t="str">
        <f>Zones!B33</f>
        <v>BURLWAXX</v>
      </c>
      <c r="C46" s="87">
        <v>1</v>
      </c>
    </row>
    <row r="47" spans="1:3" ht="12.75">
      <c r="A47" s="70">
        <f>Zones!A34</f>
        <v>23</v>
      </c>
      <c r="B47" s="71" t="str">
        <f>Zones!B34</f>
        <v>MONRWAXX</v>
      </c>
      <c r="C47" s="87">
        <v>1</v>
      </c>
    </row>
    <row r="48" spans="1:3" ht="12.75">
      <c r="A48" s="70">
        <f>Zones!A35</f>
        <v>24</v>
      </c>
      <c r="B48" s="71" t="str">
        <f>Zones!B35</f>
        <v>BRBAWAXA</v>
      </c>
      <c r="C48" s="87">
        <v>2</v>
      </c>
    </row>
    <row r="49" spans="1:3" ht="12.75">
      <c r="A49" s="70">
        <f>Zones!A36</f>
        <v>25</v>
      </c>
      <c r="B49" s="71" t="str">
        <f>Zones!B36</f>
        <v>WRLDWAXA</v>
      </c>
      <c r="C49" s="87">
        <v>2</v>
      </c>
    </row>
    <row r="50" spans="1:3" ht="12.75">
      <c r="A50" s="70">
        <f>Zones!A37</f>
        <v>26</v>
      </c>
      <c r="B50" s="71" t="str">
        <f>Zones!B37</f>
        <v>WSHGWAXA</v>
      </c>
      <c r="C50" s="87">
        <v>2</v>
      </c>
    </row>
    <row r="51" spans="1:3" ht="12.75">
      <c r="A51" s="70">
        <f>Zones!A38</f>
        <v>27</v>
      </c>
      <c r="B51" s="71" t="str">
        <f>Zones!B38</f>
        <v>LKGWWAXA</v>
      </c>
      <c r="C51" s="87">
        <v>2</v>
      </c>
    </row>
    <row r="52" spans="1:3" ht="12.75">
      <c r="A52" s="70">
        <f>Zones!A39</f>
        <v>28</v>
      </c>
      <c r="B52" s="71" t="str">
        <f>Zones!B39</f>
        <v>PLMNWAXX</v>
      </c>
      <c r="C52" s="87">
        <v>2</v>
      </c>
    </row>
    <row r="53" spans="1:3" ht="12.75">
      <c r="A53" s="70">
        <f>Zones!A40</f>
        <v>29</v>
      </c>
      <c r="B53" s="71" t="str">
        <f>Zones!B40</f>
        <v>EWNCWAXA</v>
      </c>
      <c r="C53" s="87">
        <v>2</v>
      </c>
    </row>
    <row r="54" spans="1:3" ht="12.75">
      <c r="A54" s="70">
        <f>Zones!A41</f>
        <v>30</v>
      </c>
      <c r="B54" s="71" t="str">
        <f>Zones!B41</f>
        <v>RCLDWAXA</v>
      </c>
      <c r="C54" s="87">
        <v>2</v>
      </c>
    </row>
    <row r="55" spans="1:3" ht="12.75">
      <c r="A55" s="70">
        <f>Zones!A42</f>
        <v>31</v>
      </c>
      <c r="B55" s="71" t="str">
        <f>Zones!B42</f>
        <v>CLVWWAXA</v>
      </c>
      <c r="C55" s="87">
        <v>2</v>
      </c>
    </row>
    <row r="56" spans="1:3" ht="12.75">
      <c r="A56" s="70">
        <f>Zones!A43</f>
        <v>32</v>
      </c>
      <c r="B56" s="71" t="str">
        <f>Zones!B43</f>
        <v>CAMSWAXX</v>
      </c>
      <c r="C56" s="87">
        <v>2</v>
      </c>
    </row>
    <row r="57" spans="1:3" ht="12.75">
      <c r="A57" s="70">
        <f>Zones!A44</f>
        <v>33</v>
      </c>
      <c r="B57" s="71" t="str">
        <f>Zones!B44</f>
        <v>SNHSWAXX</v>
      </c>
      <c r="C57" s="87">
        <v>2</v>
      </c>
    </row>
    <row r="58" spans="1:3" ht="12.75">
      <c r="A58" s="70">
        <f>Zones!A45</f>
        <v>34</v>
      </c>
      <c r="B58" s="71" t="str">
        <f>Zones!B45</f>
        <v>KNWCWAXC</v>
      </c>
      <c r="C58" s="87">
        <v>2</v>
      </c>
    </row>
    <row r="59" spans="1:3" ht="12.75">
      <c r="A59" s="70">
        <f>Zones!A46</f>
        <v>35</v>
      </c>
      <c r="B59" s="71" t="str">
        <f>Zones!B46</f>
        <v>BLANWAXB</v>
      </c>
      <c r="C59" s="87">
        <v>2</v>
      </c>
    </row>
    <row r="60" spans="1:3" ht="12.75">
      <c r="A60" s="70">
        <f>Zones!A47</f>
        <v>36</v>
      </c>
      <c r="B60" s="71" t="str">
        <f>Zones!B47</f>
        <v>DVLLWAXX</v>
      </c>
      <c r="C60" s="87">
        <v>2</v>
      </c>
    </row>
    <row r="61" spans="1:3" ht="12.75">
      <c r="A61" s="70">
        <f>Zones!A48</f>
        <v>37</v>
      </c>
      <c r="B61" s="71" t="str">
        <f>Zones!B48</f>
        <v>STWDWAXX</v>
      </c>
      <c r="C61" s="87">
        <v>2</v>
      </c>
    </row>
    <row r="62" spans="1:3" ht="12.75">
      <c r="A62" s="70">
        <f>Zones!A49</f>
        <v>38</v>
      </c>
      <c r="B62" s="71" t="str">
        <f>Zones!B49</f>
        <v>LYNDWAXX</v>
      </c>
      <c r="C62" s="87">
        <v>2</v>
      </c>
    </row>
    <row r="63" spans="1:3" ht="12.75">
      <c r="A63" s="70">
        <f>Zones!A50</f>
        <v>39</v>
      </c>
      <c r="B63" s="71" t="str">
        <f>Zones!B50</f>
        <v>CPVLWAXX</v>
      </c>
      <c r="C63" s="87">
        <v>2</v>
      </c>
    </row>
    <row r="64" spans="1:3" ht="12.75">
      <c r="A64" s="70">
        <f>Zones!A51</f>
        <v>40</v>
      </c>
      <c r="B64" s="71" t="str">
        <f>Zones!B51</f>
        <v>LACNWAXX</v>
      </c>
      <c r="C64" s="87">
        <v>2</v>
      </c>
    </row>
    <row r="65" spans="1:3" ht="12.75">
      <c r="A65" s="70">
        <f>Zones!A52</f>
        <v>41</v>
      </c>
      <c r="B65" s="71" t="str">
        <f>Zones!B52</f>
        <v>CMISWAXA</v>
      </c>
      <c r="C65" s="87">
        <v>2</v>
      </c>
    </row>
    <row r="66" spans="1:3" ht="12.75">
      <c r="A66" s="70">
        <f>Zones!A53</f>
        <v>42</v>
      </c>
      <c r="B66" s="71" t="str">
        <f>Zones!B53</f>
        <v>FNDLWAXA</v>
      </c>
      <c r="C66" s="87">
        <v>2</v>
      </c>
    </row>
    <row r="67" spans="1:3" ht="12.75">
      <c r="A67" s="70">
        <f>Zones!A54</f>
        <v>43</v>
      </c>
      <c r="B67" s="71" t="str">
        <f>Zones!B54</f>
        <v>SWLYWAXX</v>
      </c>
      <c r="C67" s="87">
        <v>2</v>
      </c>
    </row>
    <row r="68" spans="1:3" ht="12.75">
      <c r="A68" s="70">
        <f>Zones!A55</f>
        <v>44</v>
      </c>
      <c r="B68" s="71" t="str">
        <f>Zones!B55</f>
        <v>LARLWAXX</v>
      </c>
      <c r="C68" s="87">
        <v>2</v>
      </c>
    </row>
    <row r="69" spans="1:3" ht="12.75">
      <c r="A69" s="70">
        <f>Zones!A56</f>
        <v>45</v>
      </c>
      <c r="B69" s="71" t="str">
        <f>Zones!B56</f>
        <v>ARTNWAXX</v>
      </c>
      <c r="C69" s="87">
        <v>2</v>
      </c>
    </row>
    <row r="70" spans="1:3" ht="12.75">
      <c r="A70" s="70">
        <f>Zones!A57</f>
        <v>46</v>
      </c>
      <c r="B70" s="71" t="str">
        <f>Zones!B57</f>
        <v>WDLDWAXA</v>
      </c>
      <c r="C70" s="87">
        <v>2</v>
      </c>
    </row>
    <row r="71" spans="1:3" ht="12.75">
      <c r="A71" s="70">
        <f>Zones!A58</f>
        <v>47</v>
      </c>
      <c r="B71" s="71" t="str">
        <f>Zones!B58</f>
        <v>GRLDWAXX</v>
      </c>
      <c r="C71" s="87">
        <v>2</v>
      </c>
    </row>
    <row r="72" spans="1:3" ht="12.75">
      <c r="A72" s="70">
        <f>Zones!A59</f>
        <v>48</v>
      </c>
      <c r="B72" s="71" t="str">
        <f>Zones!B59</f>
        <v>EVSNWAXX</v>
      </c>
      <c r="C72" s="87">
        <v>2</v>
      </c>
    </row>
    <row r="73" spans="1:3" ht="12.75">
      <c r="A73" s="70">
        <f>Zones!A60</f>
        <v>49</v>
      </c>
      <c r="B73" s="71" t="str">
        <f>Zones!B60</f>
        <v>CSTRWAXA</v>
      </c>
      <c r="C73" s="87">
        <v>2</v>
      </c>
    </row>
    <row r="74" spans="1:3" ht="12.75">
      <c r="A74" s="70">
        <f>Zones!A61</f>
        <v>50</v>
      </c>
      <c r="B74" s="71" t="str">
        <f>Zones!B61</f>
        <v>CSHRWAXX</v>
      </c>
      <c r="C74" s="87">
        <v>2</v>
      </c>
    </row>
    <row r="75" spans="1:3" ht="12.75">
      <c r="A75" s="70">
        <f>Zones!A62</f>
        <v>51</v>
      </c>
      <c r="B75" s="71" t="str">
        <f>Zones!B62</f>
        <v>SULTWAXX</v>
      </c>
      <c r="C75" s="87">
        <v>2</v>
      </c>
    </row>
    <row r="76" spans="1:3" ht="12.75">
      <c r="A76" s="70">
        <f>Zones!A63</f>
        <v>52</v>
      </c>
      <c r="B76" s="71" t="str">
        <f>Zones!B63</f>
        <v>GRFLWAXX</v>
      </c>
      <c r="C76" s="87">
        <v>2</v>
      </c>
    </row>
    <row r="77" spans="1:3" ht="12.75">
      <c r="A77" s="70">
        <f>Zones!A64</f>
        <v>53</v>
      </c>
      <c r="B77" s="71" t="str">
        <f>Zones!B64</f>
        <v>CNWYWAXX</v>
      </c>
      <c r="C77" s="87">
        <v>2</v>
      </c>
    </row>
    <row r="78" spans="1:3" ht="12.75">
      <c r="A78" s="70">
        <f>Zones!A65</f>
        <v>54</v>
      </c>
      <c r="B78" s="71" t="str">
        <f>Zones!B65</f>
        <v>MNSNWAXA</v>
      </c>
      <c r="C78" s="87">
        <v>3</v>
      </c>
    </row>
    <row r="79" spans="1:3" ht="12.75">
      <c r="A79" s="70">
        <f>Zones!A66</f>
        <v>55</v>
      </c>
      <c r="B79" s="71" t="str">
        <f>Zones!B66</f>
        <v>SUMSWAXX</v>
      </c>
      <c r="C79" s="87">
        <v>3</v>
      </c>
    </row>
    <row r="80" spans="1:3" ht="12.75">
      <c r="A80" s="70">
        <f>Zones!A67</f>
        <v>56</v>
      </c>
      <c r="B80" s="71" t="str">
        <f>Zones!B67</f>
        <v>ALGRWAXX</v>
      </c>
      <c r="C80" s="87">
        <v>3</v>
      </c>
    </row>
    <row r="81" spans="1:3" ht="12.75">
      <c r="A81" s="70">
        <f>Zones!A68</f>
        <v>57</v>
      </c>
      <c r="B81" s="71" t="str">
        <f>Zones!B68</f>
        <v>EDSNWAXX</v>
      </c>
      <c r="C81" s="87">
        <v>3</v>
      </c>
    </row>
    <row r="82" spans="1:3" ht="12.75">
      <c r="A82" s="70">
        <f>Zones!A69</f>
        <v>58</v>
      </c>
      <c r="B82" s="71" t="str">
        <f>Zones!B69</f>
        <v>BNCYWAXX</v>
      </c>
      <c r="C82" s="87">
        <v>3</v>
      </c>
    </row>
    <row r="83" spans="1:3" ht="12.75">
      <c r="A83" s="70">
        <f>Zones!A70</f>
        <v>59</v>
      </c>
      <c r="B83" s="71" t="str">
        <f>Zones!B70</f>
        <v>CHLNWAXX</v>
      </c>
      <c r="C83" s="87">
        <v>3</v>
      </c>
    </row>
    <row r="84" spans="1:3" ht="12.75">
      <c r="A84" s="70">
        <f>Zones!A71</f>
        <v>60</v>
      </c>
      <c r="B84" s="71" t="str">
        <f>Zones!B71</f>
        <v>ACMEWAXA</v>
      </c>
      <c r="C84" s="87">
        <v>3</v>
      </c>
    </row>
    <row r="85" spans="1:3" ht="12.75">
      <c r="A85" s="70">
        <f>Zones!A72</f>
        <v>61</v>
      </c>
      <c r="B85" s="71" t="str">
        <f>Zones!B72</f>
        <v>NCHSWAXX</v>
      </c>
      <c r="C85" s="87">
        <v>3</v>
      </c>
    </row>
    <row r="86" spans="1:3" ht="12.75">
      <c r="A86" s="70">
        <f>Zones!A73</f>
        <v>62</v>
      </c>
      <c r="B86" s="71" t="str">
        <f>Zones!B73</f>
        <v>SOLKWAXX</v>
      </c>
      <c r="C86" s="87">
        <v>3</v>
      </c>
    </row>
    <row r="87" spans="1:3" ht="12.75">
      <c r="A87" s="70">
        <f>Zones!A74</f>
        <v>63</v>
      </c>
      <c r="B87" s="71" t="str">
        <f>Zones!B74</f>
        <v>WSRVWAXA</v>
      </c>
      <c r="C87" s="87">
        <v>3</v>
      </c>
    </row>
    <row r="88" spans="1:3" ht="12.75">
      <c r="A88" s="70">
        <f>Zones!A75</f>
        <v>64</v>
      </c>
      <c r="B88" s="71" t="str">
        <f>Zones!B75</f>
        <v>DMNGWAXA</v>
      </c>
      <c r="C88" s="87">
        <v>3</v>
      </c>
    </row>
    <row r="89" spans="1:3" ht="12.75">
      <c r="A89" s="70">
        <f>Zones!A76</f>
        <v>65</v>
      </c>
      <c r="B89" s="71" t="str">
        <f>Zones!B76</f>
        <v>HMTNWAXA</v>
      </c>
      <c r="C89" s="87">
        <v>3</v>
      </c>
    </row>
    <row r="90" spans="1:3" ht="12.75">
      <c r="A90" s="70">
        <f>Zones!A77</f>
        <v>66</v>
      </c>
      <c r="B90" s="71" t="str">
        <f>Zones!B77</f>
        <v>LVWOWAXX</v>
      </c>
      <c r="C90" s="87">
        <v>3</v>
      </c>
    </row>
    <row r="91" spans="1:3" ht="12.75">
      <c r="A91" s="70">
        <f>Zones!A78</f>
        <v>67</v>
      </c>
      <c r="B91" s="71" t="str">
        <f>Zones!B78</f>
        <v>BGLKWAXX</v>
      </c>
      <c r="C91" s="87">
        <v>3</v>
      </c>
    </row>
    <row r="92" spans="1:3" ht="12.75">
      <c r="A92" s="70">
        <f>Zones!A79</f>
        <v>68</v>
      </c>
      <c r="B92" s="71" t="str">
        <f>Zones!B79</f>
        <v>DRTNWAXX</v>
      </c>
      <c r="C92" s="87">
        <v>3</v>
      </c>
    </row>
    <row r="93" spans="1:3" ht="12.75">
      <c r="A93" s="70">
        <f>Zones!A80</f>
        <v>69</v>
      </c>
      <c r="B93" s="71" t="str">
        <f>Zones!B80</f>
        <v>SKYKWAXX</v>
      </c>
      <c r="C93" s="87">
        <v>3</v>
      </c>
    </row>
    <row r="94" spans="1:3" ht="12.75">
      <c r="A94" s="70">
        <f>Zones!A81</f>
        <v>70</v>
      </c>
      <c r="B94" s="71" t="str">
        <f>Zones!B81</f>
        <v>QNCYWAXX</v>
      </c>
      <c r="C94" s="87">
        <v>3</v>
      </c>
    </row>
    <row r="95" spans="1:3" ht="12.75">
      <c r="A95" s="70">
        <f>Zones!A82</f>
        <v>71</v>
      </c>
      <c r="B95" s="71" t="str">
        <f>Zones!B82</f>
        <v>NWPTWAXX</v>
      </c>
      <c r="C95" s="87">
        <v>3</v>
      </c>
    </row>
    <row r="96" spans="1:3" ht="12.75">
      <c r="A96" s="70">
        <f>Zones!A83</f>
        <v>72</v>
      </c>
      <c r="B96" s="71" t="str">
        <f>Zones!B83</f>
        <v>BRWSWAXA</v>
      </c>
      <c r="C96" s="87">
        <v>3</v>
      </c>
    </row>
    <row r="97" spans="1:3" ht="12.75">
      <c r="A97" s="70">
        <f>Zones!A84</f>
        <v>73</v>
      </c>
      <c r="B97" s="71" t="str">
        <f>Zones!B84</f>
        <v>LKWNWAXA</v>
      </c>
      <c r="C97" s="87">
        <v>3</v>
      </c>
    </row>
    <row r="98" spans="1:3" ht="12.75">
      <c r="A98" s="70">
        <f>Zones!A85</f>
        <v>74</v>
      </c>
      <c r="B98" s="71" t="str">
        <f>Zones!B85</f>
        <v>NILEWAXX</v>
      </c>
      <c r="C98" s="87">
        <v>3</v>
      </c>
    </row>
    <row r="99" spans="1:3" ht="12.75">
      <c r="A99" s="70">
        <f>Zones!A86</f>
        <v>75</v>
      </c>
      <c r="B99" s="71" t="str">
        <f>Zones!B86</f>
        <v>PALSWAXX</v>
      </c>
      <c r="C99" s="87">
        <v>4</v>
      </c>
    </row>
    <row r="100" spans="1:3" ht="12.75">
      <c r="A100" s="70">
        <f>Zones!A87</f>
        <v>76</v>
      </c>
      <c r="B100" s="71" t="str">
        <f>Zones!B87</f>
        <v>CNCRWAXX</v>
      </c>
      <c r="C100" s="87">
        <v>4</v>
      </c>
    </row>
    <row r="101" spans="1:3" ht="12.75">
      <c r="A101" s="70">
        <f>Zones!A88</f>
        <v>77</v>
      </c>
      <c r="B101" s="71" t="str">
        <f>Zones!B88</f>
        <v>ENTTWAXX</v>
      </c>
      <c r="C101" s="87">
        <v>4</v>
      </c>
    </row>
    <row r="102" spans="1:3" ht="12.75">
      <c r="A102" s="70">
        <f>Zones!A89</f>
        <v>78</v>
      </c>
      <c r="B102" s="71" t="str">
        <f>Zones!B89</f>
        <v>MPFLWAXA</v>
      </c>
      <c r="C102" s="87">
        <v>4</v>
      </c>
    </row>
    <row r="103" spans="1:3" ht="12.75">
      <c r="A103" s="70">
        <f>Zones!A90</f>
        <v>79</v>
      </c>
      <c r="B103" s="71" t="str">
        <f>Zones!B90</f>
        <v>TEKOWAXX</v>
      </c>
      <c r="C103" s="87">
        <v>4</v>
      </c>
    </row>
    <row r="104" spans="1:3" ht="12.75">
      <c r="A104" s="70">
        <f>Zones!A91</f>
        <v>80</v>
      </c>
      <c r="B104" s="71" t="str">
        <f>Zones!B91</f>
        <v>RPBLWAXA</v>
      </c>
      <c r="C104" s="87">
        <v>4</v>
      </c>
    </row>
    <row r="105" spans="1:3" ht="12.75">
      <c r="A105" s="70">
        <f>Zones!A92</f>
        <v>81</v>
      </c>
      <c r="B105" s="71" t="str">
        <f>Zones!B92</f>
        <v>STPSWAXA</v>
      </c>
      <c r="C105" s="87">
        <v>4</v>
      </c>
    </row>
    <row r="106" spans="1:3" ht="12.75">
      <c r="A106" s="70">
        <f>Zones!A93</f>
        <v>82</v>
      </c>
      <c r="B106" s="71" t="str">
        <f>Zones!B93</f>
        <v>GERGWAXX</v>
      </c>
      <c r="C106" s="95">
        <v>4</v>
      </c>
    </row>
    <row r="107" spans="1:3" ht="12.75">
      <c r="A107" s="70">
        <f>Zones!A94</f>
        <v>83</v>
      </c>
      <c r="B107" s="71" t="str">
        <f>Zones!B94</f>
        <v>LATHWAXA</v>
      </c>
      <c r="C107" s="95">
        <v>4</v>
      </c>
    </row>
    <row r="108" spans="1:3" ht="12.75">
      <c r="A108" s="70">
        <f>Zones!A95</f>
        <v>84</v>
      </c>
      <c r="B108" s="71" t="str">
        <f>Zones!B95</f>
        <v>BRPTWAXX</v>
      </c>
      <c r="C108" s="95">
        <v>4</v>
      </c>
    </row>
    <row r="109" spans="1:3" ht="12.75">
      <c r="A109" s="70">
        <f>Zones!A96</f>
        <v>85</v>
      </c>
      <c r="B109" s="71" t="str">
        <f>Zones!B96</f>
        <v>RCFRWAXB</v>
      </c>
      <c r="C109" s="95">
        <v>4</v>
      </c>
    </row>
    <row r="110" spans="1:3" ht="12.75">
      <c r="A110" s="70">
        <f>Zones!A97</f>
        <v>86</v>
      </c>
      <c r="B110" s="71" t="str">
        <f>Zones!B97</f>
        <v>FRFDWAXA</v>
      </c>
      <c r="C110" s="95">
        <v>4</v>
      </c>
    </row>
    <row r="111" spans="1:3" ht="12.75">
      <c r="A111" s="70">
        <f>Zones!A98</f>
        <v>87</v>
      </c>
      <c r="B111" s="71" t="str">
        <f>Zones!B98</f>
        <v>FRTNWAXX</v>
      </c>
      <c r="C111" s="95">
        <v>4</v>
      </c>
    </row>
    <row r="112" spans="1:3" ht="12.75">
      <c r="A112" s="70">
        <f>Zones!A99</f>
        <v>88</v>
      </c>
      <c r="B112" s="71" t="str">
        <f>Zones!B99</f>
        <v>GRFDWAXX</v>
      </c>
      <c r="C112" s="95">
        <v>4</v>
      </c>
    </row>
    <row r="113" spans="1:3" ht="12.75">
      <c r="A113" s="70">
        <f>Zones!A100</f>
        <v>89</v>
      </c>
      <c r="B113" s="71" t="str">
        <f>Zones!B100</f>
        <v>MRBLWAXX</v>
      </c>
      <c r="C113" s="95">
        <v>4</v>
      </c>
    </row>
    <row r="114" spans="1:3" ht="12.75">
      <c r="A114" s="70">
        <f>Zones!A101</f>
        <v>90</v>
      </c>
      <c r="B114" s="71" t="str">
        <f>Zones!B101</f>
        <v>MLDNWAXA</v>
      </c>
      <c r="C114" s="95">
        <v>5</v>
      </c>
    </row>
    <row r="115" spans="1:3" ht="12.75">
      <c r="A115" s="70">
        <f>Zones!A102</f>
        <v>91</v>
      </c>
      <c r="B115" s="71" t="str">
        <f>Zones!B102</f>
        <v>TNSKWAXA</v>
      </c>
      <c r="C115" s="95">
        <v>5</v>
      </c>
    </row>
    <row r="116" spans="1:3" ht="12.75">
      <c r="A116" s="70">
        <f>Zones!A103</f>
        <v>92</v>
      </c>
      <c r="B116" s="71" t="str">
        <f>Zones!B103</f>
        <v>OKDLWAXX</v>
      </c>
      <c r="C116" s="95">
        <v>5</v>
      </c>
    </row>
    <row r="117" spans="1:3" ht="12.75">
      <c r="A117" s="70">
        <f>Zones!A104</f>
        <v>93</v>
      </c>
      <c r="B117" s="71" t="str">
        <f>Zones!B104</f>
        <v>WTVLWAXA</v>
      </c>
      <c r="C117" s="95">
        <v>5</v>
      </c>
    </row>
    <row r="118" spans="1:3" ht="12.75">
      <c r="A118" s="70">
        <f>Zones!A105</f>
        <v>94</v>
      </c>
      <c r="B118" s="71" t="str">
        <f>Zones!B105</f>
        <v>ROSLWAXA</v>
      </c>
      <c r="C118" s="95">
        <v>5</v>
      </c>
    </row>
    <row r="119" spans="1:3" ht="12.75">
      <c r="A119" s="70">
        <f>Zones!A106</f>
        <v>95</v>
      </c>
      <c r="B119" s="71" t="str">
        <f>Zones!B106</f>
        <v>CRLWWAXA</v>
      </c>
      <c r="C119" s="95">
        <v>5</v>
      </c>
    </row>
    <row r="120" spans="1:3" ht="12.75">
      <c r="A120" s="70">
        <f>Zones!A107</f>
        <v>96</v>
      </c>
      <c r="B120" s="71" t="str">
        <f>Zones!B107</f>
        <v>LOMSWAXA</v>
      </c>
      <c r="C120" s="95">
        <v>5</v>
      </c>
    </row>
    <row r="121" spans="1:3" ht="12.75">
      <c r="A121" s="70">
        <f>Zones!A108</f>
        <v>97</v>
      </c>
      <c r="B121" s="71" t="str">
        <f>Zones!B108</f>
        <v>MNFDWAXX</v>
      </c>
      <c r="C121" s="95">
        <v>5</v>
      </c>
    </row>
    <row r="122" spans="1:3" ht="12.75">
      <c r="A122" s="70">
        <f>Zones!A109</f>
        <v>98</v>
      </c>
      <c r="B122" s="71" t="str">
        <f>Zones!B109</f>
        <v>THTNWAXA</v>
      </c>
      <c r="C122" s="95">
        <v>5</v>
      </c>
    </row>
    <row r="123" spans="1:3" ht="12.75">
      <c r="A123" s="70">
        <f>Zones!A110</f>
        <v>99</v>
      </c>
      <c r="B123" s="71" t="str">
        <f>Zones!B110</f>
        <v>MLSNWAXA</v>
      </c>
      <c r="C123" s="95">
        <v>5</v>
      </c>
    </row>
    <row r="124" ht="12.75">
      <c r="C124" s="87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  <row r="1613" ht="12.75">
      <c r="C1613" s="4"/>
    </row>
    <row r="1614" ht="12.75">
      <c r="C1614" s="4"/>
    </row>
    <row r="1615" ht="12.75">
      <c r="C1615" s="4"/>
    </row>
    <row r="1616" ht="12.75">
      <c r="C1616" s="4"/>
    </row>
    <row r="1617" ht="12.75">
      <c r="C1617" s="4"/>
    </row>
    <row r="1618" ht="12.75">
      <c r="C1618" s="4"/>
    </row>
    <row r="1619" ht="12.75">
      <c r="C1619" s="4"/>
    </row>
    <row r="1620" ht="12.75">
      <c r="C1620" s="4"/>
    </row>
    <row r="1621" ht="12.75">
      <c r="C1621" s="4"/>
    </row>
    <row r="1622" ht="12.75">
      <c r="C1622" s="4"/>
    </row>
    <row r="1623" ht="12.75">
      <c r="C1623" s="4"/>
    </row>
    <row r="1624" ht="12.75">
      <c r="C1624" s="4"/>
    </row>
    <row r="1625" ht="12.75">
      <c r="C1625" s="4"/>
    </row>
    <row r="1626" ht="12.75">
      <c r="C1626" s="4"/>
    </row>
    <row r="1627" ht="12.75">
      <c r="C1627" s="4"/>
    </row>
    <row r="1628" ht="12.75">
      <c r="C1628" s="4"/>
    </row>
    <row r="1629" ht="12.75">
      <c r="C1629" s="4"/>
    </row>
    <row r="1630" ht="12.75">
      <c r="C1630" s="4"/>
    </row>
    <row r="1631" ht="12.75">
      <c r="C1631" s="4"/>
    </row>
    <row r="1632" ht="12.75">
      <c r="C1632" s="4"/>
    </row>
    <row r="1633" ht="12.75">
      <c r="C1633" s="4"/>
    </row>
    <row r="1634" ht="12.75">
      <c r="C1634" s="4"/>
    </row>
    <row r="1635" ht="12.75">
      <c r="C1635" s="4"/>
    </row>
    <row r="1636" ht="12.75">
      <c r="C1636" s="4"/>
    </row>
    <row r="1637" ht="12.75">
      <c r="C1637" s="4"/>
    </row>
    <row r="1638" ht="12.75">
      <c r="C1638" s="4"/>
    </row>
    <row r="1639" ht="12.75">
      <c r="C1639" s="4"/>
    </row>
    <row r="1640" ht="12.75">
      <c r="C1640" s="4"/>
    </row>
    <row r="1641" ht="12.75">
      <c r="C1641" s="4"/>
    </row>
    <row r="1642" ht="12.75">
      <c r="C1642" s="4"/>
    </row>
    <row r="1643" ht="12.75">
      <c r="C1643" s="4"/>
    </row>
    <row r="1644" ht="12.75">
      <c r="C1644" s="4"/>
    </row>
    <row r="1645" ht="12.75">
      <c r="C1645" s="4"/>
    </row>
    <row r="1646" ht="12.75">
      <c r="C1646" s="4"/>
    </row>
    <row r="1647" ht="12.75">
      <c r="C1647" s="4"/>
    </row>
    <row r="1648" ht="12.75">
      <c r="C1648" s="4"/>
    </row>
    <row r="1649" ht="12.75">
      <c r="C1649" s="4"/>
    </row>
    <row r="1650" ht="12.75">
      <c r="C1650" s="4"/>
    </row>
    <row r="1651" ht="12.75">
      <c r="C1651" s="4"/>
    </row>
    <row r="1652" ht="12.75">
      <c r="C1652" s="4"/>
    </row>
    <row r="1653" ht="12.75">
      <c r="C1653" s="4"/>
    </row>
    <row r="1654" ht="12.75">
      <c r="C1654" s="4"/>
    </row>
    <row r="1655" ht="12.75">
      <c r="C1655" s="4"/>
    </row>
    <row r="1656" ht="12.75">
      <c r="C1656" s="4"/>
    </row>
    <row r="1657" ht="12.75">
      <c r="C1657" s="4"/>
    </row>
    <row r="1658" ht="12.75">
      <c r="C1658" s="4"/>
    </row>
    <row r="1659" ht="12.75">
      <c r="C1659" s="4"/>
    </row>
    <row r="1660" ht="12.75">
      <c r="C1660" s="4"/>
    </row>
    <row r="1661" ht="12.75">
      <c r="C1661" s="4"/>
    </row>
    <row r="1662" ht="12.75">
      <c r="C1662" s="4"/>
    </row>
    <row r="1663" ht="12.75">
      <c r="C1663" s="4"/>
    </row>
    <row r="1664" ht="12.75">
      <c r="C1664" s="4"/>
    </row>
    <row r="1665" ht="12.75">
      <c r="C1665" s="4"/>
    </row>
    <row r="1666" ht="12.75">
      <c r="C1666" s="4"/>
    </row>
    <row r="1667" ht="12.75">
      <c r="C1667" s="4"/>
    </row>
    <row r="1668" ht="12.75">
      <c r="C1668" s="4"/>
    </row>
    <row r="1669" ht="12.75">
      <c r="C1669" s="4"/>
    </row>
    <row r="1670" ht="12.75">
      <c r="C1670" s="4"/>
    </row>
    <row r="1671" ht="12.75">
      <c r="C1671" s="4"/>
    </row>
    <row r="1672" ht="12.75">
      <c r="C1672" s="4"/>
    </row>
    <row r="1673" ht="12.75">
      <c r="C1673" s="4"/>
    </row>
    <row r="1674" ht="12.75">
      <c r="C1674" s="4"/>
    </row>
    <row r="1675" ht="12.75">
      <c r="C1675" s="4"/>
    </row>
    <row r="1676" ht="12.75">
      <c r="C1676" s="4"/>
    </row>
    <row r="1677" ht="12.75">
      <c r="C1677" s="4"/>
    </row>
    <row r="1678" ht="12.75">
      <c r="C1678" s="4"/>
    </row>
    <row r="1679" ht="12.75">
      <c r="C1679" s="4"/>
    </row>
    <row r="1680" ht="12.75">
      <c r="C1680" s="4"/>
    </row>
    <row r="1681" ht="12.75">
      <c r="C1681" s="4"/>
    </row>
    <row r="1682" ht="12.75">
      <c r="C1682" s="4"/>
    </row>
    <row r="1683" ht="12.75">
      <c r="C1683" s="4"/>
    </row>
    <row r="1684" ht="12.75">
      <c r="C1684" s="4"/>
    </row>
    <row r="1685" ht="12.75">
      <c r="C1685" s="4"/>
    </row>
    <row r="1686" ht="12.75">
      <c r="C1686" s="4"/>
    </row>
    <row r="1687" ht="12.75">
      <c r="C1687" s="4"/>
    </row>
    <row r="1688" ht="12.75">
      <c r="C1688" s="4"/>
    </row>
    <row r="1689" ht="12.75">
      <c r="C1689" s="4"/>
    </row>
    <row r="1690" ht="12.75">
      <c r="C1690" s="4"/>
    </row>
    <row r="1691" ht="12.75">
      <c r="C1691" s="4"/>
    </row>
    <row r="1692" ht="12.75">
      <c r="C1692" s="4"/>
    </row>
    <row r="1693" ht="12.75">
      <c r="C1693" s="4"/>
    </row>
    <row r="1694" ht="12.75">
      <c r="C1694" s="4"/>
    </row>
    <row r="1695" ht="12.75">
      <c r="C1695" s="4"/>
    </row>
    <row r="1696" ht="12.75">
      <c r="C1696" s="4"/>
    </row>
    <row r="1697" ht="12.75">
      <c r="C1697" s="4"/>
    </row>
    <row r="1698" ht="12.75">
      <c r="C1698" s="4"/>
    </row>
    <row r="1699" ht="12.75">
      <c r="C1699" s="4"/>
    </row>
    <row r="1700" ht="12.75">
      <c r="C1700" s="4"/>
    </row>
    <row r="1701" ht="12.75">
      <c r="C1701" s="4"/>
    </row>
    <row r="1702" ht="12.75">
      <c r="C1702" s="4"/>
    </row>
    <row r="1703" ht="12.75">
      <c r="C1703" s="4"/>
    </row>
    <row r="1704" ht="12.75">
      <c r="C1704" s="4"/>
    </row>
    <row r="1705" ht="12.75">
      <c r="C1705" s="4"/>
    </row>
    <row r="1706" ht="12.75">
      <c r="C1706" s="4"/>
    </row>
    <row r="1707" ht="12.75">
      <c r="C1707" s="4"/>
    </row>
    <row r="1708" ht="12.75">
      <c r="C1708" s="4"/>
    </row>
    <row r="1709" ht="12.75">
      <c r="C1709" s="4"/>
    </row>
    <row r="1710" ht="12.75">
      <c r="C1710" s="4"/>
    </row>
    <row r="1711" ht="12.75">
      <c r="C1711" s="4"/>
    </row>
    <row r="1712" ht="12.75">
      <c r="C1712" s="4"/>
    </row>
    <row r="1713" ht="12.75">
      <c r="C1713" s="4"/>
    </row>
    <row r="1714" ht="12.75">
      <c r="C1714" s="4"/>
    </row>
    <row r="1715" ht="12.75">
      <c r="C1715" s="4"/>
    </row>
    <row r="1716" ht="12.75">
      <c r="C1716" s="4"/>
    </row>
    <row r="1717" ht="12.75">
      <c r="C1717" s="4"/>
    </row>
    <row r="1718" ht="12.75">
      <c r="C1718" s="4"/>
    </row>
    <row r="1719" ht="12.75">
      <c r="C1719" s="4"/>
    </row>
    <row r="1720" ht="12.75">
      <c r="C1720" s="4"/>
    </row>
    <row r="1721" ht="12.75">
      <c r="C1721" s="4"/>
    </row>
    <row r="1722" ht="12.75">
      <c r="C1722" s="4"/>
    </row>
    <row r="1723" ht="12.75">
      <c r="C1723" s="4"/>
    </row>
    <row r="1724" ht="12.75">
      <c r="C1724" s="4"/>
    </row>
    <row r="1725" ht="12.75">
      <c r="C1725" s="4"/>
    </row>
    <row r="1726" ht="12.75">
      <c r="C1726" s="4"/>
    </row>
    <row r="1727" ht="12.75">
      <c r="C1727" s="4"/>
    </row>
    <row r="1728" ht="12.75">
      <c r="C1728" s="4"/>
    </row>
    <row r="1729" ht="12.75">
      <c r="C1729" s="4"/>
    </row>
    <row r="1730" ht="12.75">
      <c r="C1730" s="4"/>
    </row>
    <row r="1731" ht="12.75">
      <c r="C1731" s="4"/>
    </row>
    <row r="1732" ht="12.75">
      <c r="C1732" s="4"/>
    </row>
    <row r="1733" ht="12.75">
      <c r="C1733" s="4"/>
    </row>
    <row r="1734" ht="12.75">
      <c r="C1734" s="4"/>
    </row>
    <row r="1735" ht="12.75">
      <c r="C1735" s="4"/>
    </row>
    <row r="1736" ht="12.75">
      <c r="C1736" s="4"/>
    </row>
    <row r="1737" ht="12.75">
      <c r="C1737" s="4"/>
    </row>
    <row r="1738" ht="12.75">
      <c r="C1738" s="4"/>
    </row>
    <row r="1739" ht="12.75">
      <c r="C1739" s="4"/>
    </row>
    <row r="1740" ht="12.75">
      <c r="C1740" s="4"/>
    </row>
    <row r="1741" ht="12.75">
      <c r="C1741" s="4"/>
    </row>
    <row r="1742" ht="12.75">
      <c r="C1742" s="4"/>
    </row>
    <row r="1743" ht="12.75">
      <c r="C1743" s="4"/>
    </row>
    <row r="1744" ht="12.75">
      <c r="C1744" s="4"/>
    </row>
    <row r="1745" ht="12.75">
      <c r="C1745" s="4"/>
    </row>
    <row r="1746" ht="12.75">
      <c r="C1746" s="4"/>
    </row>
    <row r="1747" ht="12.75">
      <c r="C1747" s="4"/>
    </row>
    <row r="1748" ht="12.75">
      <c r="C1748" s="4"/>
    </row>
    <row r="1749" ht="12.75">
      <c r="C1749" s="4"/>
    </row>
    <row r="1750" ht="12.75">
      <c r="C1750" s="4"/>
    </row>
    <row r="1751" ht="12.75">
      <c r="C1751" s="4"/>
    </row>
    <row r="1752" ht="12.75">
      <c r="C1752" s="4"/>
    </row>
    <row r="1753" ht="12.75">
      <c r="C1753" s="4"/>
    </row>
    <row r="1754" ht="12.75">
      <c r="C1754" s="4"/>
    </row>
    <row r="1755" ht="12.75">
      <c r="C1755" s="4"/>
    </row>
    <row r="1756" ht="12.75">
      <c r="C1756" s="4"/>
    </row>
    <row r="1757" ht="12.75">
      <c r="C1757" s="4"/>
    </row>
    <row r="1758" ht="12.75">
      <c r="C1758" s="4"/>
    </row>
    <row r="1759" ht="12.75">
      <c r="C1759" s="4"/>
    </row>
    <row r="1760" ht="12.75">
      <c r="C1760" s="4"/>
    </row>
    <row r="1761" ht="12.75">
      <c r="C1761" s="4"/>
    </row>
    <row r="1762" ht="12.75">
      <c r="C1762" s="4"/>
    </row>
    <row r="1763" ht="12.75">
      <c r="C1763" s="4"/>
    </row>
    <row r="1764" ht="12.75">
      <c r="C1764" s="4"/>
    </row>
    <row r="1765" ht="12.75">
      <c r="C1765" s="4"/>
    </row>
    <row r="1766" ht="12.75">
      <c r="C1766" s="4"/>
    </row>
    <row r="1767" ht="12.75">
      <c r="C1767" s="4"/>
    </row>
    <row r="1768" ht="12.75">
      <c r="C1768" s="4"/>
    </row>
    <row r="1769" ht="12.75">
      <c r="C1769" s="4"/>
    </row>
    <row r="1770" ht="12.75">
      <c r="C1770" s="4"/>
    </row>
    <row r="1771" ht="12.75">
      <c r="C1771" s="4"/>
    </row>
    <row r="1772" ht="12.75">
      <c r="C1772" s="4"/>
    </row>
    <row r="1773" ht="12.75">
      <c r="C1773" s="4"/>
    </row>
    <row r="1774" ht="12.75">
      <c r="C1774" s="4"/>
    </row>
    <row r="1775" ht="12.75">
      <c r="C1775" s="4"/>
    </row>
    <row r="1776" ht="12.75">
      <c r="C1776" s="4"/>
    </row>
    <row r="1777" ht="12.75">
      <c r="C1777" s="4"/>
    </row>
    <row r="1778" ht="12.75">
      <c r="C1778" s="4"/>
    </row>
    <row r="1779" ht="12.75">
      <c r="C1779" s="4"/>
    </row>
    <row r="1780" ht="12.75">
      <c r="C1780" s="4"/>
    </row>
    <row r="1781" ht="12.75">
      <c r="C1781" s="4"/>
    </row>
    <row r="1782" ht="12.75">
      <c r="C1782" s="4"/>
    </row>
    <row r="1783" ht="12.75">
      <c r="C1783" s="4"/>
    </row>
    <row r="1784" ht="12.75">
      <c r="C1784" s="4"/>
    </row>
    <row r="1785" ht="12.75">
      <c r="C1785" s="4"/>
    </row>
    <row r="1786" ht="12.75">
      <c r="C1786" s="4"/>
    </row>
    <row r="1787" ht="12.75">
      <c r="C1787" s="4"/>
    </row>
    <row r="1788" ht="12.75">
      <c r="C1788" s="4"/>
    </row>
    <row r="1789" ht="12.75">
      <c r="C1789" s="4"/>
    </row>
    <row r="1790" ht="12.75">
      <c r="C1790" s="4"/>
    </row>
    <row r="1791" ht="12.75">
      <c r="C1791" s="4"/>
    </row>
    <row r="1792" ht="12.75">
      <c r="C1792" s="4"/>
    </row>
    <row r="1793" ht="12.75">
      <c r="C1793" s="4"/>
    </row>
    <row r="1794" ht="12.75">
      <c r="C1794" s="4"/>
    </row>
    <row r="1795" ht="12.75">
      <c r="C1795" s="4"/>
    </row>
    <row r="1796" ht="12.75">
      <c r="C1796" s="4"/>
    </row>
    <row r="1797" ht="12.75">
      <c r="C1797" s="4"/>
    </row>
    <row r="1798" ht="12.75">
      <c r="C1798" s="4"/>
    </row>
    <row r="1799" ht="12.75">
      <c r="C1799" s="4"/>
    </row>
    <row r="1800" ht="12.75">
      <c r="C1800" s="4"/>
    </row>
    <row r="1801" ht="12.75">
      <c r="C1801" s="4"/>
    </row>
    <row r="1802" ht="12.75">
      <c r="C1802" s="4"/>
    </row>
    <row r="1803" ht="12.75">
      <c r="C1803" s="4"/>
    </row>
    <row r="1804" ht="12.75">
      <c r="C1804" s="4"/>
    </row>
    <row r="1805" ht="12.75">
      <c r="C1805" s="4"/>
    </row>
    <row r="1806" ht="12.75">
      <c r="C1806" s="4"/>
    </row>
    <row r="1807" ht="12.75">
      <c r="C1807" s="4"/>
    </row>
    <row r="1808" ht="12.75">
      <c r="C1808" s="4"/>
    </row>
    <row r="1809" ht="12.75">
      <c r="C1809" s="4"/>
    </row>
    <row r="1810" ht="12.75">
      <c r="C1810" s="4"/>
    </row>
    <row r="1811" ht="12.75">
      <c r="C1811" s="4"/>
    </row>
    <row r="1812" ht="12.75">
      <c r="C1812" s="4"/>
    </row>
    <row r="1813" ht="12.75">
      <c r="C1813" s="4"/>
    </row>
    <row r="1814" ht="12.75">
      <c r="C1814" s="4"/>
    </row>
    <row r="1815" ht="12.75">
      <c r="C1815" s="4"/>
    </row>
    <row r="1816" ht="12.75">
      <c r="C1816" s="4"/>
    </row>
    <row r="1817" ht="12.75">
      <c r="C1817" s="4"/>
    </row>
    <row r="1818" ht="12.75">
      <c r="C1818" s="4"/>
    </row>
    <row r="1819" ht="12.75">
      <c r="C1819" s="4"/>
    </row>
    <row r="1820" ht="12.75">
      <c r="C1820" s="4"/>
    </row>
    <row r="1821" ht="12.75">
      <c r="C1821" s="4"/>
    </row>
    <row r="1822" ht="12.75">
      <c r="C1822" s="4"/>
    </row>
    <row r="1823" ht="12.75">
      <c r="C1823" s="4"/>
    </row>
    <row r="1824" ht="12.75">
      <c r="C1824" s="4"/>
    </row>
    <row r="1825" ht="12.75">
      <c r="C1825" s="4"/>
    </row>
    <row r="1826" ht="12.75">
      <c r="C1826" s="4"/>
    </row>
    <row r="1827" ht="12.75">
      <c r="C1827" s="4"/>
    </row>
    <row r="1828" ht="12.75">
      <c r="C1828" s="4"/>
    </row>
    <row r="1829" ht="12.75">
      <c r="C1829" s="4"/>
    </row>
    <row r="1830" ht="12.75">
      <c r="C1830" s="4"/>
    </row>
    <row r="1831" ht="12.75">
      <c r="C1831" s="4"/>
    </row>
    <row r="1832" ht="12.75">
      <c r="C1832" s="4"/>
    </row>
    <row r="1833" ht="12.75">
      <c r="C1833" s="4"/>
    </row>
    <row r="1834" ht="12.75">
      <c r="C1834" s="4"/>
    </row>
    <row r="1835" ht="12.75">
      <c r="C1835" s="4"/>
    </row>
    <row r="1836" ht="12.75">
      <c r="C1836" s="4"/>
    </row>
    <row r="1837" ht="12.75">
      <c r="C1837" s="4"/>
    </row>
    <row r="1838" ht="12.75">
      <c r="C1838" s="4"/>
    </row>
    <row r="1839" ht="12.75">
      <c r="C1839" s="4"/>
    </row>
    <row r="1840" ht="12.75">
      <c r="C1840" s="4"/>
    </row>
    <row r="1841" ht="12.75">
      <c r="C1841" s="4"/>
    </row>
    <row r="1842" ht="12.75">
      <c r="C1842" s="4"/>
    </row>
    <row r="1843" ht="12.75">
      <c r="C1843" s="4"/>
    </row>
    <row r="1844" ht="12.75">
      <c r="C1844" s="4"/>
    </row>
    <row r="1845" ht="12.75">
      <c r="C1845" s="4"/>
    </row>
    <row r="1846" ht="12.75">
      <c r="C1846" s="4"/>
    </row>
    <row r="1847" ht="12.75">
      <c r="C1847" s="4"/>
    </row>
    <row r="1848" ht="12.75">
      <c r="C1848" s="4"/>
    </row>
    <row r="1849" ht="12.75">
      <c r="C1849" s="4"/>
    </row>
    <row r="1850" ht="12.75">
      <c r="C1850" s="4"/>
    </row>
    <row r="1851" ht="12.75">
      <c r="C1851" s="4"/>
    </row>
    <row r="1852" ht="12.75">
      <c r="C1852" s="4"/>
    </row>
    <row r="1853" ht="12.75">
      <c r="C1853" s="4"/>
    </row>
    <row r="1854" ht="12.75">
      <c r="C1854" s="4"/>
    </row>
    <row r="1855" ht="12.75">
      <c r="C1855" s="4"/>
    </row>
    <row r="1856" ht="12.75">
      <c r="C1856" s="4"/>
    </row>
    <row r="1857" ht="12.75">
      <c r="C1857" s="4"/>
    </row>
    <row r="1858" ht="12.75">
      <c r="C1858" s="4"/>
    </row>
    <row r="1859" ht="12.75">
      <c r="C1859" s="4"/>
    </row>
    <row r="1860" ht="12.75">
      <c r="C1860" s="4"/>
    </row>
    <row r="1861" ht="12.75">
      <c r="C1861" s="4"/>
    </row>
    <row r="1862" ht="12.75">
      <c r="C1862" s="4"/>
    </row>
    <row r="1863" ht="12.75">
      <c r="C1863" s="4"/>
    </row>
    <row r="1864" ht="12.75">
      <c r="C1864" s="4"/>
    </row>
    <row r="1865" ht="12.75">
      <c r="C1865" s="4"/>
    </row>
    <row r="1866" ht="12.75">
      <c r="C1866" s="4"/>
    </row>
    <row r="1867" ht="12.75">
      <c r="C1867" s="4"/>
    </row>
    <row r="1868" ht="12.75">
      <c r="C1868" s="4"/>
    </row>
    <row r="1869" ht="12.75">
      <c r="C1869" s="4"/>
    </row>
    <row r="1870" ht="12.75">
      <c r="C1870" s="4"/>
    </row>
    <row r="1871" ht="12.75">
      <c r="C1871" s="4"/>
    </row>
    <row r="1872" ht="12.75">
      <c r="C1872" s="4"/>
    </row>
    <row r="1873" ht="12.75">
      <c r="C1873" s="4"/>
    </row>
    <row r="1874" ht="12.75">
      <c r="C1874" s="4"/>
    </row>
    <row r="1875" ht="12.75">
      <c r="C1875" s="4"/>
    </row>
    <row r="1876" ht="12.75">
      <c r="C1876" s="4"/>
    </row>
    <row r="1877" ht="12.75">
      <c r="C1877" s="4"/>
    </row>
    <row r="1878" ht="12.75">
      <c r="C1878" s="4"/>
    </row>
    <row r="1879" ht="12.75">
      <c r="C1879" s="4"/>
    </row>
    <row r="1880" ht="12.75">
      <c r="C1880" s="4"/>
    </row>
    <row r="1881" ht="12.75">
      <c r="C1881" s="4"/>
    </row>
    <row r="1882" ht="12.75">
      <c r="C1882" s="4"/>
    </row>
    <row r="1883" ht="12.75">
      <c r="C1883" s="4"/>
    </row>
    <row r="1884" ht="12.75">
      <c r="C1884" s="4"/>
    </row>
    <row r="1885" ht="12.75">
      <c r="C1885" s="4"/>
    </row>
    <row r="1886" ht="12.75">
      <c r="C1886" s="4"/>
    </row>
    <row r="1887" ht="12.75">
      <c r="C1887" s="4"/>
    </row>
    <row r="1888" ht="12.75">
      <c r="C1888" s="4"/>
    </row>
    <row r="1889" ht="12.75">
      <c r="C1889" s="4"/>
    </row>
    <row r="1890" ht="12.75">
      <c r="C1890" s="4"/>
    </row>
    <row r="1891" ht="12.75">
      <c r="C1891" s="4"/>
    </row>
    <row r="1892" ht="12.75">
      <c r="C1892" s="4"/>
    </row>
    <row r="1893" ht="12.75">
      <c r="C1893" s="4"/>
    </row>
    <row r="1894" ht="12.75">
      <c r="C1894" s="4"/>
    </row>
    <row r="1895" ht="12.75">
      <c r="C1895" s="4"/>
    </row>
    <row r="1896" ht="12.75">
      <c r="C1896" s="4"/>
    </row>
    <row r="1897" ht="12.75">
      <c r="C1897" s="4"/>
    </row>
    <row r="1898" ht="12.75">
      <c r="C1898" s="4"/>
    </row>
    <row r="1899" ht="12.75">
      <c r="C1899" s="4"/>
    </row>
    <row r="1900" ht="12.75">
      <c r="C1900" s="4"/>
    </row>
    <row r="1901" ht="12.75">
      <c r="C1901" s="4"/>
    </row>
    <row r="1902" ht="12.75">
      <c r="C1902" s="4"/>
    </row>
    <row r="1903" ht="12.75">
      <c r="C1903" s="4"/>
    </row>
    <row r="1904" ht="12.75">
      <c r="C1904" s="4"/>
    </row>
    <row r="1905" ht="12.75">
      <c r="C1905" s="4"/>
    </row>
    <row r="1906" ht="12.75">
      <c r="C1906" s="4"/>
    </row>
    <row r="1907" ht="12.75">
      <c r="C1907" s="4"/>
    </row>
    <row r="1908" ht="12.75">
      <c r="C1908" s="4"/>
    </row>
    <row r="1909" ht="12.75">
      <c r="C1909" s="4"/>
    </row>
    <row r="1910" ht="12.75">
      <c r="C1910" s="4"/>
    </row>
    <row r="1911" ht="12.75">
      <c r="C1911" s="4"/>
    </row>
    <row r="1912" ht="12.75">
      <c r="C1912" s="4"/>
    </row>
    <row r="1913" ht="12.75">
      <c r="C1913" s="4"/>
    </row>
    <row r="1914" ht="12.75">
      <c r="C1914" s="4"/>
    </row>
    <row r="1915" ht="12.75">
      <c r="C1915" s="4"/>
    </row>
    <row r="1916" ht="12.75">
      <c r="C1916" s="4"/>
    </row>
    <row r="1917" ht="12.75">
      <c r="C1917" s="4"/>
    </row>
    <row r="1918" ht="12.75">
      <c r="C1918" s="4"/>
    </row>
    <row r="1919" ht="12.75">
      <c r="C1919" s="4"/>
    </row>
    <row r="1920" ht="12.75">
      <c r="C1920" s="4"/>
    </row>
    <row r="1921" ht="12.75">
      <c r="C1921" s="4"/>
    </row>
    <row r="1922" ht="12.75">
      <c r="C1922" s="4"/>
    </row>
    <row r="1923" ht="12.75">
      <c r="C1923" s="4"/>
    </row>
    <row r="1924" ht="12.75">
      <c r="C1924" s="4"/>
    </row>
    <row r="1925" ht="12.75">
      <c r="C1925" s="4"/>
    </row>
    <row r="1926" ht="12.75">
      <c r="C1926" s="4"/>
    </row>
    <row r="1927" ht="12.75">
      <c r="C1927" s="4"/>
    </row>
    <row r="1928" ht="12.75">
      <c r="C1928" s="4"/>
    </row>
    <row r="1929" ht="12.75">
      <c r="C1929" s="4"/>
    </row>
    <row r="1930" ht="12.75">
      <c r="C1930" s="4"/>
    </row>
    <row r="1931" ht="12.75">
      <c r="C1931" s="4"/>
    </row>
    <row r="1932" ht="12.75">
      <c r="C1932" s="4"/>
    </row>
    <row r="1933" ht="12.75">
      <c r="C1933" s="4"/>
    </row>
    <row r="1934" ht="12.75">
      <c r="C1934" s="4"/>
    </row>
    <row r="1935" ht="12.75">
      <c r="C1935" s="4"/>
    </row>
    <row r="1936" ht="12.75">
      <c r="C1936" s="4"/>
    </row>
    <row r="1937" ht="12.75">
      <c r="C1937" s="4"/>
    </row>
    <row r="1938" ht="12.75">
      <c r="C1938" s="4"/>
    </row>
    <row r="1939" ht="12.75">
      <c r="C1939" s="4"/>
    </row>
    <row r="1940" ht="12.75">
      <c r="C1940" s="4"/>
    </row>
    <row r="1941" ht="12.75">
      <c r="C1941" s="4"/>
    </row>
    <row r="1942" ht="12.75">
      <c r="C1942" s="4"/>
    </row>
    <row r="1943" ht="12.75">
      <c r="C1943" s="4"/>
    </row>
    <row r="1944" ht="12.75">
      <c r="C1944" s="4"/>
    </row>
    <row r="1945" ht="12.75">
      <c r="C1945" s="4"/>
    </row>
    <row r="1946" ht="12.75">
      <c r="C1946" s="4"/>
    </row>
    <row r="1947" ht="12.75">
      <c r="C1947" s="4"/>
    </row>
    <row r="1948" ht="12.75">
      <c r="C1948" s="4"/>
    </row>
    <row r="1949" ht="12.75">
      <c r="C1949" s="4"/>
    </row>
    <row r="1950" ht="12.75">
      <c r="C1950" s="4"/>
    </row>
    <row r="1951" ht="12.75">
      <c r="C1951" s="4"/>
    </row>
    <row r="1952" ht="12.75">
      <c r="C1952" s="4"/>
    </row>
    <row r="1953" ht="12.75">
      <c r="C1953" s="4"/>
    </row>
    <row r="1954" ht="12.75">
      <c r="C1954" s="4"/>
    </row>
    <row r="1955" ht="12.75">
      <c r="C1955" s="4"/>
    </row>
    <row r="1956" ht="12.75">
      <c r="C1956" s="4"/>
    </row>
    <row r="1957" ht="12.75">
      <c r="C1957" s="4"/>
    </row>
    <row r="1958" ht="12.75">
      <c r="C1958" s="4"/>
    </row>
    <row r="1959" ht="12.75">
      <c r="C1959" s="4"/>
    </row>
    <row r="1960" ht="12.75">
      <c r="C1960" s="4"/>
    </row>
    <row r="1961" ht="12.75">
      <c r="C1961" s="4"/>
    </row>
    <row r="1962" ht="12.75">
      <c r="C1962" s="4"/>
    </row>
    <row r="1963" ht="12.75">
      <c r="C1963" s="4"/>
    </row>
    <row r="1964" ht="12.75">
      <c r="C1964" s="4"/>
    </row>
    <row r="1965" ht="12.75">
      <c r="C1965" s="4"/>
    </row>
    <row r="1966" ht="12.75">
      <c r="C1966" s="4"/>
    </row>
    <row r="1967" ht="12.75">
      <c r="C1967" s="4"/>
    </row>
    <row r="1968" ht="12.75">
      <c r="C1968" s="4"/>
    </row>
    <row r="1969" ht="12.75">
      <c r="C1969" s="4"/>
    </row>
    <row r="1970" ht="12.75">
      <c r="C1970" s="4"/>
    </row>
    <row r="1971" ht="12.75">
      <c r="C1971" s="4"/>
    </row>
    <row r="1972" ht="12.75">
      <c r="C1972" s="4"/>
    </row>
    <row r="1973" ht="12.75">
      <c r="C1973" s="4"/>
    </row>
    <row r="1974" ht="12.75">
      <c r="C1974" s="4"/>
    </row>
    <row r="1975" ht="12.75">
      <c r="C1975" s="4"/>
    </row>
    <row r="1976" ht="12.75">
      <c r="C1976" s="4"/>
    </row>
    <row r="1977" ht="12.75">
      <c r="C1977" s="4"/>
    </row>
    <row r="1978" ht="12.75">
      <c r="C1978" s="4"/>
    </row>
    <row r="1979" ht="12.75">
      <c r="C1979" s="4"/>
    </row>
    <row r="1980" ht="12.75">
      <c r="C1980" s="4"/>
    </row>
    <row r="1981" ht="12.75">
      <c r="C1981" s="4"/>
    </row>
    <row r="1982" ht="12.75">
      <c r="C1982" s="4"/>
    </row>
    <row r="1983" ht="12.75">
      <c r="C1983" s="4"/>
    </row>
    <row r="1984" ht="12.75">
      <c r="C1984" s="4"/>
    </row>
    <row r="1985" ht="12.75">
      <c r="C1985" s="4"/>
    </row>
    <row r="1986" ht="12.75">
      <c r="C1986" s="4"/>
    </row>
    <row r="1987" ht="12.75">
      <c r="C1987" s="4"/>
    </row>
    <row r="1988" ht="12.75">
      <c r="C1988" s="4"/>
    </row>
    <row r="1989" ht="12.75">
      <c r="C1989" s="4"/>
    </row>
    <row r="1990" ht="12.75">
      <c r="C1990" s="4"/>
    </row>
    <row r="1991" ht="12.75">
      <c r="C1991" s="4"/>
    </row>
    <row r="1992" ht="12.75">
      <c r="C1992" s="4"/>
    </row>
    <row r="1993" ht="12.75">
      <c r="C1993" s="4"/>
    </row>
    <row r="1994" ht="12.75">
      <c r="C1994" s="4"/>
    </row>
    <row r="1995" ht="12.75">
      <c r="C1995" s="4"/>
    </row>
    <row r="1996" ht="12.75">
      <c r="C1996" s="4"/>
    </row>
    <row r="1997" ht="12.75">
      <c r="C1997" s="4"/>
    </row>
    <row r="1998" ht="12.75">
      <c r="C1998" s="4"/>
    </row>
    <row r="1999" ht="12.75">
      <c r="C1999" s="4"/>
    </row>
    <row r="2000" ht="12.75">
      <c r="C2000" s="4"/>
    </row>
    <row r="2001" ht="12.75">
      <c r="C2001" s="4"/>
    </row>
    <row r="2002" ht="12.75">
      <c r="C2002" s="4"/>
    </row>
    <row r="2003" ht="12.75">
      <c r="C2003" s="4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  <row r="2154" ht="12.75">
      <c r="C2154" s="4"/>
    </row>
    <row r="2155" ht="12.75">
      <c r="C2155" s="4"/>
    </row>
    <row r="2156" ht="12.75">
      <c r="C2156" s="4"/>
    </row>
    <row r="2157" ht="12.75">
      <c r="C2157" s="4"/>
    </row>
    <row r="2158" ht="12.75">
      <c r="C2158" s="4"/>
    </row>
    <row r="2159" ht="12.75">
      <c r="C2159" s="4"/>
    </row>
    <row r="2160" ht="12.75">
      <c r="C2160" s="4"/>
    </row>
    <row r="2161" ht="12.75">
      <c r="C2161" s="4"/>
    </row>
    <row r="2162" ht="12.75">
      <c r="C2162" s="4"/>
    </row>
    <row r="2163" ht="12.75">
      <c r="C2163" s="4"/>
    </row>
    <row r="2164" ht="12.75">
      <c r="C2164" s="4"/>
    </row>
    <row r="2165" ht="12.75">
      <c r="C2165" s="4"/>
    </row>
    <row r="2166" ht="12.75">
      <c r="C2166" s="4"/>
    </row>
    <row r="2167" ht="12.75">
      <c r="C2167" s="4"/>
    </row>
    <row r="2168" ht="12.75">
      <c r="C2168" s="4"/>
    </row>
    <row r="2169" ht="12.75">
      <c r="C2169" s="4"/>
    </row>
    <row r="2170" ht="12.75">
      <c r="C2170" s="4"/>
    </row>
    <row r="2171" ht="12.75">
      <c r="C2171" s="4"/>
    </row>
    <row r="2172" ht="12.75">
      <c r="C2172" s="4"/>
    </row>
    <row r="2173" ht="12.75">
      <c r="C2173" s="4"/>
    </row>
    <row r="2174" ht="12.75">
      <c r="C2174" s="4"/>
    </row>
    <row r="2175" ht="12.75">
      <c r="C2175" s="4"/>
    </row>
    <row r="2176" ht="12.75">
      <c r="C2176" s="4"/>
    </row>
    <row r="2177" ht="12.75">
      <c r="C2177" s="4"/>
    </row>
    <row r="2178" ht="12.75">
      <c r="C2178" s="4"/>
    </row>
    <row r="2179" ht="12.75">
      <c r="C2179" s="4"/>
    </row>
    <row r="2180" ht="12.75">
      <c r="C2180" s="4"/>
    </row>
    <row r="2181" ht="12.75">
      <c r="C2181" s="4"/>
    </row>
    <row r="2182" ht="12.75">
      <c r="C2182" s="4"/>
    </row>
    <row r="2183" ht="12.75">
      <c r="C2183" s="4"/>
    </row>
    <row r="2184" ht="12.75">
      <c r="C2184" s="4"/>
    </row>
    <row r="2185" ht="12.75">
      <c r="C2185" s="4"/>
    </row>
    <row r="2186" ht="12.75">
      <c r="C2186" s="4"/>
    </row>
    <row r="2187" ht="12.75">
      <c r="C2187" s="4"/>
    </row>
    <row r="2188" ht="12.75">
      <c r="C2188" s="4"/>
    </row>
    <row r="2189" ht="12.75">
      <c r="C2189" s="4"/>
    </row>
    <row r="2190" ht="12.75">
      <c r="C2190" s="4"/>
    </row>
    <row r="2191" ht="12.75">
      <c r="C2191" s="4"/>
    </row>
    <row r="2192" ht="12.75">
      <c r="C2192" s="4"/>
    </row>
    <row r="2193" ht="12.75">
      <c r="C2193" s="4"/>
    </row>
    <row r="2194" ht="12.75">
      <c r="C2194" s="4"/>
    </row>
    <row r="2195" ht="12.75">
      <c r="C2195" s="4"/>
    </row>
    <row r="2196" ht="12.75">
      <c r="C2196" s="4"/>
    </row>
    <row r="2197" ht="12.75">
      <c r="C2197" s="4"/>
    </row>
    <row r="2198" ht="12.75">
      <c r="C2198" s="4"/>
    </row>
    <row r="2199" ht="12.75">
      <c r="C2199" s="4"/>
    </row>
    <row r="2200" ht="12.75">
      <c r="C2200" s="4"/>
    </row>
    <row r="2201" ht="12.75">
      <c r="C2201" s="4"/>
    </row>
    <row r="2202" ht="12.75">
      <c r="C2202" s="4"/>
    </row>
    <row r="2203" ht="12.75">
      <c r="C2203" s="4"/>
    </row>
    <row r="2204" ht="12.75">
      <c r="C2204" s="4"/>
    </row>
    <row r="2205" ht="12.75">
      <c r="C2205" s="4"/>
    </row>
    <row r="2206" ht="12.75">
      <c r="C2206" s="4"/>
    </row>
    <row r="2207" ht="12.75">
      <c r="C2207" s="4"/>
    </row>
    <row r="2208" ht="12.75">
      <c r="C2208" s="4"/>
    </row>
    <row r="2209" ht="12.75">
      <c r="C2209" s="4"/>
    </row>
    <row r="2210" ht="12.75">
      <c r="C2210" s="4"/>
    </row>
    <row r="2211" ht="12.75">
      <c r="C2211" s="4"/>
    </row>
    <row r="2212" ht="12.75">
      <c r="C2212" s="4"/>
    </row>
    <row r="2213" ht="12.75">
      <c r="C2213" s="4"/>
    </row>
    <row r="2214" ht="12.75">
      <c r="C2214" s="4"/>
    </row>
    <row r="2215" ht="12.75">
      <c r="C2215" s="4"/>
    </row>
    <row r="2216" ht="12.75">
      <c r="C2216" s="4"/>
    </row>
    <row r="2217" ht="12.75">
      <c r="C2217" s="4"/>
    </row>
    <row r="2218" ht="12.75">
      <c r="C2218" s="4"/>
    </row>
    <row r="2219" ht="12.75">
      <c r="C2219" s="4"/>
    </row>
    <row r="2220" ht="12.75">
      <c r="C2220" s="4"/>
    </row>
    <row r="2221" ht="12.75">
      <c r="C2221" s="4"/>
    </row>
    <row r="2222" ht="12.75">
      <c r="C2222" s="4"/>
    </row>
    <row r="2223" ht="12.75">
      <c r="C2223" s="4"/>
    </row>
    <row r="2224" ht="12.75">
      <c r="C2224" s="4"/>
    </row>
    <row r="2225" ht="12.75">
      <c r="C2225" s="4"/>
    </row>
    <row r="2226" ht="12.75">
      <c r="C2226" s="4"/>
    </row>
    <row r="2227" ht="12.75">
      <c r="C2227" s="4"/>
    </row>
    <row r="2228" ht="12.75">
      <c r="C2228" s="4"/>
    </row>
    <row r="2229" ht="12.75">
      <c r="C2229" s="4"/>
    </row>
    <row r="2230" ht="12.75">
      <c r="C2230" s="4"/>
    </row>
    <row r="2231" ht="12.75">
      <c r="C2231" s="4"/>
    </row>
    <row r="2232" ht="12.75">
      <c r="C2232" s="4"/>
    </row>
    <row r="2233" ht="12.75">
      <c r="C2233" s="4"/>
    </row>
    <row r="2234" ht="12.75">
      <c r="C2234" s="4"/>
    </row>
    <row r="2235" ht="12.75">
      <c r="C2235" s="4"/>
    </row>
    <row r="2236" ht="12.75">
      <c r="C2236" s="4"/>
    </row>
    <row r="2237" ht="12.75">
      <c r="C2237" s="4"/>
    </row>
    <row r="2238" ht="12.75">
      <c r="C2238" s="4"/>
    </row>
    <row r="2239" ht="12.75">
      <c r="C2239" s="4"/>
    </row>
    <row r="2240" ht="12.75">
      <c r="C2240" s="4"/>
    </row>
    <row r="2241" ht="12.75">
      <c r="C2241" s="4"/>
    </row>
    <row r="2242" ht="12.75">
      <c r="C2242" s="4"/>
    </row>
    <row r="2243" ht="12.75">
      <c r="C2243" s="4"/>
    </row>
    <row r="2244" ht="12.75">
      <c r="C2244" s="4"/>
    </row>
    <row r="2245" ht="12.75">
      <c r="C2245" s="4"/>
    </row>
    <row r="2246" ht="12.75">
      <c r="C2246" s="4"/>
    </row>
    <row r="2247" ht="12.75">
      <c r="C2247" s="4"/>
    </row>
    <row r="2248" ht="12.75">
      <c r="C2248" s="4"/>
    </row>
    <row r="2249" ht="12.75">
      <c r="C2249" s="4"/>
    </row>
    <row r="2250" ht="12.75">
      <c r="C2250" s="4"/>
    </row>
    <row r="2251" ht="12.75">
      <c r="C2251" s="4"/>
    </row>
    <row r="2252" ht="12.75">
      <c r="C2252" s="4"/>
    </row>
    <row r="2253" ht="12.75">
      <c r="C2253" s="4"/>
    </row>
    <row r="2254" ht="12.75">
      <c r="C2254" s="4"/>
    </row>
    <row r="2255" ht="12.75">
      <c r="C2255" s="4"/>
    </row>
    <row r="2256" ht="12.75">
      <c r="C2256" s="4"/>
    </row>
    <row r="2257" ht="12.75">
      <c r="C2257" s="4"/>
    </row>
    <row r="2258" ht="12.75">
      <c r="C2258" s="4"/>
    </row>
    <row r="2259" ht="12.75">
      <c r="C2259" s="4"/>
    </row>
    <row r="2260" ht="12.75">
      <c r="C2260" s="4"/>
    </row>
    <row r="2261" ht="12.75">
      <c r="C2261" s="4"/>
    </row>
    <row r="2262" ht="12.75">
      <c r="C2262" s="4"/>
    </row>
    <row r="2263" ht="12.75">
      <c r="C2263" s="4"/>
    </row>
    <row r="2264" ht="12.75">
      <c r="C2264" s="4"/>
    </row>
    <row r="2265" ht="12.75">
      <c r="C2265" s="4"/>
    </row>
    <row r="2266" ht="12.75">
      <c r="C2266" s="4"/>
    </row>
    <row r="2267" ht="12.75">
      <c r="C2267" s="4"/>
    </row>
    <row r="2268" ht="12.75">
      <c r="C2268" s="4"/>
    </row>
    <row r="2269" ht="12.75">
      <c r="C2269" s="4"/>
    </row>
    <row r="2270" ht="12.75">
      <c r="C2270" s="4"/>
    </row>
    <row r="2271" ht="12.75">
      <c r="C2271" s="4"/>
    </row>
    <row r="2272" ht="12.75">
      <c r="C2272" s="4"/>
    </row>
    <row r="2273" ht="12.75">
      <c r="C2273" s="4"/>
    </row>
    <row r="2274" ht="12.75">
      <c r="C2274" s="4"/>
    </row>
    <row r="2275" ht="12.75">
      <c r="C2275" s="4"/>
    </row>
    <row r="2276" ht="12.75">
      <c r="C2276" s="4"/>
    </row>
    <row r="2277" ht="12.75">
      <c r="C2277" s="4"/>
    </row>
    <row r="2278" ht="12.75">
      <c r="C2278" s="4"/>
    </row>
    <row r="2279" ht="12.75">
      <c r="C2279" s="4"/>
    </row>
    <row r="2280" ht="12.75">
      <c r="C2280" s="4"/>
    </row>
    <row r="2281" ht="12.75">
      <c r="C2281" s="4"/>
    </row>
    <row r="2282" ht="12.75">
      <c r="C2282" s="4"/>
    </row>
    <row r="2283" ht="12.75">
      <c r="C2283" s="4"/>
    </row>
    <row r="2284" ht="12.75">
      <c r="C2284" s="4"/>
    </row>
    <row r="2285" ht="12.75">
      <c r="C2285" s="4"/>
    </row>
    <row r="2286" ht="12.75">
      <c r="C2286" s="4"/>
    </row>
    <row r="2287" ht="12.75">
      <c r="C2287" s="4"/>
    </row>
    <row r="2288" ht="12.75">
      <c r="C2288" s="4"/>
    </row>
    <row r="2289" ht="12.75">
      <c r="C2289" s="4"/>
    </row>
    <row r="2290" ht="12.75">
      <c r="C2290" s="4"/>
    </row>
    <row r="2291" ht="12.75">
      <c r="C2291" s="4"/>
    </row>
    <row r="2292" ht="12.75">
      <c r="C2292" s="4"/>
    </row>
    <row r="2293" ht="12.75">
      <c r="C2293" s="4"/>
    </row>
    <row r="2294" ht="12.75">
      <c r="C2294" s="4"/>
    </row>
    <row r="2295" ht="12.75">
      <c r="C2295" s="4"/>
    </row>
    <row r="2296" ht="12.75">
      <c r="C2296" s="4"/>
    </row>
    <row r="2297" ht="12.75">
      <c r="C2297" s="4"/>
    </row>
    <row r="2298" ht="12.75">
      <c r="C2298" s="4"/>
    </row>
    <row r="2299" ht="12.75">
      <c r="C2299" s="4"/>
    </row>
    <row r="2300" ht="12.75">
      <c r="C2300" s="4"/>
    </row>
    <row r="2301" ht="12.75">
      <c r="C2301" s="4"/>
    </row>
    <row r="2302" ht="12.75">
      <c r="C2302" s="4"/>
    </row>
    <row r="2303" ht="12.75">
      <c r="C2303" s="4"/>
    </row>
    <row r="2304" ht="12.75">
      <c r="C2304" s="4"/>
    </row>
    <row r="2305" ht="12.75">
      <c r="C2305" s="4"/>
    </row>
    <row r="2306" ht="12.75">
      <c r="C2306" s="4"/>
    </row>
    <row r="2307" ht="12.75">
      <c r="C2307" s="4"/>
    </row>
    <row r="2308" ht="12.75">
      <c r="C2308" s="4"/>
    </row>
    <row r="2309" ht="12.75">
      <c r="C2309" s="4"/>
    </row>
    <row r="2310" ht="12.75">
      <c r="C2310" s="4"/>
    </row>
    <row r="2311" ht="12.75">
      <c r="C2311" s="4"/>
    </row>
    <row r="2312" ht="12.75">
      <c r="C2312" s="4"/>
    </row>
    <row r="2313" ht="12.75">
      <c r="C2313" s="4"/>
    </row>
    <row r="2314" ht="12.75">
      <c r="C2314" s="4"/>
    </row>
    <row r="2315" ht="12.75">
      <c r="C2315" s="4"/>
    </row>
    <row r="2316" ht="12.75">
      <c r="C2316" s="4"/>
    </row>
    <row r="2317" ht="12.75">
      <c r="C2317" s="4"/>
    </row>
    <row r="2318" ht="12.75">
      <c r="C2318" s="4"/>
    </row>
    <row r="2319" ht="12.75">
      <c r="C2319" s="4"/>
    </row>
    <row r="2320" ht="12.75">
      <c r="C2320" s="4"/>
    </row>
    <row r="2321" ht="12.75">
      <c r="C2321" s="4"/>
    </row>
    <row r="2322" ht="12.75">
      <c r="C2322" s="4"/>
    </row>
    <row r="2323" ht="12.75">
      <c r="C2323" s="4"/>
    </row>
    <row r="2324" ht="12.75">
      <c r="C2324" s="4"/>
    </row>
    <row r="2325" ht="12.75">
      <c r="C2325" s="4"/>
    </row>
    <row r="2326" ht="12.75">
      <c r="C2326" s="4"/>
    </row>
    <row r="2327" ht="12.75">
      <c r="C2327" s="4"/>
    </row>
    <row r="2328" ht="12.75">
      <c r="C2328" s="4"/>
    </row>
    <row r="2329" ht="12.75">
      <c r="C2329" s="4"/>
    </row>
    <row r="2330" ht="12.75">
      <c r="C2330" s="4"/>
    </row>
    <row r="2331" ht="12.75">
      <c r="C2331" s="4"/>
    </row>
    <row r="2332" ht="12.75">
      <c r="C2332" s="4"/>
    </row>
    <row r="2333" ht="12.75">
      <c r="C2333" s="4"/>
    </row>
    <row r="2334" ht="12.75">
      <c r="C2334" s="4"/>
    </row>
    <row r="2335" ht="12.75">
      <c r="C2335" s="4"/>
    </row>
    <row r="2336" ht="12.75">
      <c r="C2336" s="4"/>
    </row>
    <row r="2337" ht="12.75">
      <c r="C2337" s="4"/>
    </row>
    <row r="2338" ht="12.75">
      <c r="C2338" s="4"/>
    </row>
    <row r="2339" ht="12.75">
      <c r="C2339" s="4"/>
    </row>
    <row r="2340" ht="12.75">
      <c r="C2340" s="4"/>
    </row>
    <row r="2341" ht="12.75">
      <c r="C2341" s="4"/>
    </row>
    <row r="2342" ht="12.75">
      <c r="C2342" s="4"/>
    </row>
    <row r="2343" ht="12.75">
      <c r="C2343" s="4"/>
    </row>
    <row r="2344" ht="12.75">
      <c r="C2344" s="4"/>
    </row>
    <row r="2345" ht="12.75">
      <c r="C2345" s="4"/>
    </row>
    <row r="2346" ht="12.75">
      <c r="C2346" s="4"/>
    </row>
    <row r="2347" ht="12.75">
      <c r="C2347" s="4"/>
    </row>
    <row r="2348" ht="12.75">
      <c r="C2348" s="4"/>
    </row>
    <row r="2349" ht="12.75">
      <c r="C2349" s="4"/>
    </row>
    <row r="2350" ht="12.75">
      <c r="C2350" s="4"/>
    </row>
    <row r="2351" ht="12.75">
      <c r="C2351" s="4"/>
    </row>
    <row r="2352" ht="12.75">
      <c r="C2352" s="4"/>
    </row>
    <row r="2353" ht="12.75">
      <c r="C2353" s="4"/>
    </row>
    <row r="2354" ht="12.75">
      <c r="C2354" s="4"/>
    </row>
    <row r="2355" ht="12.75">
      <c r="C2355" s="4"/>
    </row>
    <row r="2356" ht="12.75">
      <c r="C2356" s="4"/>
    </row>
    <row r="2357" ht="12.75">
      <c r="C2357" s="4"/>
    </row>
    <row r="2358" ht="12.75">
      <c r="C2358" s="4"/>
    </row>
    <row r="2359" ht="12.75">
      <c r="C2359" s="4"/>
    </row>
    <row r="2360" ht="12.75">
      <c r="C2360" s="4"/>
    </row>
    <row r="2361" ht="12.75">
      <c r="C2361" s="4"/>
    </row>
    <row r="2362" ht="12.75">
      <c r="C2362" s="4"/>
    </row>
    <row r="2363" ht="12.75">
      <c r="C2363" s="4"/>
    </row>
    <row r="2364" ht="12.75">
      <c r="C2364" s="4"/>
    </row>
    <row r="2365" ht="12.75">
      <c r="C2365" s="4"/>
    </row>
    <row r="2366" ht="12.75">
      <c r="C2366" s="4"/>
    </row>
    <row r="2367" ht="12.75">
      <c r="C2367" s="4"/>
    </row>
    <row r="2368" ht="12.75">
      <c r="C2368" s="4"/>
    </row>
    <row r="2369" ht="12.75">
      <c r="C2369" s="4"/>
    </row>
    <row r="2370" ht="12.75">
      <c r="C2370" s="4"/>
    </row>
    <row r="2371" ht="12.75">
      <c r="C2371" s="4"/>
    </row>
    <row r="2372" ht="12.75">
      <c r="C2372" s="4"/>
    </row>
    <row r="2373" ht="12.75">
      <c r="C2373" s="4"/>
    </row>
    <row r="2374" ht="12.75">
      <c r="C2374" s="4"/>
    </row>
    <row r="2375" ht="12.75">
      <c r="C2375" s="4"/>
    </row>
    <row r="2376" ht="12.75">
      <c r="C2376" s="4"/>
    </row>
    <row r="2377" ht="12.75">
      <c r="C2377" s="4"/>
    </row>
    <row r="2378" ht="12.75">
      <c r="C2378" s="4"/>
    </row>
    <row r="2379" ht="12.75">
      <c r="C2379" s="4"/>
    </row>
    <row r="2380" ht="12.75">
      <c r="C2380" s="4"/>
    </row>
    <row r="2381" ht="12.75">
      <c r="C2381" s="4"/>
    </row>
    <row r="2382" ht="12.75">
      <c r="C2382" s="4"/>
    </row>
    <row r="2383" ht="12.75">
      <c r="C2383" s="4"/>
    </row>
    <row r="2384" ht="12.75">
      <c r="C2384" s="4"/>
    </row>
    <row r="2385" ht="12.75">
      <c r="C2385" s="4"/>
    </row>
    <row r="2386" ht="12.75">
      <c r="C2386" s="4"/>
    </row>
    <row r="2387" ht="12.75">
      <c r="C2387" s="4"/>
    </row>
    <row r="2388" ht="12.75">
      <c r="C2388" s="4"/>
    </row>
    <row r="2389" ht="12.75">
      <c r="C2389" s="4"/>
    </row>
    <row r="2390" ht="12.75">
      <c r="C2390" s="4"/>
    </row>
    <row r="2391" ht="12.75">
      <c r="C2391" s="4"/>
    </row>
    <row r="2392" ht="12.75">
      <c r="C2392" s="4"/>
    </row>
    <row r="2393" ht="12.75">
      <c r="C2393" s="4"/>
    </row>
    <row r="2394" ht="12.75">
      <c r="C2394" s="4"/>
    </row>
    <row r="2395" ht="12.75">
      <c r="C2395" s="4"/>
    </row>
    <row r="2396" ht="12.75">
      <c r="C2396" s="4"/>
    </row>
    <row r="2397" ht="12.75">
      <c r="C2397" s="4"/>
    </row>
    <row r="2398" ht="12.75">
      <c r="C2398" s="4"/>
    </row>
    <row r="2399" ht="12.75">
      <c r="C2399" s="4"/>
    </row>
    <row r="2400" ht="12.75">
      <c r="C2400" s="4"/>
    </row>
    <row r="2401" ht="12.75">
      <c r="C2401" s="4"/>
    </row>
    <row r="2402" ht="12.75">
      <c r="C2402" s="4"/>
    </row>
    <row r="2403" ht="12.75">
      <c r="C2403" s="4"/>
    </row>
    <row r="2404" ht="12.75">
      <c r="C2404" s="4"/>
    </row>
    <row r="2405" ht="12.75">
      <c r="C2405" s="4"/>
    </row>
    <row r="2406" ht="12.75">
      <c r="C2406" s="4"/>
    </row>
    <row r="2407" ht="12.75">
      <c r="C2407" s="4"/>
    </row>
    <row r="2408" ht="12.75">
      <c r="C2408" s="4"/>
    </row>
    <row r="2409" ht="12.75">
      <c r="C2409" s="4"/>
    </row>
    <row r="2410" ht="12.75">
      <c r="C2410" s="4"/>
    </row>
    <row r="2411" ht="12.75">
      <c r="C2411" s="4"/>
    </row>
    <row r="2412" ht="12.75">
      <c r="C2412" s="4"/>
    </row>
    <row r="2413" ht="12.75">
      <c r="C2413" s="4"/>
    </row>
    <row r="2414" ht="12.75">
      <c r="C2414" s="4"/>
    </row>
    <row r="2415" ht="12.75">
      <c r="C2415" s="4"/>
    </row>
    <row r="2416" ht="12.75">
      <c r="C2416" s="4"/>
    </row>
    <row r="2417" ht="12.75">
      <c r="C2417" s="4"/>
    </row>
    <row r="2418" ht="12.75">
      <c r="C2418" s="4"/>
    </row>
    <row r="2419" ht="12.75">
      <c r="C2419" s="4"/>
    </row>
    <row r="2420" ht="12.75">
      <c r="C2420" s="4"/>
    </row>
    <row r="2421" ht="12.75">
      <c r="C2421" s="4"/>
    </row>
    <row r="2422" ht="12.75">
      <c r="C2422" s="4"/>
    </row>
    <row r="2423" ht="12.75">
      <c r="C2423" s="4"/>
    </row>
    <row r="2424" ht="12.75">
      <c r="C2424" s="4"/>
    </row>
    <row r="2425" ht="12.75">
      <c r="C2425" s="4"/>
    </row>
    <row r="2426" ht="12.75">
      <c r="C2426" s="4"/>
    </row>
    <row r="2427" ht="12.75">
      <c r="C2427" s="4"/>
    </row>
    <row r="2428" ht="12.75">
      <c r="C2428" s="4"/>
    </row>
    <row r="2429" ht="12.75">
      <c r="C2429" s="4"/>
    </row>
    <row r="2430" ht="12.75">
      <c r="C2430" s="4"/>
    </row>
    <row r="2431" ht="12.75">
      <c r="C2431" s="4"/>
    </row>
    <row r="2432" ht="12.75">
      <c r="C2432" s="4"/>
    </row>
    <row r="2433" ht="12.75">
      <c r="C2433" s="4"/>
    </row>
    <row r="2434" ht="12.75">
      <c r="C2434" s="4"/>
    </row>
    <row r="2435" ht="12.75">
      <c r="C2435" s="4"/>
    </row>
    <row r="2436" ht="12.75">
      <c r="C2436" s="4"/>
    </row>
    <row r="2437" ht="12.75">
      <c r="C2437" s="4"/>
    </row>
    <row r="2438" ht="12.75">
      <c r="C2438" s="4"/>
    </row>
    <row r="2439" ht="12.75">
      <c r="C2439" s="4"/>
    </row>
    <row r="2440" ht="12.75">
      <c r="C2440" s="4"/>
    </row>
    <row r="2441" ht="12.75">
      <c r="C2441" s="4"/>
    </row>
    <row r="2442" ht="12.75">
      <c r="C2442" s="4"/>
    </row>
    <row r="2443" ht="12.75">
      <c r="C2443" s="4"/>
    </row>
    <row r="2444" ht="12.75">
      <c r="C2444" s="4"/>
    </row>
    <row r="2445" ht="12.75">
      <c r="C2445" s="4"/>
    </row>
    <row r="2446" ht="12.75">
      <c r="C2446" s="4"/>
    </row>
    <row r="2447" ht="12.75">
      <c r="C2447" s="4"/>
    </row>
    <row r="2448" ht="12.75">
      <c r="C2448" s="4"/>
    </row>
    <row r="2449" ht="12.75">
      <c r="C2449" s="4"/>
    </row>
    <row r="2450" ht="12.75">
      <c r="C2450" s="4"/>
    </row>
    <row r="2451" ht="12.75">
      <c r="C2451" s="4"/>
    </row>
    <row r="2452" ht="12.75">
      <c r="C2452" s="4"/>
    </row>
    <row r="2453" ht="12.75">
      <c r="C2453" s="4"/>
    </row>
    <row r="2454" ht="12.75">
      <c r="C2454" s="4"/>
    </row>
    <row r="2455" ht="12.75">
      <c r="C2455" s="4"/>
    </row>
    <row r="2456" ht="12.75">
      <c r="C2456" s="4"/>
    </row>
    <row r="2457" ht="12.75">
      <c r="C2457" s="4"/>
    </row>
    <row r="2458" ht="12.75">
      <c r="C2458" s="4"/>
    </row>
    <row r="2459" ht="12.75">
      <c r="C2459" s="4"/>
    </row>
    <row r="2460" ht="12.75">
      <c r="C2460" s="4"/>
    </row>
    <row r="2461" ht="12.75">
      <c r="C2461" s="4"/>
    </row>
    <row r="2462" ht="12.75">
      <c r="C2462" s="4"/>
    </row>
    <row r="2463" ht="12.75">
      <c r="C2463" s="4"/>
    </row>
    <row r="2464" ht="12.75">
      <c r="C2464" s="4"/>
    </row>
    <row r="2465" ht="12.75">
      <c r="C2465" s="4"/>
    </row>
    <row r="2466" ht="12.75">
      <c r="C2466" s="4"/>
    </row>
    <row r="2467" ht="12.75">
      <c r="C2467" s="4"/>
    </row>
    <row r="2468" ht="12.75">
      <c r="C2468" s="4"/>
    </row>
    <row r="2469" ht="12.75">
      <c r="C2469" s="4"/>
    </row>
    <row r="2470" ht="12.75">
      <c r="C2470" s="4"/>
    </row>
    <row r="2471" ht="12.75">
      <c r="C2471" s="4"/>
    </row>
    <row r="2472" ht="12.75">
      <c r="C2472" s="4"/>
    </row>
    <row r="2473" ht="12.75">
      <c r="C2473" s="4"/>
    </row>
    <row r="2474" ht="12.75">
      <c r="C2474" s="4"/>
    </row>
    <row r="2475" ht="12.75">
      <c r="C2475" s="4"/>
    </row>
    <row r="2476" ht="12.75">
      <c r="C2476" s="4"/>
    </row>
    <row r="2477" ht="12.75">
      <c r="C2477" s="4"/>
    </row>
    <row r="2478" ht="12.75">
      <c r="C2478" s="4"/>
    </row>
    <row r="2479" ht="12.75">
      <c r="C2479" s="4"/>
    </row>
    <row r="2480" ht="12.75">
      <c r="C2480" s="4"/>
    </row>
    <row r="2481" ht="12.75">
      <c r="C2481" s="4"/>
    </row>
    <row r="2482" ht="12.75">
      <c r="C2482" s="4"/>
    </row>
    <row r="2483" ht="12.75">
      <c r="C2483" s="4"/>
    </row>
    <row r="2484" ht="12.75">
      <c r="C2484" s="4"/>
    </row>
    <row r="2485" ht="12.75">
      <c r="C2485" s="4"/>
    </row>
    <row r="2486" ht="12.75">
      <c r="C2486" s="4"/>
    </row>
    <row r="2487" ht="12.75">
      <c r="C2487" s="4"/>
    </row>
    <row r="2488" ht="12.75">
      <c r="C2488" s="4"/>
    </row>
    <row r="2489" ht="12.75">
      <c r="C2489" s="4"/>
    </row>
    <row r="2490" ht="12.75">
      <c r="C2490" s="4"/>
    </row>
    <row r="2491" ht="12.75">
      <c r="C2491" s="4"/>
    </row>
    <row r="2492" ht="12.75">
      <c r="C2492" s="4"/>
    </row>
    <row r="2493" ht="12.75">
      <c r="C2493" s="4"/>
    </row>
    <row r="2494" ht="12.75">
      <c r="C2494" s="4"/>
    </row>
    <row r="2495" ht="12.75">
      <c r="C2495" s="4"/>
    </row>
    <row r="2496" ht="12.75">
      <c r="C2496" s="4"/>
    </row>
    <row r="2497" ht="12.75">
      <c r="C2497" s="4"/>
    </row>
    <row r="2498" ht="12.75">
      <c r="C2498" s="4"/>
    </row>
    <row r="2499" ht="12.75">
      <c r="C2499" s="4"/>
    </row>
    <row r="2500" ht="12.75">
      <c r="C2500" s="4"/>
    </row>
    <row r="2501" ht="12.75">
      <c r="C2501" s="4"/>
    </row>
    <row r="2502" ht="12.75">
      <c r="C2502" s="4"/>
    </row>
    <row r="2503" ht="12.75">
      <c r="C2503" s="4"/>
    </row>
    <row r="2504" ht="12.75">
      <c r="C2504" s="4"/>
    </row>
    <row r="2505" ht="12.75">
      <c r="C2505" s="4"/>
    </row>
    <row r="2506" ht="12.75">
      <c r="C2506" s="4"/>
    </row>
    <row r="2507" ht="12.75">
      <c r="C2507" s="4"/>
    </row>
    <row r="2508" ht="12.75">
      <c r="C2508" s="4"/>
    </row>
    <row r="2509" ht="12.75">
      <c r="C2509" s="4"/>
    </row>
    <row r="2510" ht="12.75">
      <c r="C2510" s="4"/>
    </row>
    <row r="2511" ht="12.75">
      <c r="C2511" s="4"/>
    </row>
    <row r="2512" ht="12.75">
      <c r="C2512" s="4"/>
    </row>
    <row r="2513" ht="12.75">
      <c r="C2513" s="4"/>
    </row>
    <row r="2514" ht="12.75">
      <c r="C2514" s="4"/>
    </row>
    <row r="2515" ht="12.75">
      <c r="C2515" s="4"/>
    </row>
    <row r="2516" ht="12.75">
      <c r="C2516" s="4"/>
    </row>
    <row r="2517" ht="12.75">
      <c r="C2517" s="4"/>
    </row>
    <row r="2518" ht="12.75">
      <c r="C2518" s="4"/>
    </row>
    <row r="2519" ht="12.75">
      <c r="C2519" s="4"/>
    </row>
    <row r="2520" ht="12.75">
      <c r="C2520" s="4"/>
    </row>
    <row r="2521" ht="12.75">
      <c r="C2521" s="4"/>
    </row>
    <row r="2522" ht="12.75">
      <c r="C2522" s="4"/>
    </row>
    <row r="2523" ht="12.75">
      <c r="C2523" s="4"/>
    </row>
    <row r="2524" ht="12.75">
      <c r="C2524" s="4"/>
    </row>
    <row r="2525" ht="12.75">
      <c r="C2525" s="4"/>
    </row>
    <row r="2526" ht="12.75">
      <c r="C2526" s="4"/>
    </row>
    <row r="2527" ht="12.75">
      <c r="C2527" s="4"/>
    </row>
    <row r="2528" ht="12.75">
      <c r="C2528" s="4"/>
    </row>
    <row r="2529" ht="12.75">
      <c r="C2529" s="4"/>
    </row>
    <row r="2530" ht="12.75">
      <c r="C2530" s="4"/>
    </row>
    <row r="2531" ht="12.75">
      <c r="C2531" s="4"/>
    </row>
    <row r="2532" ht="12.75">
      <c r="C2532" s="4"/>
    </row>
    <row r="2533" ht="12.75">
      <c r="C2533" s="4"/>
    </row>
    <row r="2534" ht="12.75">
      <c r="C2534" s="4"/>
    </row>
    <row r="2535" ht="12.75">
      <c r="C2535" s="4"/>
    </row>
    <row r="2536" ht="12.75">
      <c r="C2536" s="4"/>
    </row>
    <row r="2537" ht="12.75">
      <c r="C2537" s="4"/>
    </row>
    <row r="2538" ht="12.75">
      <c r="C2538" s="4"/>
    </row>
    <row r="2539" ht="12.75">
      <c r="C2539" s="4"/>
    </row>
    <row r="2540" ht="12.75">
      <c r="C2540" s="4"/>
    </row>
    <row r="2541" ht="12.75">
      <c r="C2541" s="4"/>
    </row>
    <row r="2542" ht="12.75">
      <c r="C2542" s="4"/>
    </row>
    <row r="2543" ht="12.75">
      <c r="C2543" s="4"/>
    </row>
    <row r="2544" ht="12.75">
      <c r="C2544" s="4"/>
    </row>
    <row r="2545" ht="12.75">
      <c r="C2545" s="4"/>
    </row>
    <row r="2546" ht="12.75">
      <c r="C2546" s="4"/>
    </row>
    <row r="2547" ht="12.75">
      <c r="C2547" s="4"/>
    </row>
    <row r="2548" ht="12.75">
      <c r="C2548" s="4"/>
    </row>
    <row r="2549" ht="12.75">
      <c r="C2549" s="4"/>
    </row>
    <row r="2550" ht="12.75">
      <c r="C2550" s="4"/>
    </row>
    <row r="2551" ht="12.75">
      <c r="C2551" s="4"/>
    </row>
    <row r="2552" ht="12.75">
      <c r="C2552" s="4"/>
    </row>
    <row r="2553" ht="12.75">
      <c r="C2553" s="4"/>
    </row>
    <row r="2554" ht="12.75">
      <c r="C2554" s="4"/>
    </row>
    <row r="2555" ht="12.75">
      <c r="C2555" s="4"/>
    </row>
    <row r="2556" ht="12.75">
      <c r="C2556" s="4"/>
    </row>
    <row r="2557" ht="12.75">
      <c r="C2557" s="4"/>
    </row>
    <row r="2558" ht="12.75">
      <c r="C2558" s="4"/>
    </row>
    <row r="2559" ht="12.75">
      <c r="C2559" s="4"/>
    </row>
    <row r="2560" ht="12.75">
      <c r="C2560" s="4"/>
    </row>
    <row r="2561" ht="12.75">
      <c r="C2561" s="4"/>
    </row>
    <row r="2562" ht="12.75">
      <c r="C2562" s="4"/>
    </row>
    <row r="2563" ht="12.75">
      <c r="C2563" s="4"/>
    </row>
    <row r="2564" ht="12.75">
      <c r="C2564" s="4"/>
    </row>
    <row r="2565" ht="12.75">
      <c r="C2565" s="4"/>
    </row>
    <row r="2566" ht="12.75">
      <c r="C2566" s="4"/>
    </row>
    <row r="2567" ht="12.75">
      <c r="C2567" s="4"/>
    </row>
    <row r="2568" ht="12.75">
      <c r="C2568" s="4"/>
    </row>
    <row r="2569" ht="12.75">
      <c r="C2569" s="4"/>
    </row>
    <row r="2570" ht="12.75">
      <c r="C2570" s="4"/>
    </row>
    <row r="2571" ht="12.75">
      <c r="C2571" s="4"/>
    </row>
    <row r="2572" ht="12.75">
      <c r="C2572" s="4"/>
    </row>
    <row r="2573" ht="12.75">
      <c r="C2573" s="4"/>
    </row>
    <row r="2574" ht="12.75">
      <c r="C2574" s="4"/>
    </row>
    <row r="2575" ht="12.75">
      <c r="C2575" s="4"/>
    </row>
    <row r="2576" ht="12.75">
      <c r="C2576" s="4"/>
    </row>
    <row r="2577" ht="12.75">
      <c r="C2577" s="4"/>
    </row>
    <row r="2578" ht="12.75">
      <c r="C2578" s="4"/>
    </row>
    <row r="2579" ht="12.75">
      <c r="C2579" s="4"/>
    </row>
    <row r="2580" ht="12.75">
      <c r="C2580" s="4"/>
    </row>
    <row r="2581" ht="12.75">
      <c r="C2581" s="4"/>
    </row>
    <row r="2582" ht="12.75">
      <c r="C2582" s="4"/>
    </row>
    <row r="2583" ht="12.75">
      <c r="C2583" s="4"/>
    </row>
    <row r="2584" ht="12.75">
      <c r="C2584" s="4"/>
    </row>
    <row r="2585" ht="12.75">
      <c r="C2585" s="4"/>
    </row>
    <row r="2586" ht="12.75">
      <c r="C2586" s="4"/>
    </row>
    <row r="2587" ht="12.75">
      <c r="C2587" s="4"/>
    </row>
    <row r="2588" ht="12.75">
      <c r="C2588" s="4"/>
    </row>
    <row r="2589" ht="12.75">
      <c r="C2589" s="4"/>
    </row>
    <row r="2590" ht="12.75">
      <c r="C2590" s="4"/>
    </row>
    <row r="2591" ht="12.75">
      <c r="C2591" s="4"/>
    </row>
    <row r="2592" ht="12.75">
      <c r="C2592" s="4"/>
    </row>
    <row r="2593" ht="12.75">
      <c r="C2593" s="4"/>
    </row>
    <row r="2594" ht="12.75">
      <c r="C2594" s="4"/>
    </row>
    <row r="2595" ht="12.75">
      <c r="C2595" s="4"/>
    </row>
    <row r="2596" ht="12.75">
      <c r="C2596" s="4"/>
    </row>
    <row r="2597" ht="12.75">
      <c r="C2597" s="4"/>
    </row>
    <row r="2598" ht="12.75">
      <c r="C2598" s="4"/>
    </row>
    <row r="2599" ht="12.75">
      <c r="C2599" s="4"/>
    </row>
    <row r="2600" ht="12.75">
      <c r="C2600" s="4"/>
    </row>
    <row r="2601" ht="12.75">
      <c r="C2601" s="4"/>
    </row>
    <row r="2602" ht="12.75">
      <c r="C2602" s="4"/>
    </row>
    <row r="2603" ht="12.75">
      <c r="C2603" s="4"/>
    </row>
    <row r="2604" ht="12.75">
      <c r="C2604" s="4"/>
    </row>
    <row r="2605" ht="12.75">
      <c r="C2605" s="4"/>
    </row>
    <row r="2606" ht="12.75">
      <c r="C2606" s="4"/>
    </row>
    <row r="2607" ht="12.75">
      <c r="C2607" s="4"/>
    </row>
    <row r="2608" ht="12.75">
      <c r="C2608" s="4"/>
    </row>
    <row r="2609" ht="12.75">
      <c r="C2609" s="4"/>
    </row>
    <row r="2610" ht="12.75">
      <c r="C2610" s="4"/>
    </row>
    <row r="2611" ht="12.75">
      <c r="C2611" s="4"/>
    </row>
    <row r="2612" ht="12.75">
      <c r="C2612" s="4"/>
    </row>
    <row r="2613" ht="12.75">
      <c r="C2613" s="4"/>
    </row>
    <row r="2614" ht="12.75">
      <c r="C2614" s="4"/>
    </row>
    <row r="2615" ht="12.75">
      <c r="C2615" s="4"/>
    </row>
    <row r="2616" ht="12.75">
      <c r="C2616" s="4"/>
    </row>
    <row r="2617" ht="12.75">
      <c r="C2617" s="4"/>
    </row>
    <row r="2618" ht="12.75">
      <c r="C2618" s="4"/>
    </row>
    <row r="2619" ht="12.75">
      <c r="C2619" s="4"/>
    </row>
    <row r="2620" ht="12.75">
      <c r="C2620" s="4"/>
    </row>
    <row r="2621" ht="12.75">
      <c r="C2621" s="4"/>
    </row>
    <row r="2622" ht="12.75">
      <c r="C2622" s="4"/>
    </row>
    <row r="2623" ht="12.75">
      <c r="C2623" s="4"/>
    </row>
    <row r="2624" ht="12.75">
      <c r="C2624" s="4"/>
    </row>
    <row r="2625" ht="12.75">
      <c r="C2625" s="4"/>
    </row>
    <row r="2626" ht="12.75">
      <c r="C2626" s="4"/>
    </row>
    <row r="2627" ht="12.75">
      <c r="C2627" s="4"/>
    </row>
    <row r="2628" ht="12.75">
      <c r="C2628" s="4"/>
    </row>
    <row r="2629" ht="12.75">
      <c r="C2629" s="4"/>
    </row>
    <row r="2630" ht="12.75">
      <c r="C2630" s="4"/>
    </row>
    <row r="2631" ht="12.75">
      <c r="C2631" s="4"/>
    </row>
    <row r="2632" ht="12.75">
      <c r="C2632" s="4"/>
    </row>
    <row r="2633" ht="12.75">
      <c r="C2633" s="4"/>
    </row>
    <row r="2634" ht="12.75">
      <c r="C2634" s="4"/>
    </row>
    <row r="2635" ht="12.75">
      <c r="C2635" s="4"/>
    </row>
    <row r="2636" ht="12.75">
      <c r="C2636" s="4"/>
    </row>
    <row r="2637" ht="12.75">
      <c r="C2637" s="4"/>
    </row>
    <row r="2638" ht="12.75">
      <c r="C2638" s="4"/>
    </row>
    <row r="2639" ht="12.75">
      <c r="C2639" s="4"/>
    </row>
    <row r="2640" ht="12.75">
      <c r="C2640" s="4"/>
    </row>
    <row r="2641" ht="12.75">
      <c r="C2641" s="4"/>
    </row>
    <row r="2642" ht="12.75">
      <c r="C2642" s="4"/>
    </row>
    <row r="2643" ht="12.75">
      <c r="C2643" s="4"/>
    </row>
    <row r="2644" ht="12.75">
      <c r="C2644" s="4"/>
    </row>
    <row r="2645" ht="12.75">
      <c r="C2645" s="4"/>
    </row>
    <row r="2646" ht="12.75">
      <c r="C2646" s="4"/>
    </row>
    <row r="2647" ht="12.75">
      <c r="C2647" s="4"/>
    </row>
    <row r="2648" ht="12.75">
      <c r="C2648" s="4"/>
    </row>
    <row r="2649" ht="12.75">
      <c r="C2649" s="4"/>
    </row>
    <row r="2650" ht="12.75">
      <c r="C2650" s="4"/>
    </row>
    <row r="2651" ht="12.75">
      <c r="C2651" s="4"/>
    </row>
    <row r="2652" ht="12.75">
      <c r="C2652" s="4"/>
    </row>
    <row r="2653" ht="12.75">
      <c r="C2653" s="4"/>
    </row>
    <row r="2654" ht="12.75">
      <c r="C2654" s="4"/>
    </row>
    <row r="2655" ht="12.75">
      <c r="C2655" s="4"/>
    </row>
    <row r="2656" ht="12.75">
      <c r="C2656" s="4"/>
    </row>
    <row r="2657" ht="12.75">
      <c r="C2657" s="4"/>
    </row>
    <row r="2658" ht="12.75">
      <c r="C2658" s="4"/>
    </row>
    <row r="2659" ht="12.75">
      <c r="C2659" s="4"/>
    </row>
    <row r="2660" ht="12.75">
      <c r="C2660" s="4"/>
    </row>
    <row r="2661" ht="12.75">
      <c r="C2661" s="4"/>
    </row>
    <row r="2662" ht="12.75">
      <c r="C2662" s="4"/>
    </row>
    <row r="2663" ht="12.75">
      <c r="C2663" s="4"/>
    </row>
    <row r="2664" ht="12.75">
      <c r="C2664" s="4"/>
    </row>
    <row r="2665" ht="12.75">
      <c r="C2665" s="4"/>
    </row>
    <row r="2666" ht="12.75">
      <c r="C2666" s="4"/>
    </row>
    <row r="2667" ht="12.75">
      <c r="C2667" s="4"/>
    </row>
    <row r="2668" ht="12.75">
      <c r="C2668" s="4"/>
    </row>
    <row r="2669" ht="12.75">
      <c r="C2669" s="4"/>
    </row>
    <row r="2670" ht="12.75">
      <c r="C2670" s="4"/>
    </row>
    <row r="2671" ht="12.75">
      <c r="C2671" s="4"/>
    </row>
    <row r="2672" ht="12.75">
      <c r="C2672" s="4"/>
    </row>
    <row r="2673" ht="12.75">
      <c r="C2673" s="4"/>
    </row>
    <row r="2674" ht="12.75">
      <c r="C2674" s="4"/>
    </row>
    <row r="2675" ht="12.75">
      <c r="C2675" s="4"/>
    </row>
    <row r="2676" ht="12.75">
      <c r="C2676" s="4"/>
    </row>
    <row r="2677" ht="12.75">
      <c r="C2677" s="4"/>
    </row>
    <row r="2678" ht="12.75">
      <c r="C2678" s="4"/>
    </row>
    <row r="2679" ht="12.75">
      <c r="C2679" s="4"/>
    </row>
    <row r="2680" ht="12.75">
      <c r="C2680" s="4"/>
    </row>
    <row r="2681" ht="12.75">
      <c r="C2681" s="4"/>
    </row>
    <row r="2682" ht="12.75">
      <c r="C2682" s="4"/>
    </row>
    <row r="2683" ht="12.75">
      <c r="C2683" s="4"/>
    </row>
    <row r="2684" ht="12.75">
      <c r="C2684" s="4"/>
    </row>
    <row r="2685" ht="12.75">
      <c r="C2685" s="4"/>
    </row>
    <row r="2686" ht="12.75">
      <c r="C2686" s="4"/>
    </row>
    <row r="2687" ht="12.75">
      <c r="C2687" s="4"/>
    </row>
    <row r="2688" ht="12.75">
      <c r="C2688" s="4"/>
    </row>
    <row r="2689" ht="12.75">
      <c r="C2689" s="4"/>
    </row>
    <row r="2690" ht="12.75">
      <c r="C2690" s="4"/>
    </row>
    <row r="2691" ht="12.75">
      <c r="C2691" s="4"/>
    </row>
    <row r="2692" ht="12.75">
      <c r="C2692" s="4"/>
    </row>
    <row r="2693" ht="12.75">
      <c r="C2693" s="4"/>
    </row>
    <row r="2694" ht="12.75">
      <c r="C2694" s="4"/>
    </row>
    <row r="2695" ht="12.75">
      <c r="C2695" s="4"/>
    </row>
    <row r="2696" ht="12.75">
      <c r="C2696" s="4"/>
    </row>
    <row r="2697" ht="12.75">
      <c r="C2697" s="4"/>
    </row>
    <row r="2698" ht="12.75">
      <c r="C2698" s="4"/>
    </row>
    <row r="2699" ht="12.75">
      <c r="C2699" s="4"/>
    </row>
    <row r="2700" ht="12.75">
      <c r="C2700" s="4"/>
    </row>
    <row r="2701" ht="12.75">
      <c r="C2701" s="4"/>
    </row>
    <row r="2702" ht="12.75">
      <c r="C2702" s="4"/>
    </row>
    <row r="2703" ht="12.75">
      <c r="C2703" s="4"/>
    </row>
    <row r="2704" ht="12.75">
      <c r="C2704" s="4"/>
    </row>
    <row r="2705" ht="12.75">
      <c r="C2705" s="4"/>
    </row>
    <row r="2706" ht="12.75">
      <c r="C2706" s="4"/>
    </row>
    <row r="2707" ht="12.75">
      <c r="C2707" s="4"/>
    </row>
    <row r="2708" ht="12.75">
      <c r="C2708" s="4"/>
    </row>
    <row r="2709" ht="12.75">
      <c r="C2709" s="4"/>
    </row>
    <row r="2710" ht="12.75">
      <c r="C2710" s="4"/>
    </row>
    <row r="2711" ht="12.75">
      <c r="C2711" s="4"/>
    </row>
    <row r="2712" ht="12.75">
      <c r="C2712" s="4"/>
    </row>
    <row r="2713" ht="12.75">
      <c r="C2713" s="4"/>
    </row>
    <row r="2714" ht="12.75">
      <c r="C2714" s="4"/>
    </row>
    <row r="2715" ht="12.75">
      <c r="C2715" s="4"/>
    </row>
    <row r="2716" ht="12.75">
      <c r="C2716" s="4"/>
    </row>
    <row r="2717" ht="12.75">
      <c r="C2717" s="4"/>
    </row>
    <row r="2718" ht="12.75">
      <c r="C2718" s="4"/>
    </row>
    <row r="2719" ht="12.75">
      <c r="C2719" s="4"/>
    </row>
    <row r="2720" ht="12.75">
      <c r="C2720" s="4"/>
    </row>
    <row r="2721" ht="12.75">
      <c r="C2721" s="4"/>
    </row>
    <row r="2722" ht="12.75">
      <c r="C2722" s="4"/>
    </row>
    <row r="2723" ht="12.75">
      <c r="C2723" s="4"/>
    </row>
    <row r="2724" ht="12.75">
      <c r="C2724" s="4"/>
    </row>
    <row r="2725" ht="12.75">
      <c r="C2725" s="4"/>
    </row>
    <row r="2726" ht="12.75">
      <c r="C2726" s="4"/>
    </row>
    <row r="2727" ht="12.75">
      <c r="C2727" s="4"/>
    </row>
    <row r="2728" ht="12.75">
      <c r="C2728" s="4"/>
    </row>
    <row r="2729" ht="12.75">
      <c r="C2729" s="4"/>
    </row>
    <row r="2730" ht="12.75">
      <c r="C2730" s="4"/>
    </row>
    <row r="2731" ht="12.75">
      <c r="C2731" s="4"/>
    </row>
    <row r="2732" ht="12.75">
      <c r="C2732" s="4"/>
    </row>
    <row r="2733" ht="12.75">
      <c r="C2733" s="4"/>
    </row>
    <row r="2734" ht="12.75">
      <c r="C2734" s="4"/>
    </row>
    <row r="2735" ht="12.75">
      <c r="C2735" s="4"/>
    </row>
    <row r="2736" ht="12.75">
      <c r="C2736" s="4"/>
    </row>
    <row r="2737" ht="12.75">
      <c r="C2737" s="4"/>
    </row>
    <row r="2738" ht="12.75">
      <c r="C2738" s="4"/>
    </row>
    <row r="2739" ht="12.75">
      <c r="C2739" s="4"/>
    </row>
    <row r="2740" ht="12.75">
      <c r="C2740" s="4"/>
    </row>
    <row r="2741" ht="12.75">
      <c r="C2741" s="4"/>
    </row>
    <row r="2742" ht="12.75">
      <c r="C2742" s="4"/>
    </row>
    <row r="2743" ht="12.75">
      <c r="C2743" s="4"/>
    </row>
    <row r="2744" ht="12.75">
      <c r="C2744" s="4"/>
    </row>
    <row r="2745" ht="12.75">
      <c r="C2745" s="4"/>
    </row>
    <row r="2746" ht="12.75">
      <c r="C2746" s="4"/>
    </row>
    <row r="2747" ht="12.75">
      <c r="C2747" s="4"/>
    </row>
    <row r="2748" ht="12.75">
      <c r="C2748" s="4"/>
    </row>
    <row r="2749" ht="12.75">
      <c r="C2749" s="4"/>
    </row>
    <row r="2750" ht="12.75">
      <c r="C2750" s="4"/>
    </row>
    <row r="2751" ht="12.75">
      <c r="C2751" s="4"/>
    </row>
    <row r="2752" ht="12.75">
      <c r="C2752" s="4"/>
    </row>
    <row r="2753" ht="12.75">
      <c r="C2753" s="4"/>
    </row>
    <row r="2754" ht="12.75">
      <c r="C2754" s="4"/>
    </row>
    <row r="2755" ht="12.75">
      <c r="C2755" s="4"/>
    </row>
    <row r="2756" ht="12.75">
      <c r="C2756" s="4"/>
    </row>
    <row r="2757" ht="12.75">
      <c r="C2757" s="4"/>
    </row>
    <row r="2758" ht="12.75">
      <c r="C2758" s="4"/>
    </row>
    <row r="2759" ht="12.75">
      <c r="C2759" s="4"/>
    </row>
    <row r="2760" ht="12.75">
      <c r="C2760" s="4"/>
    </row>
    <row r="2761" ht="12.75">
      <c r="C2761" s="4"/>
    </row>
    <row r="2762" ht="12.75">
      <c r="C2762" s="4"/>
    </row>
    <row r="2763" ht="12.75">
      <c r="C2763" s="4"/>
    </row>
    <row r="2764" ht="12.75">
      <c r="C2764" s="4"/>
    </row>
    <row r="2765" ht="12.75">
      <c r="C2765" s="4"/>
    </row>
    <row r="2766" ht="12.75">
      <c r="C2766" s="4"/>
    </row>
    <row r="2767" ht="12.75">
      <c r="C2767" s="4"/>
    </row>
    <row r="2768" ht="12.75">
      <c r="C2768" s="4"/>
    </row>
    <row r="2769" ht="12.75">
      <c r="C2769" s="4"/>
    </row>
    <row r="2770" ht="12.75">
      <c r="C2770" s="4"/>
    </row>
    <row r="2771" ht="12.75">
      <c r="C2771" s="4"/>
    </row>
    <row r="2772" ht="12.75">
      <c r="C2772" s="4"/>
    </row>
    <row r="2773" ht="12.75">
      <c r="C2773" s="4"/>
    </row>
    <row r="2774" ht="12.75">
      <c r="C2774" s="4"/>
    </row>
    <row r="2775" ht="12.75">
      <c r="C2775" s="4"/>
    </row>
    <row r="2776" ht="12.75">
      <c r="C2776" s="4"/>
    </row>
    <row r="2777" ht="12.75">
      <c r="C2777" s="4"/>
    </row>
    <row r="2778" ht="12.75">
      <c r="C2778" s="4"/>
    </row>
    <row r="2779" ht="12.75">
      <c r="C2779" s="4"/>
    </row>
    <row r="2780" ht="12.75">
      <c r="C2780" s="4"/>
    </row>
    <row r="2781" ht="12.75">
      <c r="C2781" s="4"/>
    </row>
    <row r="2782" ht="12.75">
      <c r="C2782" s="4"/>
    </row>
    <row r="2783" ht="12.75">
      <c r="C2783" s="4"/>
    </row>
    <row r="2784" ht="12.75">
      <c r="C2784" s="4"/>
    </row>
    <row r="2785" ht="12.75">
      <c r="C2785" s="4"/>
    </row>
    <row r="2786" ht="12.75">
      <c r="C2786" s="4"/>
    </row>
    <row r="2787" ht="12.75">
      <c r="C2787" s="4"/>
    </row>
    <row r="2788" ht="12.75">
      <c r="C2788" s="4"/>
    </row>
    <row r="2789" ht="12.75">
      <c r="C2789" s="4"/>
    </row>
    <row r="2790" ht="12.75">
      <c r="C2790" s="4"/>
    </row>
    <row r="2791" ht="12.75">
      <c r="C2791" s="4"/>
    </row>
    <row r="2792" ht="12.75">
      <c r="C2792" s="4"/>
    </row>
    <row r="2793" ht="12.75">
      <c r="C2793" s="4"/>
    </row>
    <row r="2794" ht="12.75">
      <c r="C2794" s="4"/>
    </row>
    <row r="2795" ht="12.75">
      <c r="C2795" s="4"/>
    </row>
    <row r="2796" ht="12.75">
      <c r="C2796" s="4"/>
    </row>
    <row r="2797" ht="12.75">
      <c r="C2797" s="4"/>
    </row>
    <row r="2798" ht="12.75">
      <c r="C2798" s="4"/>
    </row>
    <row r="2799" ht="12.75">
      <c r="C2799" s="4"/>
    </row>
    <row r="2800" ht="12.75">
      <c r="C2800" s="4"/>
    </row>
    <row r="2801" ht="12.75">
      <c r="C2801" s="4"/>
    </row>
    <row r="2802" ht="12.75">
      <c r="C2802" s="4"/>
    </row>
    <row r="2803" ht="12.75">
      <c r="C2803" s="4"/>
    </row>
    <row r="2804" ht="12.75">
      <c r="C2804" s="4"/>
    </row>
    <row r="2805" ht="12.75">
      <c r="C2805" s="4"/>
    </row>
    <row r="2806" ht="12.75">
      <c r="C2806" s="4"/>
    </row>
    <row r="2807" ht="12.75">
      <c r="C2807" s="4"/>
    </row>
    <row r="2808" ht="12.75">
      <c r="C2808" s="4"/>
    </row>
    <row r="2809" ht="12.75">
      <c r="C2809" s="4"/>
    </row>
    <row r="2810" ht="12.75">
      <c r="C2810" s="4"/>
    </row>
    <row r="2811" ht="12.75">
      <c r="C2811" s="4"/>
    </row>
    <row r="2812" ht="12.75">
      <c r="C2812" s="4"/>
    </row>
    <row r="2813" ht="12.75">
      <c r="C2813" s="4"/>
    </row>
    <row r="2814" ht="12.75">
      <c r="C2814" s="4"/>
    </row>
    <row r="2815" ht="12.75">
      <c r="C2815" s="4"/>
    </row>
    <row r="2816" ht="12.75">
      <c r="C2816" s="4"/>
    </row>
    <row r="2817" ht="12.75">
      <c r="C2817" s="4"/>
    </row>
    <row r="2818" ht="12.75">
      <c r="C2818" s="4"/>
    </row>
    <row r="2819" ht="12.75">
      <c r="C2819" s="4"/>
    </row>
    <row r="2820" ht="12.75">
      <c r="C2820" s="4"/>
    </row>
    <row r="2821" ht="12.75">
      <c r="C2821" s="4"/>
    </row>
    <row r="2822" ht="12.75">
      <c r="C2822" s="4"/>
    </row>
    <row r="2823" ht="12.75">
      <c r="C2823" s="4"/>
    </row>
    <row r="2824" ht="12.75">
      <c r="C2824" s="4"/>
    </row>
    <row r="2825" ht="12.75">
      <c r="C2825" s="4"/>
    </row>
    <row r="2826" ht="12.75">
      <c r="C2826" s="4"/>
    </row>
    <row r="2827" ht="12.75">
      <c r="C2827" s="4"/>
    </row>
    <row r="2828" ht="12.75">
      <c r="C2828" s="4"/>
    </row>
    <row r="2829" ht="12.75">
      <c r="C2829" s="4"/>
    </row>
    <row r="2830" ht="12.75">
      <c r="C2830" s="4"/>
    </row>
    <row r="2831" ht="12.75">
      <c r="C2831" s="4"/>
    </row>
    <row r="2832" ht="12.75">
      <c r="C2832" s="4"/>
    </row>
  </sheetData>
  <conditionalFormatting sqref="C25:C124">
    <cfRule type="cellIs" priority="1" dxfId="0" operator="equal" stopIfTrue="1">
      <formula>4</formula>
    </cfRule>
    <cfRule type="cellIs" priority="2" dxfId="1" operator="equal" stopIfTrue="1">
      <formula>3</formula>
    </cfRule>
    <cfRule type="cellIs" priority="3" dxfId="2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P828"/>
  <sheetViews>
    <sheetView workbookViewId="0" topLeftCell="A1">
      <selection activeCell="M2" sqref="M2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17.28125" style="0" customWidth="1"/>
    <col min="4" max="4" width="8.28125" style="0" customWidth="1"/>
    <col min="5" max="5" width="10.7109375" style="0" customWidth="1"/>
    <col min="6" max="6" width="4.8515625" style="0" customWidth="1"/>
    <col min="7" max="7" width="10.7109375" style="0" customWidth="1"/>
    <col min="8" max="8" width="3.28125" style="0" customWidth="1"/>
    <col min="9" max="9" width="10.7109375" style="0" customWidth="1"/>
    <col min="10" max="10" width="3.28125" style="0" customWidth="1"/>
    <col min="11" max="11" width="9.421875" style="0" bestFit="1" customWidth="1"/>
    <col min="12" max="12" width="3.28125" style="0" customWidth="1"/>
    <col min="13" max="13" width="13.57421875" style="0" customWidth="1"/>
    <col min="14" max="14" width="3.28125" style="0" customWidth="1"/>
    <col min="15" max="15" width="10.7109375" style="0" customWidth="1"/>
    <col min="16" max="16" width="11.7109375" style="0" customWidth="1"/>
  </cols>
  <sheetData>
    <row r="1" spans="1:13" ht="12.75">
      <c r="A1" s="22" t="str">
        <f>Zones!A2</f>
        <v>Verizon WA  (WUTC Docket No. UT-023003)</v>
      </c>
      <c r="K1" s="91" t="s">
        <v>257</v>
      </c>
      <c r="M1" s="90">
        <v>38163.48291018519</v>
      </c>
    </row>
    <row r="2" spans="1:13" ht="12.75">
      <c r="A2" s="22" t="str">
        <f>Zones!A3</f>
        <v>Lines and  Cost per Line underlying Deaveraging Attachments in Supplemental Testimony</v>
      </c>
      <c r="K2" s="91" t="s">
        <v>258</v>
      </c>
      <c r="M2" s="90">
        <v>38163.81326018518</v>
      </c>
    </row>
    <row r="3" spans="11:13" ht="12.75">
      <c r="K3" s="91" t="s">
        <v>256</v>
      </c>
      <c r="M3" s="92">
        <f>(M2-M1)*24</f>
        <v>7.928399999917019</v>
      </c>
    </row>
    <row r="4" ht="12.75">
      <c r="B4" s="1" t="s">
        <v>306</v>
      </c>
    </row>
    <row r="8" spans="5:14" ht="12.75">
      <c r="E8" s="18" t="s">
        <v>281</v>
      </c>
      <c r="H8" s="18"/>
      <c r="I8" s="18"/>
      <c r="J8" s="18"/>
      <c r="K8" s="18" t="s">
        <v>281</v>
      </c>
      <c r="N8" s="18"/>
    </row>
    <row r="9" spans="3:4" ht="12.75">
      <c r="C9" s="81" t="s">
        <v>209</v>
      </c>
      <c r="D9" s="12"/>
    </row>
    <row r="10" spans="3:11" ht="12.75">
      <c r="C10" s="54" t="s">
        <v>216</v>
      </c>
      <c r="D10" s="12"/>
      <c r="E10" s="38">
        <v>8.5484</v>
      </c>
      <c r="H10" s="38"/>
      <c r="I10" s="18" t="s">
        <v>216</v>
      </c>
      <c r="J10" s="38"/>
      <c r="K10" s="3">
        <f>E10</f>
        <v>8.5484</v>
      </c>
    </row>
    <row r="11" spans="3:11" ht="12.75">
      <c r="C11" s="54" t="s">
        <v>217</v>
      </c>
      <c r="D11" s="12"/>
      <c r="E11" s="38">
        <v>14.6341</v>
      </c>
      <c r="H11" s="38"/>
      <c r="I11" s="54" t="s">
        <v>253</v>
      </c>
      <c r="J11" s="38"/>
      <c r="K11" s="3">
        <f>(E10*E19+E11*E20)/(E19+E20)</f>
        <v>10.033831165566975</v>
      </c>
    </row>
    <row r="12" spans="3:11" ht="12.75">
      <c r="C12" s="54" t="s">
        <v>218</v>
      </c>
      <c r="D12" s="12"/>
      <c r="E12" s="38">
        <v>28.5481</v>
      </c>
      <c r="H12" s="38"/>
      <c r="I12" s="54" t="s">
        <v>251</v>
      </c>
      <c r="J12" s="38"/>
      <c r="K12" s="3">
        <f>(E10*E19+E11*E20+E12*E21)/(E19+E20+E21)</f>
        <v>11.015275188044463</v>
      </c>
    </row>
    <row r="13" spans="3:11" ht="12.75">
      <c r="C13" s="54" t="s">
        <v>219</v>
      </c>
      <c r="D13" s="12"/>
      <c r="E13" s="38">
        <v>48.9896</v>
      </c>
      <c r="H13" s="38"/>
      <c r="I13" s="54" t="s">
        <v>250</v>
      </c>
      <c r="J13" s="38"/>
      <c r="K13" s="3">
        <f>SUMPRODUCT(E10:E13,E19:E22)/SUM(E19:E22)</f>
        <v>11.598971176644024</v>
      </c>
    </row>
    <row r="14" spans="3:11" ht="12.75">
      <c r="C14" s="54" t="s">
        <v>220</v>
      </c>
      <c r="D14" s="12"/>
      <c r="E14" s="38">
        <v>82.8298</v>
      </c>
      <c r="H14" s="38"/>
      <c r="I14" s="54" t="s">
        <v>252</v>
      </c>
      <c r="J14" s="38"/>
      <c r="K14" s="3">
        <f>E16</f>
        <v>12.10865287837599</v>
      </c>
    </row>
    <row r="15" spans="3:4" ht="12.75">
      <c r="C15" s="12"/>
      <c r="D15" s="12"/>
    </row>
    <row r="16" spans="3:10" ht="12.75">
      <c r="C16" s="12"/>
      <c r="D16" s="54" t="s">
        <v>242</v>
      </c>
      <c r="E16" s="38">
        <f>SUMPRODUCT(E10:E14,E19:E23)/E25</f>
        <v>12.10865287837599</v>
      </c>
      <c r="H16" s="38"/>
      <c r="I16" s="38"/>
      <c r="J16" s="38"/>
    </row>
    <row r="18" spans="3:6" ht="12.75">
      <c r="C18" s="81" t="s">
        <v>0</v>
      </c>
      <c r="D18" s="12"/>
      <c r="F18" s="26"/>
    </row>
    <row r="19" spans="3:11" ht="12.75">
      <c r="C19" s="54" t="s">
        <v>216</v>
      </c>
      <c r="D19" s="12"/>
      <c r="E19" s="33">
        <v>700447</v>
      </c>
      <c r="F19" s="33"/>
      <c r="H19" s="33"/>
      <c r="I19" s="18" t="s">
        <v>216</v>
      </c>
      <c r="J19" s="33"/>
      <c r="K19" s="15">
        <f>E19</f>
        <v>700447</v>
      </c>
    </row>
    <row r="20" spans="3:11" ht="12.75">
      <c r="C20" s="54" t="s">
        <v>217</v>
      </c>
      <c r="D20" s="12"/>
      <c r="E20" s="33">
        <v>226175</v>
      </c>
      <c r="F20" s="33"/>
      <c r="H20" s="33"/>
      <c r="I20" s="54" t="s">
        <v>253</v>
      </c>
      <c r="J20" s="33"/>
      <c r="K20" s="15">
        <f>K19+E20</f>
        <v>926622</v>
      </c>
    </row>
    <row r="21" spans="3:11" ht="12.75">
      <c r="C21" s="54" t="s">
        <v>218</v>
      </c>
      <c r="D21" s="12"/>
      <c r="E21" s="33">
        <v>51870</v>
      </c>
      <c r="F21" s="33"/>
      <c r="H21" s="33"/>
      <c r="I21" s="54" t="s">
        <v>251</v>
      </c>
      <c r="J21" s="33"/>
      <c r="K21" s="15">
        <f>K20+E21</f>
        <v>978492</v>
      </c>
    </row>
    <row r="22" spans="3:11" ht="12.75">
      <c r="C22" s="54" t="s">
        <v>219</v>
      </c>
      <c r="D22" s="12"/>
      <c r="E22" s="33">
        <v>15275</v>
      </c>
      <c r="F22" s="33"/>
      <c r="H22" s="33"/>
      <c r="I22" s="54" t="s">
        <v>250</v>
      </c>
      <c r="J22" s="33"/>
      <c r="K22" s="15">
        <f>K21+E22</f>
        <v>993767</v>
      </c>
    </row>
    <row r="23" spans="3:11" ht="12.75">
      <c r="C23" s="54" t="s">
        <v>220</v>
      </c>
      <c r="D23" s="12"/>
      <c r="E23" s="33">
        <v>7162</v>
      </c>
      <c r="F23" s="33"/>
      <c r="H23" s="33"/>
      <c r="I23" s="54" t="s">
        <v>252</v>
      </c>
      <c r="J23" s="33"/>
      <c r="K23" s="15">
        <f>K22+E23</f>
        <v>1000929</v>
      </c>
    </row>
    <row r="24" spans="3:10" ht="12.75">
      <c r="C24" s="12"/>
      <c r="D24" s="12"/>
      <c r="E24" s="26"/>
      <c r="F24" s="26"/>
      <c r="H24" s="26"/>
      <c r="I24" s="26"/>
      <c r="J24" s="26"/>
    </row>
    <row r="25" spans="3:10" ht="12.75">
      <c r="C25" s="12"/>
      <c r="D25" s="54" t="s">
        <v>243</v>
      </c>
      <c r="E25" s="33">
        <f>SUM(E19:E23)</f>
        <v>1000929</v>
      </c>
      <c r="F25" s="33"/>
      <c r="H25" s="33"/>
      <c r="I25" s="33"/>
      <c r="J25" s="33"/>
    </row>
    <row r="26" spans="3:6" ht="12.75">
      <c r="C26" s="12"/>
      <c r="D26" s="12"/>
      <c r="F26" s="33"/>
    </row>
    <row r="27" spans="3:6" ht="12.75">
      <c r="C27" s="81" t="s">
        <v>241</v>
      </c>
      <c r="D27" s="12"/>
      <c r="F27" s="26"/>
    </row>
    <row r="28" spans="3:11" ht="12.75">
      <c r="C28" s="54" t="s">
        <v>216</v>
      </c>
      <c r="D28" s="12"/>
      <c r="E28" s="82">
        <f>E19/E$25</f>
        <v>0.6997968886904066</v>
      </c>
      <c r="F28" s="38"/>
      <c r="H28" s="82"/>
      <c r="I28" s="18" t="s">
        <v>216</v>
      </c>
      <c r="J28" s="82"/>
      <c r="K28" s="82">
        <f>E28</f>
        <v>0.6997968886904066</v>
      </c>
    </row>
    <row r="29" spans="3:11" ht="12.75">
      <c r="C29" s="54" t="s">
        <v>217</v>
      </c>
      <c r="D29" s="12"/>
      <c r="E29" s="82">
        <f>E20/E$25</f>
        <v>0.22596507844212727</v>
      </c>
      <c r="F29" s="38"/>
      <c r="H29" s="82"/>
      <c r="I29" s="54" t="s">
        <v>253</v>
      </c>
      <c r="J29" s="82"/>
      <c r="K29" s="82">
        <f>K28+E29</f>
        <v>0.9257619671325339</v>
      </c>
    </row>
    <row r="30" spans="3:11" ht="12.75">
      <c r="C30" s="54" t="s">
        <v>218</v>
      </c>
      <c r="D30" s="12"/>
      <c r="E30" s="82">
        <f>E21/E$25</f>
        <v>0.05182185749438772</v>
      </c>
      <c r="F30" s="38"/>
      <c r="H30" s="82"/>
      <c r="I30" s="54" t="s">
        <v>251</v>
      </c>
      <c r="J30" s="82"/>
      <c r="K30" s="82">
        <f>K29+E30</f>
        <v>0.9775838246269216</v>
      </c>
    </row>
    <row r="31" spans="3:11" ht="12.75">
      <c r="C31" s="54" t="s">
        <v>219</v>
      </c>
      <c r="D31" s="12"/>
      <c r="E31" s="82">
        <f>E22/E$25</f>
        <v>0.01526082269571568</v>
      </c>
      <c r="F31" s="38"/>
      <c r="H31" s="82"/>
      <c r="I31" s="54" t="s">
        <v>250</v>
      </c>
      <c r="J31" s="82"/>
      <c r="K31" s="82">
        <f>K30+E31</f>
        <v>0.9928446473226373</v>
      </c>
    </row>
    <row r="32" spans="3:11" ht="12.75">
      <c r="C32" s="54" t="s">
        <v>220</v>
      </c>
      <c r="D32" s="12"/>
      <c r="E32" s="82">
        <f>E23/E$25</f>
        <v>0.00715535267736273</v>
      </c>
      <c r="F32" s="38"/>
      <c r="H32" s="82"/>
      <c r="I32" s="54" t="s">
        <v>252</v>
      </c>
      <c r="J32" s="82"/>
      <c r="K32" s="82">
        <f>K31+E32</f>
        <v>1</v>
      </c>
    </row>
    <row r="33" spans="3:10" ht="12.75">
      <c r="C33" s="12"/>
      <c r="D33" s="12"/>
      <c r="E33" s="26"/>
      <c r="F33" s="26"/>
      <c r="H33" s="26"/>
      <c r="I33" s="26"/>
      <c r="J33" s="26"/>
    </row>
    <row r="34" spans="3:10" ht="12.75">
      <c r="C34" s="12"/>
      <c r="D34" s="54" t="s">
        <v>243</v>
      </c>
      <c r="E34" s="82">
        <f>E25/E$25</f>
        <v>1</v>
      </c>
      <c r="F34" s="38"/>
      <c r="H34" s="82"/>
      <c r="I34" s="82"/>
      <c r="J34" s="82"/>
    </row>
    <row r="36" ht="12.75">
      <c r="C36" s="1" t="s">
        <v>291</v>
      </c>
    </row>
    <row r="37" ht="12.75">
      <c r="C37" s="1"/>
    </row>
    <row r="38" ht="12.75">
      <c r="D38" s="2" t="s">
        <v>282</v>
      </c>
    </row>
    <row r="39" spans="3:11" ht="12.75">
      <c r="C39" s="54" t="s">
        <v>216</v>
      </c>
      <c r="D39" s="12"/>
      <c r="E39" s="83">
        <v>1.4249166866358698</v>
      </c>
      <c r="H39" s="83"/>
      <c r="I39" s="18" t="s">
        <v>216</v>
      </c>
      <c r="J39" s="83"/>
      <c r="K39" s="83">
        <f>E39</f>
        <v>1.4249166866358698</v>
      </c>
    </row>
    <row r="40" spans="3:11" ht="12.75">
      <c r="C40" s="54" t="s">
        <v>217</v>
      </c>
      <c r="D40" s="12"/>
      <c r="E40" s="83">
        <v>2.03044211939208</v>
      </c>
      <c r="H40" s="83"/>
      <c r="I40" s="54" t="s">
        <v>253</v>
      </c>
      <c r="J40" s="83"/>
      <c r="K40" s="83">
        <f>((E39*E39*E19+E40*E40*E20)/(E19+E20))^0.5</f>
        <v>1.5940795251694473</v>
      </c>
    </row>
    <row r="41" spans="3:11" ht="12.75">
      <c r="C41" s="54" t="s">
        <v>218</v>
      </c>
      <c r="D41" s="12"/>
      <c r="E41" s="83">
        <v>3.5329116163604617</v>
      </c>
      <c r="H41" s="83"/>
      <c r="I41" s="54" t="s">
        <v>251</v>
      </c>
      <c r="J41" s="83"/>
      <c r="K41" s="83">
        <f>((E39*E39*E19+E40*E40*E20+E41*E41*E21)/(E19+E20+E21))^0.5</f>
        <v>1.7515793507294473</v>
      </c>
    </row>
    <row r="42" spans="3:11" ht="12.75">
      <c r="C42" s="54" t="s">
        <v>219</v>
      </c>
      <c r="D42" s="12"/>
      <c r="E42" s="83">
        <v>6.908080874031494</v>
      </c>
      <c r="H42" s="83"/>
      <c r="I42" s="54" t="s">
        <v>250</v>
      </c>
      <c r="J42" s="83"/>
      <c r="K42" s="83">
        <f>((E39*E39*E19+E40*E40*E20+E41*E41*E21+E42*E42*E22)/(E19+E20+E21+E22))^0.5</f>
        <v>1.9376251712328592</v>
      </c>
    </row>
    <row r="43" spans="3:11" ht="12.75">
      <c r="C43" s="54" t="s">
        <v>220</v>
      </c>
      <c r="D43" s="12"/>
      <c r="E43" s="83">
        <v>18.58384186961719</v>
      </c>
      <c r="H43" s="83"/>
      <c r="I43" s="54" t="s">
        <v>252</v>
      </c>
      <c r="J43" s="83"/>
      <c r="K43" s="83">
        <f>((E39*E39*E19+E40*E40*E20+E41*E41*E21+E42*E42*E22+E43*E43*E23)/(E19+E20+E21+E22+E23))^0.5</f>
        <v>2.489717661467283</v>
      </c>
    </row>
    <row r="44" spans="3:10" ht="12.75">
      <c r="C44" s="12"/>
      <c r="D44" s="12"/>
      <c r="E44" s="26"/>
      <c r="H44" s="26"/>
      <c r="I44" s="26"/>
      <c r="J44" s="26"/>
    </row>
    <row r="45" spans="3:10" ht="12.75">
      <c r="C45" s="12"/>
      <c r="D45" s="54" t="s">
        <v>243</v>
      </c>
      <c r="E45" s="83">
        <f>((E39*E39*E19+E40*E40*E20+E41*E41*E21+E42*E42*E22+E43*E43*E23)/E25)^0.5</f>
        <v>2.489717661467283</v>
      </c>
      <c r="H45" s="83"/>
      <c r="I45" s="83"/>
      <c r="J45" s="83"/>
    </row>
    <row r="52" spans="14:16" ht="12.75">
      <c r="N52" s="88"/>
      <c r="O52" s="83"/>
      <c r="P52" s="83"/>
    </row>
    <row r="55" spans="3:15" ht="12.75">
      <c r="C55" s="12"/>
      <c r="D55" s="54"/>
      <c r="E55" s="83"/>
      <c r="H55" s="83"/>
      <c r="I55" s="83"/>
      <c r="J55" s="83"/>
      <c r="K55" s="83"/>
      <c r="L55" s="83"/>
      <c r="M55" s="83"/>
      <c r="N55" s="83"/>
      <c r="O55" s="83"/>
    </row>
    <row r="56" spans="3:10" ht="12.75">
      <c r="C56" s="12"/>
      <c r="D56" s="54"/>
      <c r="E56" s="83"/>
      <c r="H56" s="83"/>
      <c r="I56" s="83"/>
      <c r="J56" s="83"/>
    </row>
    <row r="57" spans="3:10" ht="12.75">
      <c r="C57" s="12"/>
      <c r="D57" s="54"/>
      <c r="E57" s="83"/>
      <c r="H57" s="83"/>
      <c r="I57" s="83"/>
      <c r="J57" s="83"/>
    </row>
    <row r="58" spans="3:10" ht="12.75">
      <c r="C58" s="12"/>
      <c r="D58" s="54"/>
      <c r="E58" s="83"/>
      <c r="H58" s="83"/>
      <c r="I58" s="83"/>
      <c r="J58" s="83"/>
    </row>
    <row r="59" spans="1:10" ht="12.75">
      <c r="A59" s="22" t="str">
        <f>A1</f>
        <v>Verizon WA  (WUTC Docket No. UT-023003)</v>
      </c>
      <c r="C59" s="12"/>
      <c r="D59" s="54"/>
      <c r="E59" s="83"/>
      <c r="H59" s="83"/>
      <c r="I59" s="83"/>
      <c r="J59" s="83"/>
    </row>
    <row r="60" spans="1:10" ht="12.75">
      <c r="A60" s="22" t="str">
        <f>A2</f>
        <v>Lines and  Cost per Line underlying Deaveraging Attachments in Supplemental Testimony</v>
      </c>
      <c r="C60" s="12"/>
      <c r="D60" s="54"/>
      <c r="E60" s="83"/>
      <c r="H60" s="83"/>
      <c r="I60" s="83"/>
      <c r="J60" s="83"/>
    </row>
    <row r="61" ht="12.75">
      <c r="E61" s="2" t="s">
        <v>281</v>
      </c>
    </row>
    <row r="62" spans="4:11" ht="12.75">
      <c r="D62" s="2" t="s">
        <v>244</v>
      </c>
      <c r="E62">
        <v>99</v>
      </c>
      <c r="I62" s="45"/>
      <c r="J62" s="78" t="s">
        <v>290</v>
      </c>
      <c r="K62" s="45"/>
    </row>
    <row r="63" spans="4:11" ht="12.75">
      <c r="D63" s="2" t="s">
        <v>224</v>
      </c>
      <c r="E63">
        <v>5</v>
      </c>
      <c r="J63" s="89"/>
      <c r="K63" s="89">
        <f>E68-E45</f>
        <v>0</v>
      </c>
    </row>
    <row r="64" spans="4:5" ht="12.75">
      <c r="D64" s="2" t="s">
        <v>245</v>
      </c>
      <c r="E64">
        <v>3612280</v>
      </c>
    </row>
    <row r="66" spans="4:5" ht="12.75">
      <c r="D66" s="2" t="s">
        <v>246</v>
      </c>
      <c r="E66">
        <v>2382355</v>
      </c>
    </row>
    <row r="68" spans="4:13" ht="12.75">
      <c r="D68" s="2" t="s">
        <v>247</v>
      </c>
      <c r="E68">
        <v>2.489717661467283</v>
      </c>
      <c r="M68" s="2" t="s">
        <v>289</v>
      </c>
    </row>
    <row r="69" spans="9:13" ht="12.75">
      <c r="I69" s="21" t="s">
        <v>205</v>
      </c>
      <c r="J69" s="117"/>
      <c r="K69" s="118" t="s">
        <v>0</v>
      </c>
      <c r="L69" s="118"/>
      <c r="M69" s="54" t="s">
        <v>288</v>
      </c>
    </row>
    <row r="70" spans="1:13" ht="12.75">
      <c r="A70" s="4" t="s">
        <v>274</v>
      </c>
      <c r="B70" s="4">
        <f>Inputs!A25</f>
        <v>1</v>
      </c>
      <c r="C70" s="1" t="str">
        <f>Inputs!B25</f>
        <v>RCBHWAXX</v>
      </c>
      <c r="E70" s="84">
        <v>1</v>
      </c>
      <c r="H70" s="84"/>
      <c r="I70" s="85">
        <f>Zones!D12</f>
        <v>6.460010102321802</v>
      </c>
      <c r="J70" s="84"/>
      <c r="K70" s="15">
        <f>Zones!C12</f>
        <v>19019</v>
      </c>
      <c r="M70" s="38">
        <f aca="true" t="shared" si="0" ref="M70:M101">IF(E70=1,E$10,IF(E70=2,E$11,IF(E70=3,E$12,IF(E70=4,E$13,IF(E70=5,E$14,"Bad Zone")))))</f>
        <v>8.5484</v>
      </c>
    </row>
    <row r="71" spans="1:13" ht="12.75">
      <c r="A71" s="4" t="s">
        <v>274</v>
      </c>
      <c r="B71" s="4">
        <f>Inputs!A26</f>
        <v>2</v>
      </c>
      <c r="C71" s="1" t="str">
        <f>Inputs!B26</f>
        <v>EVRTWAXF</v>
      </c>
      <c r="E71" s="84">
        <v>1</v>
      </c>
      <c r="H71" s="84"/>
      <c r="I71" s="85">
        <f>Zones!D13</f>
        <v>6.639201011913875</v>
      </c>
      <c r="J71" s="84"/>
      <c r="K71" s="15">
        <f>Zones!C13</f>
        <v>35419</v>
      </c>
      <c r="M71" s="38">
        <f t="shared" si="0"/>
        <v>8.5484</v>
      </c>
    </row>
    <row r="72" spans="1:13" ht="12.75">
      <c r="A72" s="4" t="s">
        <v>274</v>
      </c>
      <c r="B72" s="4">
        <f>Inputs!A27</f>
        <v>3</v>
      </c>
      <c r="C72" s="1" t="str">
        <f>Inputs!B27</f>
        <v>MRWYWAXA</v>
      </c>
      <c r="E72" s="84">
        <v>1</v>
      </c>
      <c r="H72" s="84"/>
      <c r="I72" s="85">
        <f>Zones!D14</f>
        <v>7.138282499164808</v>
      </c>
      <c r="J72" s="84"/>
      <c r="K72" s="15">
        <f>Zones!C14</f>
        <v>36217</v>
      </c>
      <c r="M72" s="38">
        <f t="shared" si="0"/>
        <v>8.5484</v>
      </c>
    </row>
    <row r="73" spans="1:13" ht="12.75">
      <c r="A73" s="4" t="s">
        <v>274</v>
      </c>
      <c r="B73" s="4">
        <f>Inputs!A28</f>
        <v>4</v>
      </c>
      <c r="C73" s="1" t="str">
        <f>Inputs!B28</f>
        <v>EVRTWAXC</v>
      </c>
      <c r="E73" s="84">
        <v>1</v>
      </c>
      <c r="H73" s="84"/>
      <c r="I73" s="85">
        <f>Zones!D15</f>
        <v>7.153029285466288</v>
      </c>
      <c r="J73" s="84"/>
      <c r="K73" s="15">
        <f>Zones!C15</f>
        <v>62274</v>
      </c>
      <c r="M73" s="38">
        <f t="shared" si="0"/>
        <v>8.5484</v>
      </c>
    </row>
    <row r="74" spans="1:13" ht="12.75">
      <c r="A74" s="4" t="s">
        <v>274</v>
      </c>
      <c r="B74" s="4">
        <f>Inputs!A29</f>
        <v>5</v>
      </c>
      <c r="C74" s="1" t="str">
        <f>Inputs!B29</f>
        <v>RCLDWAXB</v>
      </c>
      <c r="E74" s="84">
        <v>1</v>
      </c>
      <c r="H74" s="84"/>
      <c r="I74" s="85">
        <f>Zones!D16</f>
        <v>7.395881856852848</v>
      </c>
      <c r="J74" s="84"/>
      <c r="K74" s="15">
        <f>Zones!C16</f>
        <v>16930</v>
      </c>
      <c r="M74" s="38">
        <f t="shared" si="0"/>
        <v>8.5484</v>
      </c>
    </row>
    <row r="75" spans="1:13" ht="12.75">
      <c r="A75" s="4" t="s">
        <v>274</v>
      </c>
      <c r="B75" s="4">
        <f>Inputs!A30</f>
        <v>6</v>
      </c>
      <c r="C75" s="1" t="str">
        <f>Inputs!B30</f>
        <v>HLLKWAXX</v>
      </c>
      <c r="E75" s="84">
        <v>1</v>
      </c>
      <c r="H75" s="84"/>
      <c r="I75" s="85">
        <f>Zones!D17</f>
        <v>7.424770193906922</v>
      </c>
      <c r="J75" s="84"/>
      <c r="K75" s="15">
        <f>Zones!C17</f>
        <v>68483</v>
      </c>
      <c r="M75" s="38">
        <f t="shared" si="0"/>
        <v>8.5484</v>
      </c>
    </row>
    <row r="76" spans="1:13" ht="12.75">
      <c r="A76" s="4" t="s">
        <v>274</v>
      </c>
      <c r="B76" s="4">
        <f>Inputs!A31</f>
        <v>7</v>
      </c>
      <c r="C76" s="1" t="str">
        <f>Inputs!B31</f>
        <v>SLLKWAXA</v>
      </c>
      <c r="E76" s="84">
        <v>1</v>
      </c>
      <c r="H76" s="84"/>
      <c r="I76" s="85">
        <f>Zones!D18</f>
        <v>7.735389395078517</v>
      </c>
      <c r="J76" s="84"/>
      <c r="K76" s="15">
        <f>Zones!C18</f>
        <v>29558</v>
      </c>
      <c r="M76" s="38">
        <f t="shared" si="0"/>
        <v>8.5484</v>
      </c>
    </row>
    <row r="77" spans="1:13" ht="12.75">
      <c r="A77" s="4" t="s">
        <v>274</v>
      </c>
      <c r="B77" s="4">
        <f>Inputs!A32</f>
        <v>8</v>
      </c>
      <c r="C77" s="1" t="str">
        <f>Inputs!B32</f>
        <v>RDMDWAXA</v>
      </c>
      <c r="E77" s="84">
        <v>1</v>
      </c>
      <c r="H77" s="84"/>
      <c r="I77" s="85">
        <f>Zones!D19</f>
        <v>7.94771055557204</v>
      </c>
      <c r="J77" s="84"/>
      <c r="K77" s="15">
        <f>Zones!C19</f>
        <v>54867</v>
      </c>
      <c r="M77" s="38">
        <f t="shared" si="0"/>
        <v>8.5484</v>
      </c>
    </row>
    <row r="78" spans="1:13" ht="12.75">
      <c r="A78" s="4" t="s">
        <v>274</v>
      </c>
      <c r="B78" s="4">
        <f>Inputs!A33</f>
        <v>9</v>
      </c>
      <c r="C78" s="1" t="str">
        <f>Inputs!B33</f>
        <v>KRLDWAXX</v>
      </c>
      <c r="E78" s="84">
        <v>1</v>
      </c>
      <c r="H78" s="84"/>
      <c r="I78" s="85">
        <f>Zones!D20</f>
        <v>8.225901165701787</v>
      </c>
      <c r="J78" s="84"/>
      <c r="K78" s="15">
        <f>Zones!C20</f>
        <v>30880</v>
      </c>
      <c r="M78" s="38">
        <f t="shared" si="0"/>
        <v>8.5484</v>
      </c>
    </row>
    <row r="79" spans="1:13" ht="12.75">
      <c r="A79" s="4">
        <f>B79</f>
        <v>10</v>
      </c>
      <c r="B79" s="4">
        <f>Inputs!A34</f>
        <v>10</v>
      </c>
      <c r="C79" s="1" t="str">
        <f>Inputs!B34</f>
        <v>BOTHWAXB</v>
      </c>
      <c r="E79" s="84">
        <v>1</v>
      </c>
      <c r="H79" s="84"/>
      <c r="I79" s="85">
        <f>Zones!D21</f>
        <v>8.424752668118034</v>
      </c>
      <c r="J79" s="84"/>
      <c r="K79" s="15">
        <f>Zones!C21</f>
        <v>74831</v>
      </c>
      <c r="M79" s="38">
        <f t="shared" si="0"/>
        <v>8.5484</v>
      </c>
    </row>
    <row r="80" spans="1:13" ht="12.75">
      <c r="A80" s="4" t="s">
        <v>274</v>
      </c>
      <c r="B80" s="4">
        <f>Inputs!A35</f>
        <v>11</v>
      </c>
      <c r="C80" s="1" t="str">
        <f>Inputs!B35</f>
        <v>JUNTWAXA</v>
      </c>
      <c r="E80" s="84">
        <v>1</v>
      </c>
      <c r="H80" s="84"/>
      <c r="I80" s="85">
        <f>Zones!D22</f>
        <v>8.531192792177658</v>
      </c>
      <c r="J80" s="84"/>
      <c r="K80" s="15">
        <f>Zones!C22</f>
        <v>32851</v>
      </c>
      <c r="M80" s="38">
        <f t="shared" si="0"/>
        <v>8.5484</v>
      </c>
    </row>
    <row r="81" spans="1:13" ht="12.75">
      <c r="A81" s="4" t="s">
        <v>274</v>
      </c>
      <c r="B81" s="4">
        <f>Inputs!A36</f>
        <v>12</v>
      </c>
      <c r="C81" s="1" t="str">
        <f>Inputs!B36</f>
        <v>MTVRWAXX</v>
      </c>
      <c r="E81" s="84">
        <v>1</v>
      </c>
      <c r="H81" s="84"/>
      <c r="I81" s="85">
        <f>Zones!D23</f>
        <v>8.894023832970332</v>
      </c>
      <c r="J81" s="84"/>
      <c r="K81" s="15">
        <f>Zones!C23</f>
        <v>21737</v>
      </c>
      <c r="M81" s="38">
        <f t="shared" si="0"/>
        <v>8.5484</v>
      </c>
    </row>
    <row r="82" spans="1:13" ht="12.75">
      <c r="A82" s="4" t="s">
        <v>274</v>
      </c>
      <c r="B82" s="4">
        <f>Inputs!A37</f>
        <v>13</v>
      </c>
      <c r="C82" s="1" t="str">
        <f>Inputs!B37</f>
        <v>MYVIWAXX</v>
      </c>
      <c r="E82" s="84">
        <v>1</v>
      </c>
      <c r="H82" s="84"/>
      <c r="I82" s="85">
        <f>Zones!D24</f>
        <v>9.2145693657786</v>
      </c>
      <c r="J82" s="84"/>
      <c r="K82" s="15">
        <f>Zones!C24</f>
        <v>36470</v>
      </c>
      <c r="M82" s="38">
        <f t="shared" si="0"/>
        <v>8.5484</v>
      </c>
    </row>
    <row r="83" spans="1:13" ht="12.75">
      <c r="A83" s="4" t="s">
        <v>274</v>
      </c>
      <c r="B83" s="4">
        <f>Inputs!A38</f>
        <v>14</v>
      </c>
      <c r="C83" s="1" t="str">
        <f>Inputs!B38</f>
        <v>WSPTWAXA</v>
      </c>
      <c r="E83" s="84">
        <v>1</v>
      </c>
      <c r="H83" s="84"/>
      <c r="I83" s="85">
        <f>Zones!D25</f>
        <v>10.213101760286051</v>
      </c>
      <c r="J83" s="84"/>
      <c r="K83" s="15">
        <f>Zones!C25</f>
        <v>2588</v>
      </c>
      <c r="M83" s="38">
        <f t="shared" si="0"/>
        <v>8.5484</v>
      </c>
    </row>
    <row r="84" spans="1:13" ht="12.75">
      <c r="A84" s="4" t="s">
        <v>274</v>
      </c>
      <c r="B84" s="4">
        <f>Inputs!A39</f>
        <v>15</v>
      </c>
      <c r="C84" s="1" t="str">
        <f>Inputs!B39</f>
        <v>SMSHWAXA</v>
      </c>
      <c r="E84" s="84">
        <v>1</v>
      </c>
      <c r="H84" s="84"/>
      <c r="I84" s="85">
        <f>Zones!D26</f>
        <v>10.43380747799606</v>
      </c>
      <c r="J84" s="84"/>
      <c r="K84" s="15">
        <f>Zones!C26</f>
        <v>16889</v>
      </c>
      <c r="M84" s="38">
        <f t="shared" si="0"/>
        <v>8.5484</v>
      </c>
    </row>
    <row r="85" spans="1:13" ht="12.75">
      <c r="A85" s="4" t="s">
        <v>274</v>
      </c>
      <c r="B85" s="4">
        <f>Inputs!A40</f>
        <v>16</v>
      </c>
      <c r="C85" s="1" t="str">
        <f>Inputs!B40</f>
        <v>KNWCWAXA</v>
      </c>
      <c r="E85" s="84">
        <v>1</v>
      </c>
      <c r="H85" s="84"/>
      <c r="I85" s="85">
        <f>Zones!D27</f>
        <v>10.453334253393844</v>
      </c>
      <c r="J85" s="84"/>
      <c r="K85" s="15">
        <f>Zones!C27</f>
        <v>25919</v>
      </c>
      <c r="M85" s="38">
        <f t="shared" si="0"/>
        <v>8.5484</v>
      </c>
    </row>
    <row r="86" spans="1:13" ht="12.75">
      <c r="A86" s="4" t="s">
        <v>274</v>
      </c>
      <c r="B86" s="4">
        <f>Inputs!A41</f>
        <v>17</v>
      </c>
      <c r="C86" s="1" t="str">
        <f>Inputs!B41</f>
        <v>KNWCWAXB</v>
      </c>
      <c r="E86" s="84">
        <v>1</v>
      </c>
      <c r="H86" s="84"/>
      <c r="I86" s="85">
        <f>Zones!D28</f>
        <v>10.459880135003372</v>
      </c>
      <c r="J86" s="84"/>
      <c r="K86" s="15">
        <f>Zones!C28</f>
        <v>23002</v>
      </c>
      <c r="M86" s="38">
        <f t="shared" si="0"/>
        <v>8.5484</v>
      </c>
    </row>
    <row r="87" spans="1:13" ht="12.75">
      <c r="A87" s="4" t="s">
        <v>274</v>
      </c>
      <c r="B87" s="4">
        <f>Inputs!A42</f>
        <v>18</v>
      </c>
      <c r="C87" s="1" t="str">
        <f>Inputs!B42</f>
        <v>OKHRWAXX</v>
      </c>
      <c r="E87" s="84">
        <v>1</v>
      </c>
      <c r="H87" s="84"/>
      <c r="I87" s="85">
        <f>Zones!D29</f>
        <v>10.500402519730093</v>
      </c>
      <c r="J87" s="84"/>
      <c r="K87" s="15">
        <f>Zones!C29</f>
        <v>22328</v>
      </c>
      <c r="M87" s="38">
        <f t="shared" si="0"/>
        <v>8.5484</v>
      </c>
    </row>
    <row r="88" spans="1:13" ht="12.75">
      <c r="A88" s="4" t="s">
        <v>274</v>
      </c>
      <c r="B88" s="4">
        <f>Inputs!A43</f>
        <v>19</v>
      </c>
      <c r="C88" s="1" t="str">
        <f>Inputs!B43</f>
        <v>LKSTWAXA</v>
      </c>
      <c r="E88" s="84">
        <v>1</v>
      </c>
      <c r="H88" s="84"/>
      <c r="I88" s="85">
        <f>Zones!D30</f>
        <v>10.524583384492827</v>
      </c>
      <c r="J88" s="84"/>
      <c r="K88" s="15">
        <f>Zones!C30</f>
        <v>22923</v>
      </c>
      <c r="M88" s="38">
        <f t="shared" si="0"/>
        <v>8.5484</v>
      </c>
    </row>
    <row r="89" spans="1:13" ht="12.75">
      <c r="A89" s="4">
        <f>B89</f>
        <v>20</v>
      </c>
      <c r="B89" s="4">
        <f>Inputs!A44</f>
        <v>20</v>
      </c>
      <c r="C89" s="1" t="str">
        <f>Inputs!B44</f>
        <v>ANCRWAXX</v>
      </c>
      <c r="E89" s="84">
        <v>1</v>
      </c>
      <c r="H89" s="84"/>
      <c r="I89" s="85">
        <f>Zones!D31</f>
        <v>10.768036831917078</v>
      </c>
      <c r="J89" s="84"/>
      <c r="K89" s="15">
        <f>Zones!C31</f>
        <v>14844</v>
      </c>
      <c r="M89" s="38">
        <f t="shared" si="0"/>
        <v>8.5484</v>
      </c>
    </row>
    <row r="90" spans="1:13" ht="12.75">
      <c r="A90" s="4" t="s">
        <v>274</v>
      </c>
      <c r="B90" s="4">
        <f>Inputs!A45</f>
        <v>21</v>
      </c>
      <c r="C90" s="1" t="str">
        <f>Inputs!B45</f>
        <v>WNTCWAXX</v>
      </c>
      <c r="E90" s="84">
        <v>1</v>
      </c>
      <c r="H90" s="84"/>
      <c r="I90" s="85">
        <f>Zones!D32</f>
        <v>10.952630037979072</v>
      </c>
      <c r="J90" s="84"/>
      <c r="K90" s="15">
        <f>Zones!C32</f>
        <v>26853</v>
      </c>
      <c r="M90" s="38">
        <f t="shared" si="0"/>
        <v>8.5484</v>
      </c>
    </row>
    <row r="91" spans="1:13" ht="12.75">
      <c r="A91" s="4" t="s">
        <v>274</v>
      </c>
      <c r="B91" s="4">
        <f>Inputs!A46</f>
        <v>22</v>
      </c>
      <c r="C91" s="1" t="str">
        <f>Inputs!B46</f>
        <v>BURLWAXX</v>
      </c>
      <c r="E91" s="84">
        <v>1</v>
      </c>
      <c r="H91" s="84"/>
      <c r="I91" s="85">
        <f>Zones!D33</f>
        <v>11.106450970737557</v>
      </c>
      <c r="J91" s="84"/>
      <c r="K91" s="15">
        <f>Zones!C33</f>
        <v>10015</v>
      </c>
      <c r="M91" s="38">
        <f t="shared" si="0"/>
        <v>8.5484</v>
      </c>
    </row>
    <row r="92" spans="1:13" ht="12.75">
      <c r="A92" s="4" t="s">
        <v>274</v>
      </c>
      <c r="B92" s="4">
        <f>Inputs!A47</f>
        <v>23</v>
      </c>
      <c r="C92" s="1" t="str">
        <f>Inputs!B47</f>
        <v>MONRWAXX</v>
      </c>
      <c r="E92" s="84">
        <v>1</v>
      </c>
      <c r="H92" s="84"/>
      <c r="I92" s="85">
        <f>Zones!D34</f>
        <v>11.45793230266468</v>
      </c>
      <c r="J92" s="84"/>
      <c r="K92" s="15">
        <f>Zones!C34</f>
        <v>15550</v>
      </c>
      <c r="M92" s="38">
        <f t="shared" si="0"/>
        <v>8.5484</v>
      </c>
    </row>
    <row r="93" spans="1:13" ht="12.75">
      <c r="A93" s="4" t="s">
        <v>274</v>
      </c>
      <c r="B93" s="4">
        <f>Inputs!A48</f>
        <v>24</v>
      </c>
      <c r="C93" s="1" t="str">
        <f>Inputs!B48</f>
        <v>BRBAWAXA</v>
      </c>
      <c r="E93" s="84">
        <v>2</v>
      </c>
      <c r="H93" s="84"/>
      <c r="I93" s="85">
        <f>Zones!D35</f>
        <v>11.948875809337189</v>
      </c>
      <c r="J93" s="84"/>
      <c r="K93" s="15">
        <f>Zones!C35</f>
        <v>4095</v>
      </c>
      <c r="M93" s="38">
        <f t="shared" si="0"/>
        <v>14.6341</v>
      </c>
    </row>
    <row r="94" spans="1:13" ht="12.75">
      <c r="A94" s="4" t="s">
        <v>274</v>
      </c>
      <c r="B94" s="4">
        <f>Inputs!A49</f>
        <v>25</v>
      </c>
      <c r="C94" s="1" t="str">
        <f>Inputs!B49</f>
        <v>WRLDWAXA</v>
      </c>
      <c r="E94" s="84">
        <v>2</v>
      </c>
      <c r="H94" s="84"/>
      <c r="I94" s="85">
        <f>Zones!D36</f>
        <v>12.490154953448922</v>
      </c>
      <c r="J94" s="84"/>
      <c r="K94" s="15">
        <f>Zones!C36</f>
        <v>4887</v>
      </c>
      <c r="M94" s="38">
        <f t="shared" si="0"/>
        <v>14.6341</v>
      </c>
    </row>
    <row r="95" spans="1:13" ht="12.75">
      <c r="A95" s="4" t="s">
        <v>274</v>
      </c>
      <c r="B95" s="4">
        <f>Inputs!A50</f>
        <v>26</v>
      </c>
      <c r="C95" s="1" t="str">
        <f>Inputs!B50</f>
        <v>WSHGWAXA</v>
      </c>
      <c r="E95" s="84">
        <v>2</v>
      </c>
      <c r="H95" s="84"/>
      <c r="I95" s="85">
        <f>Zones!D37</f>
        <v>12.571366179725125</v>
      </c>
      <c r="J95" s="84"/>
      <c r="K95" s="15">
        <f>Zones!C37</f>
        <v>6961</v>
      </c>
      <c r="M95" s="38">
        <f t="shared" si="0"/>
        <v>14.6341</v>
      </c>
    </row>
    <row r="96" spans="1:13" ht="12.75">
      <c r="A96" s="4" t="s">
        <v>274</v>
      </c>
      <c r="B96" s="4">
        <f>Inputs!A51</f>
        <v>27</v>
      </c>
      <c r="C96" s="1" t="str">
        <f>Inputs!B51</f>
        <v>LKGWWAXA</v>
      </c>
      <c r="E96" s="84">
        <v>2</v>
      </c>
      <c r="H96" s="84"/>
      <c r="I96" s="85">
        <f>Zones!D38</f>
        <v>12.70800521916165</v>
      </c>
      <c r="J96" s="84"/>
      <c r="K96" s="15">
        <f>Zones!C38</f>
        <v>10047</v>
      </c>
      <c r="M96" s="38">
        <f t="shared" si="0"/>
        <v>14.6341</v>
      </c>
    </row>
    <row r="97" spans="1:13" ht="12.75">
      <c r="A97" s="4" t="s">
        <v>274</v>
      </c>
      <c r="B97" s="4">
        <f>Inputs!A52</f>
        <v>28</v>
      </c>
      <c r="C97" s="1" t="str">
        <f>Inputs!B52</f>
        <v>PLMNWAXX</v>
      </c>
      <c r="E97" s="84">
        <v>2</v>
      </c>
      <c r="H97" s="84"/>
      <c r="I97" s="85">
        <f>Zones!D39</f>
        <v>12.963149484942774</v>
      </c>
      <c r="J97" s="84"/>
      <c r="K97" s="15">
        <f>Zones!C39</f>
        <v>15622</v>
      </c>
      <c r="M97" s="38">
        <f t="shared" si="0"/>
        <v>14.6341</v>
      </c>
    </row>
    <row r="98" spans="1:13" ht="12.75">
      <c r="A98" s="4" t="s">
        <v>274</v>
      </c>
      <c r="B98" s="4">
        <f>Inputs!A53</f>
        <v>29</v>
      </c>
      <c r="C98" s="1" t="str">
        <f>Inputs!B53</f>
        <v>EWNCWAXA</v>
      </c>
      <c r="E98" s="84">
        <v>2</v>
      </c>
      <c r="H98" s="84"/>
      <c r="I98" s="85">
        <f>Zones!D40</f>
        <v>13.074572572624758</v>
      </c>
      <c r="J98" s="84"/>
      <c r="K98" s="15">
        <f>Zones!C40</f>
        <v>14551</v>
      </c>
      <c r="M98" s="38">
        <f t="shared" si="0"/>
        <v>14.6341</v>
      </c>
    </row>
    <row r="99" spans="1:13" ht="12.75">
      <c r="A99" s="4">
        <f>B99</f>
        <v>30</v>
      </c>
      <c r="B99" s="4">
        <f>Inputs!A54</f>
        <v>30</v>
      </c>
      <c r="C99" s="1" t="str">
        <f>Inputs!B54</f>
        <v>RCLDWAXA</v>
      </c>
      <c r="E99" s="84">
        <v>2</v>
      </c>
      <c r="H99" s="84"/>
      <c r="I99" s="85">
        <f>Zones!D41</f>
        <v>13.143882357543374</v>
      </c>
      <c r="J99" s="84"/>
      <c r="K99" s="15">
        <f>Zones!C41</f>
        <v>6740</v>
      </c>
      <c r="M99" s="38">
        <f t="shared" si="0"/>
        <v>14.6341</v>
      </c>
    </row>
    <row r="100" spans="1:13" ht="12.75">
      <c r="A100" s="4" t="s">
        <v>274</v>
      </c>
      <c r="B100" s="4">
        <f>Inputs!A55</f>
        <v>31</v>
      </c>
      <c r="C100" s="1" t="str">
        <f>Inputs!B55</f>
        <v>CLVWWAXA</v>
      </c>
      <c r="E100" s="84">
        <v>2</v>
      </c>
      <c r="H100" s="84"/>
      <c r="I100" s="85">
        <f>Zones!D42</f>
        <v>13.16910209759036</v>
      </c>
      <c r="J100" s="84"/>
      <c r="K100" s="15">
        <f>Zones!C42</f>
        <v>6449</v>
      </c>
      <c r="M100" s="38">
        <f t="shared" si="0"/>
        <v>14.6341</v>
      </c>
    </row>
    <row r="101" spans="1:13" ht="12.75">
      <c r="A101" s="4" t="s">
        <v>274</v>
      </c>
      <c r="B101" s="4">
        <f>Inputs!A56</f>
        <v>32</v>
      </c>
      <c r="C101" s="1" t="str">
        <f>Inputs!B56</f>
        <v>CAMSWAXX</v>
      </c>
      <c r="E101" s="84">
        <v>2</v>
      </c>
      <c r="H101" s="84"/>
      <c r="I101" s="85">
        <f>Zones!D43</f>
        <v>13.190319111400136</v>
      </c>
      <c r="J101" s="84"/>
      <c r="K101" s="15">
        <f>Zones!C43</f>
        <v>10369</v>
      </c>
      <c r="M101" s="38">
        <f t="shared" si="0"/>
        <v>14.6341</v>
      </c>
    </row>
    <row r="102" spans="1:13" ht="12.75">
      <c r="A102" s="4" t="s">
        <v>274</v>
      </c>
      <c r="B102" s="4">
        <f>Inputs!A57</f>
        <v>33</v>
      </c>
      <c r="C102" s="1" t="str">
        <f>Inputs!B57</f>
        <v>SNHSWAXX</v>
      </c>
      <c r="E102" s="84">
        <v>2</v>
      </c>
      <c r="H102" s="84"/>
      <c r="I102" s="85">
        <f>Zones!D44</f>
        <v>13.494710729149753</v>
      </c>
      <c r="J102" s="84"/>
      <c r="K102" s="15">
        <f>Zones!C44</f>
        <v>12368</v>
      </c>
      <c r="M102" s="38">
        <f aca="true" t="shared" si="1" ref="M102:M133">IF(E102=1,E$10,IF(E102=2,E$11,IF(E102=3,E$12,IF(E102=4,E$13,IF(E102=5,E$14,"Bad Zone")))))</f>
        <v>14.6341</v>
      </c>
    </row>
    <row r="103" spans="1:13" ht="12.75">
      <c r="A103" s="4" t="s">
        <v>274</v>
      </c>
      <c r="B103" s="4">
        <f>Inputs!A58</f>
        <v>34</v>
      </c>
      <c r="C103" s="1" t="str">
        <f>Inputs!B58</f>
        <v>KNWCWAXC</v>
      </c>
      <c r="E103" s="84">
        <v>2</v>
      </c>
      <c r="H103" s="84"/>
      <c r="I103" s="85">
        <f>Zones!D45</f>
        <v>13.53255314524415</v>
      </c>
      <c r="J103" s="84"/>
      <c r="K103" s="15">
        <f>Zones!C45</f>
        <v>9611</v>
      </c>
      <c r="M103" s="38">
        <f t="shared" si="1"/>
        <v>14.6341</v>
      </c>
    </row>
    <row r="104" spans="1:13" ht="12.75">
      <c r="A104" s="4" t="s">
        <v>274</v>
      </c>
      <c r="B104" s="4">
        <f>Inputs!A59</f>
        <v>35</v>
      </c>
      <c r="C104" s="1" t="str">
        <f>Inputs!B59</f>
        <v>BLANWAXB</v>
      </c>
      <c r="E104" s="84">
        <v>2</v>
      </c>
      <c r="H104" s="84"/>
      <c r="I104" s="85">
        <f>Zones!D46</f>
        <v>13.884192051825572</v>
      </c>
      <c r="J104" s="84"/>
      <c r="K104" s="15">
        <f>Zones!C46</f>
        <v>3395</v>
      </c>
      <c r="M104" s="38">
        <f t="shared" si="1"/>
        <v>14.6341</v>
      </c>
    </row>
    <row r="105" spans="1:13" ht="12.75">
      <c r="A105" s="4" t="s">
        <v>274</v>
      </c>
      <c r="B105" s="4">
        <f>Inputs!A60</f>
        <v>36</v>
      </c>
      <c r="C105" s="1" t="str">
        <f>Inputs!B60</f>
        <v>DVLLWAXX</v>
      </c>
      <c r="E105" s="84">
        <v>2</v>
      </c>
      <c r="H105" s="84"/>
      <c r="I105" s="85">
        <f>Zones!D47</f>
        <v>13.899521774086834</v>
      </c>
      <c r="J105" s="84"/>
      <c r="K105" s="15">
        <f>Zones!C47</f>
        <v>13350</v>
      </c>
      <c r="M105" s="38">
        <f t="shared" si="1"/>
        <v>14.6341</v>
      </c>
    </row>
    <row r="106" spans="1:13" ht="12.75">
      <c r="A106" s="4" t="s">
        <v>274</v>
      </c>
      <c r="B106" s="4">
        <f>Inputs!A61</f>
        <v>37</v>
      </c>
      <c r="C106" s="1" t="str">
        <f>Inputs!B61</f>
        <v>STWDWAXX</v>
      </c>
      <c r="E106" s="84">
        <v>2</v>
      </c>
      <c r="H106" s="84"/>
      <c r="I106" s="85">
        <f>Zones!D48</f>
        <v>14.20729965423125</v>
      </c>
      <c r="J106" s="84"/>
      <c r="K106" s="15">
        <f>Zones!C48</f>
        <v>7568</v>
      </c>
      <c r="M106" s="38">
        <f t="shared" si="1"/>
        <v>14.6341</v>
      </c>
    </row>
    <row r="107" spans="1:13" ht="12.75">
      <c r="A107" s="4" t="s">
        <v>274</v>
      </c>
      <c r="B107" s="4">
        <f>Inputs!A62</f>
        <v>38</v>
      </c>
      <c r="C107" s="1" t="str">
        <f>Inputs!B62</f>
        <v>LYNDWAXX</v>
      </c>
      <c r="E107" s="84">
        <v>2</v>
      </c>
      <c r="H107" s="84"/>
      <c r="I107" s="85">
        <f>Zones!D49</f>
        <v>14.23776469213725</v>
      </c>
      <c r="J107" s="84"/>
      <c r="K107" s="15">
        <f>Zones!C49</f>
        <v>8119</v>
      </c>
      <c r="M107" s="38">
        <f t="shared" si="1"/>
        <v>14.6341</v>
      </c>
    </row>
    <row r="108" spans="1:13" ht="12.75">
      <c r="A108" s="4" t="s">
        <v>274</v>
      </c>
      <c r="B108" s="4">
        <f>Inputs!A63</f>
        <v>39</v>
      </c>
      <c r="C108" s="1" t="str">
        <f>Inputs!B63</f>
        <v>CPVLWAXX</v>
      </c>
      <c r="E108" s="84">
        <v>2</v>
      </c>
      <c r="H108" s="84"/>
      <c r="I108" s="85">
        <f>Zones!D50</f>
        <v>14.920538850485228</v>
      </c>
      <c r="J108" s="84"/>
      <c r="K108" s="15">
        <f>Zones!C50</f>
        <v>6628</v>
      </c>
      <c r="M108" s="38">
        <f t="shared" si="1"/>
        <v>14.6341</v>
      </c>
    </row>
    <row r="109" spans="1:13" ht="12.75">
      <c r="A109" s="4">
        <f>B109</f>
        <v>40</v>
      </c>
      <c r="B109" s="4">
        <f>Inputs!A64</f>
        <v>40</v>
      </c>
      <c r="C109" s="1" t="str">
        <f>Inputs!B64</f>
        <v>LACNWAXX</v>
      </c>
      <c r="E109" s="84">
        <v>2</v>
      </c>
      <c r="H109" s="84"/>
      <c r="I109" s="85">
        <f>Zones!D51</f>
        <v>15.000466267590324</v>
      </c>
      <c r="J109" s="84"/>
      <c r="K109" s="15">
        <f>Zones!C51</f>
        <v>3559</v>
      </c>
      <c r="M109" s="38">
        <f t="shared" si="1"/>
        <v>14.6341</v>
      </c>
    </row>
    <row r="110" spans="1:13" ht="12.75">
      <c r="A110" s="4" t="s">
        <v>274</v>
      </c>
      <c r="B110" s="4">
        <f>Inputs!A65</f>
        <v>41</v>
      </c>
      <c r="C110" s="1" t="str">
        <f>Inputs!B65</f>
        <v>CMISWAXA</v>
      </c>
      <c r="E110" s="84">
        <v>2</v>
      </c>
      <c r="H110" s="84"/>
      <c r="I110" s="85">
        <f>Zones!D52</f>
        <v>15.013721536008852</v>
      </c>
      <c r="J110" s="84"/>
      <c r="K110" s="15">
        <f>Zones!C52</f>
        <v>8893</v>
      </c>
      <c r="M110" s="38">
        <f t="shared" si="1"/>
        <v>14.6341</v>
      </c>
    </row>
    <row r="111" spans="1:13" ht="12.75">
      <c r="A111" s="4" t="s">
        <v>274</v>
      </c>
      <c r="B111" s="4">
        <f>Inputs!A66</f>
        <v>42</v>
      </c>
      <c r="C111" s="1" t="str">
        <f>Inputs!B66</f>
        <v>FNDLWAXA</v>
      </c>
      <c r="E111" s="84">
        <v>2</v>
      </c>
      <c r="H111" s="84"/>
      <c r="I111" s="85">
        <f>Zones!D53</f>
        <v>15.091109048693042</v>
      </c>
      <c r="J111" s="84"/>
      <c r="K111" s="15">
        <f>Zones!C53</f>
        <v>8751</v>
      </c>
      <c r="M111" s="38">
        <f t="shared" si="1"/>
        <v>14.6341</v>
      </c>
    </row>
    <row r="112" spans="1:13" ht="12.75">
      <c r="A112" s="4" t="s">
        <v>274</v>
      </c>
      <c r="B112" s="4">
        <f>Inputs!A67</f>
        <v>43</v>
      </c>
      <c r="C112" s="1" t="str">
        <f>Inputs!B67</f>
        <v>SWLYWAXX</v>
      </c>
      <c r="E112" s="84">
        <v>2</v>
      </c>
      <c r="H112" s="84"/>
      <c r="I112" s="85">
        <f>Zones!D54</f>
        <v>15.44571051141079</v>
      </c>
      <c r="J112" s="84"/>
      <c r="K112" s="15">
        <f>Zones!C54</f>
        <v>10705</v>
      </c>
      <c r="M112" s="38">
        <f t="shared" si="1"/>
        <v>14.6341</v>
      </c>
    </row>
    <row r="113" spans="1:13" ht="12.75">
      <c r="A113" s="4" t="s">
        <v>274</v>
      </c>
      <c r="B113" s="4">
        <f>Inputs!A68</f>
        <v>44</v>
      </c>
      <c r="C113" s="1" t="str">
        <f>Inputs!B68</f>
        <v>LARLWAXX</v>
      </c>
      <c r="E113" s="84">
        <v>2</v>
      </c>
      <c r="H113" s="84"/>
      <c r="I113" s="85">
        <f>Zones!D55</f>
        <v>15.637647411208691</v>
      </c>
      <c r="J113" s="84"/>
      <c r="K113" s="15">
        <f>Zones!C55</f>
        <v>3170</v>
      </c>
      <c r="M113" s="38">
        <f t="shared" si="1"/>
        <v>14.6341</v>
      </c>
    </row>
    <row r="114" spans="1:13" ht="12.75">
      <c r="A114" s="4" t="s">
        <v>274</v>
      </c>
      <c r="B114" s="4">
        <f>Inputs!A69</f>
        <v>45</v>
      </c>
      <c r="C114" s="1" t="str">
        <f>Inputs!B69</f>
        <v>ARTNWAXX</v>
      </c>
      <c r="E114" s="84">
        <v>2</v>
      </c>
      <c r="H114" s="84"/>
      <c r="I114" s="85">
        <f>Zones!D56</f>
        <v>16.245652328560208</v>
      </c>
      <c r="J114" s="84"/>
      <c r="K114" s="15">
        <f>Zones!C56</f>
        <v>16840</v>
      </c>
      <c r="M114" s="38">
        <f t="shared" si="1"/>
        <v>14.6341</v>
      </c>
    </row>
    <row r="115" spans="1:13" ht="12.75">
      <c r="A115" s="4" t="s">
        <v>274</v>
      </c>
      <c r="B115" s="4">
        <f>Inputs!A70</f>
        <v>46</v>
      </c>
      <c r="C115" s="1" t="str">
        <f>Inputs!B70</f>
        <v>WDLDWAXA</v>
      </c>
      <c r="E115" s="84">
        <v>2</v>
      </c>
      <c r="H115" s="84"/>
      <c r="I115" s="85">
        <f>Zones!D57</f>
        <v>16.28779148397273</v>
      </c>
      <c r="J115" s="84"/>
      <c r="K115" s="15">
        <f>Zones!C57</f>
        <v>6461</v>
      </c>
      <c r="M115" s="38">
        <f t="shared" si="1"/>
        <v>14.6341</v>
      </c>
    </row>
    <row r="116" spans="1:13" ht="12.75">
      <c r="A116" s="4" t="s">
        <v>274</v>
      </c>
      <c r="B116" s="4">
        <f>Inputs!A71</f>
        <v>47</v>
      </c>
      <c r="C116" s="1" t="str">
        <f>Inputs!B71</f>
        <v>GRLDWAXX</v>
      </c>
      <c r="E116" s="84">
        <v>2</v>
      </c>
      <c r="H116" s="84"/>
      <c r="I116" s="85">
        <f>Zones!D58</f>
        <v>17.503118632246192</v>
      </c>
      <c r="J116" s="84"/>
      <c r="K116" s="15">
        <f>Zones!C58</f>
        <v>1636</v>
      </c>
      <c r="M116" s="38">
        <f t="shared" si="1"/>
        <v>14.6341</v>
      </c>
    </row>
    <row r="117" spans="1:13" ht="12.75">
      <c r="A117" s="4" t="s">
        <v>274</v>
      </c>
      <c r="B117" s="4">
        <f>Inputs!A72</f>
        <v>48</v>
      </c>
      <c r="C117" s="1" t="str">
        <f>Inputs!B72</f>
        <v>EVSNWAXX</v>
      </c>
      <c r="E117" s="84">
        <v>2</v>
      </c>
      <c r="H117" s="84"/>
      <c r="I117" s="85">
        <f>Zones!D59</f>
        <v>18.229502682065945</v>
      </c>
      <c r="J117" s="84"/>
      <c r="K117" s="15">
        <f>Zones!C59</f>
        <v>3447</v>
      </c>
      <c r="M117" s="38">
        <f t="shared" si="1"/>
        <v>14.6341</v>
      </c>
    </row>
    <row r="118" spans="1:13" ht="12.75">
      <c r="A118" s="4" t="s">
        <v>274</v>
      </c>
      <c r="B118" s="4">
        <f>Inputs!A73</f>
        <v>49</v>
      </c>
      <c r="C118" s="1" t="str">
        <f>Inputs!B73</f>
        <v>CSTRWAXA</v>
      </c>
      <c r="E118" s="84">
        <v>2</v>
      </c>
      <c r="H118" s="84"/>
      <c r="I118" s="85">
        <f>Zones!D60</f>
        <v>18.316240394320655</v>
      </c>
      <c r="J118" s="84"/>
      <c r="K118" s="15">
        <f>Zones!C60</f>
        <v>2371</v>
      </c>
      <c r="M118" s="38">
        <f t="shared" si="1"/>
        <v>14.6341</v>
      </c>
    </row>
    <row r="119" spans="1:13" ht="12.75">
      <c r="A119" s="4">
        <f>B119</f>
        <v>50</v>
      </c>
      <c r="B119" s="4">
        <f>Inputs!A74</f>
        <v>50</v>
      </c>
      <c r="C119" s="1" t="str">
        <f>Inputs!B74</f>
        <v>CSHRWAXX</v>
      </c>
      <c r="E119" s="84">
        <v>2</v>
      </c>
      <c r="H119" s="84"/>
      <c r="I119" s="85">
        <f>Zones!D61</f>
        <v>18.670023634428237</v>
      </c>
      <c r="J119" s="84"/>
      <c r="K119" s="15">
        <f>Zones!C61</f>
        <v>4523</v>
      </c>
      <c r="M119" s="38">
        <f t="shared" si="1"/>
        <v>14.6341</v>
      </c>
    </row>
    <row r="120" spans="1:13" ht="12.75">
      <c r="A120" s="4" t="s">
        <v>274</v>
      </c>
      <c r="B120" s="4">
        <f>Inputs!A75</f>
        <v>51</v>
      </c>
      <c r="C120" s="1" t="str">
        <f>Inputs!B75</f>
        <v>SULTWAXX</v>
      </c>
      <c r="E120" s="84">
        <v>2</v>
      </c>
      <c r="H120" s="84"/>
      <c r="I120" s="85">
        <f>Zones!D62</f>
        <v>19.487827340725737</v>
      </c>
      <c r="J120" s="84"/>
      <c r="K120" s="15">
        <f>Zones!C62</f>
        <v>7072</v>
      </c>
      <c r="M120" s="38">
        <f t="shared" si="1"/>
        <v>14.6341</v>
      </c>
    </row>
    <row r="121" spans="1:13" ht="12.75">
      <c r="A121" s="4" t="s">
        <v>274</v>
      </c>
      <c r="B121" s="4">
        <f>Inputs!A76</f>
        <v>52</v>
      </c>
      <c r="C121" s="1" t="str">
        <f>Inputs!B76</f>
        <v>GRFLWAXX</v>
      </c>
      <c r="E121" s="84">
        <v>2</v>
      </c>
      <c r="H121" s="84"/>
      <c r="I121" s="85">
        <f>Zones!D63</f>
        <v>19.68067343865162</v>
      </c>
      <c r="J121" s="84"/>
      <c r="K121" s="15">
        <f>Zones!C63</f>
        <v>6311</v>
      </c>
      <c r="M121" s="38">
        <f t="shared" si="1"/>
        <v>14.6341</v>
      </c>
    </row>
    <row r="122" spans="1:13" ht="12.75">
      <c r="A122" s="4" t="s">
        <v>274</v>
      </c>
      <c r="B122" s="4">
        <f>Inputs!A77</f>
        <v>53</v>
      </c>
      <c r="C122" s="1" t="str">
        <f>Inputs!B77</f>
        <v>CNWYWAXX</v>
      </c>
      <c r="E122" s="84">
        <v>2</v>
      </c>
      <c r="H122" s="84"/>
      <c r="I122" s="85">
        <f>Zones!D64</f>
        <v>21.44271488891788</v>
      </c>
      <c r="J122" s="84"/>
      <c r="K122" s="15">
        <f>Zones!C64</f>
        <v>1676</v>
      </c>
      <c r="M122" s="38">
        <f t="shared" si="1"/>
        <v>14.6341</v>
      </c>
    </row>
    <row r="123" spans="1:13" ht="12.75">
      <c r="A123" s="4" t="s">
        <v>274</v>
      </c>
      <c r="B123" s="4">
        <f>Inputs!A78</f>
        <v>54</v>
      </c>
      <c r="C123" s="1" t="str">
        <f>Inputs!B78</f>
        <v>MNSNWAXA</v>
      </c>
      <c r="E123" s="84">
        <v>3</v>
      </c>
      <c r="H123" s="84"/>
      <c r="I123" s="85">
        <f>Zones!D65</f>
        <v>21.86533801595969</v>
      </c>
      <c r="J123" s="84"/>
      <c r="K123" s="15">
        <f>Zones!C65</f>
        <v>2777</v>
      </c>
      <c r="M123" s="38">
        <f t="shared" si="1"/>
        <v>28.5481</v>
      </c>
    </row>
    <row r="124" spans="1:13" ht="12.75">
      <c r="A124" s="4" t="s">
        <v>274</v>
      </c>
      <c r="B124" s="4">
        <f>Inputs!A79</f>
        <v>55</v>
      </c>
      <c r="C124" s="1" t="str">
        <f>Inputs!B79</f>
        <v>SUMSWAXX</v>
      </c>
      <c r="E124" s="84">
        <v>3</v>
      </c>
      <c r="H124" s="84"/>
      <c r="I124" s="85">
        <f>Zones!D66</f>
        <v>22.633498569568374</v>
      </c>
      <c r="J124" s="84"/>
      <c r="K124" s="15">
        <f>Zones!C66</f>
        <v>1530</v>
      </c>
      <c r="M124" s="38">
        <f t="shared" si="1"/>
        <v>28.5481</v>
      </c>
    </row>
    <row r="125" spans="1:13" ht="12.75">
      <c r="A125" s="4" t="s">
        <v>274</v>
      </c>
      <c r="B125" s="4">
        <f>Inputs!A80</f>
        <v>56</v>
      </c>
      <c r="C125" s="1" t="str">
        <f>Inputs!B80</f>
        <v>ALGRWAXX</v>
      </c>
      <c r="E125" s="84">
        <v>3</v>
      </c>
      <c r="H125" s="84"/>
      <c r="I125" s="85">
        <f>Zones!D67</f>
        <v>23.369829091759144</v>
      </c>
      <c r="J125" s="84"/>
      <c r="K125" s="15">
        <f>Zones!C67</f>
        <v>1331</v>
      </c>
      <c r="M125" s="38">
        <f t="shared" si="1"/>
        <v>28.5481</v>
      </c>
    </row>
    <row r="126" spans="1:13" ht="12.75">
      <c r="A126" s="4" t="s">
        <v>274</v>
      </c>
      <c r="B126" s="4">
        <f>Inputs!A81</f>
        <v>57</v>
      </c>
      <c r="C126" s="1" t="str">
        <f>Inputs!B81</f>
        <v>EDSNWAXX</v>
      </c>
      <c r="E126" s="84">
        <v>3</v>
      </c>
      <c r="H126" s="84"/>
      <c r="I126" s="85">
        <f>Zones!D68</f>
        <v>23.78747988896846</v>
      </c>
      <c r="J126" s="84"/>
      <c r="K126" s="15">
        <f>Zones!C68</f>
        <v>1560</v>
      </c>
      <c r="M126" s="38">
        <f t="shared" si="1"/>
        <v>28.5481</v>
      </c>
    </row>
    <row r="127" spans="1:13" ht="12.75">
      <c r="A127" s="4" t="s">
        <v>274</v>
      </c>
      <c r="B127" s="4">
        <f>Inputs!A82</f>
        <v>58</v>
      </c>
      <c r="C127" s="1" t="str">
        <f>Inputs!B82</f>
        <v>BNCYWAXX</v>
      </c>
      <c r="E127" s="84">
        <v>3</v>
      </c>
      <c r="H127" s="84"/>
      <c r="I127" s="85">
        <f>Zones!D69</f>
        <v>25.598516197000738</v>
      </c>
      <c r="J127" s="84"/>
      <c r="K127" s="15">
        <f>Zones!C69</f>
        <v>3483</v>
      </c>
      <c r="M127" s="38">
        <f t="shared" si="1"/>
        <v>28.5481</v>
      </c>
    </row>
    <row r="128" spans="1:13" ht="12.75">
      <c r="A128" s="4" t="s">
        <v>274</v>
      </c>
      <c r="B128" s="4">
        <f>Inputs!A83</f>
        <v>59</v>
      </c>
      <c r="C128" s="1" t="str">
        <f>Inputs!B83</f>
        <v>CHLNWAXX</v>
      </c>
      <c r="E128" s="84">
        <v>3</v>
      </c>
      <c r="H128" s="84"/>
      <c r="I128" s="85">
        <f>Zones!D70</f>
        <v>25.668142922714438</v>
      </c>
      <c r="J128" s="84"/>
      <c r="K128" s="15">
        <f>Zones!C70</f>
        <v>4823</v>
      </c>
      <c r="M128" s="38">
        <f t="shared" si="1"/>
        <v>28.5481</v>
      </c>
    </row>
    <row r="129" spans="1:13" ht="12.75">
      <c r="A129" s="4">
        <f>B129</f>
        <v>60</v>
      </c>
      <c r="B129" s="4">
        <f>Inputs!A84</f>
        <v>60</v>
      </c>
      <c r="C129" s="1" t="str">
        <f>Inputs!B84</f>
        <v>ACMEWAXA</v>
      </c>
      <c r="E129" s="84">
        <v>3</v>
      </c>
      <c r="H129" s="84"/>
      <c r="I129" s="85">
        <f>Zones!D71</f>
        <v>25.717295676024204</v>
      </c>
      <c r="J129" s="84"/>
      <c r="K129" s="15">
        <f>Zones!C71</f>
        <v>1579</v>
      </c>
      <c r="M129" s="38">
        <f t="shared" si="1"/>
        <v>28.5481</v>
      </c>
    </row>
    <row r="130" spans="1:13" ht="12.75">
      <c r="A130" s="4" t="s">
        <v>274</v>
      </c>
      <c r="B130" s="4">
        <f>Inputs!A85</f>
        <v>61</v>
      </c>
      <c r="C130" s="1" t="str">
        <f>Inputs!B85</f>
        <v>NCHSWAXX</v>
      </c>
      <c r="E130" s="84">
        <v>3</v>
      </c>
      <c r="H130" s="84"/>
      <c r="I130" s="85">
        <f>Zones!D72</f>
        <v>26.01586014336417</v>
      </c>
      <c r="J130" s="84"/>
      <c r="K130" s="15">
        <f>Zones!C72</f>
        <v>1205</v>
      </c>
      <c r="M130" s="38">
        <f t="shared" si="1"/>
        <v>28.5481</v>
      </c>
    </row>
    <row r="131" spans="1:13" ht="12.75">
      <c r="A131" s="4" t="s">
        <v>274</v>
      </c>
      <c r="B131" s="4">
        <f>Inputs!A86</f>
        <v>62</v>
      </c>
      <c r="C131" s="1" t="str">
        <f>Inputs!B86</f>
        <v>SOLKWAXX</v>
      </c>
      <c r="E131" s="84">
        <v>3</v>
      </c>
      <c r="H131" s="84"/>
      <c r="I131" s="85">
        <f>Zones!D73</f>
        <v>27.486517623325387</v>
      </c>
      <c r="J131" s="84"/>
      <c r="K131" s="15">
        <f>Zones!C73</f>
        <v>2108</v>
      </c>
      <c r="M131" s="38">
        <f t="shared" si="1"/>
        <v>28.5481</v>
      </c>
    </row>
    <row r="132" spans="1:13" ht="12.75">
      <c r="A132" s="4" t="s">
        <v>274</v>
      </c>
      <c r="B132" s="4">
        <f>Inputs!A87</f>
        <v>63</v>
      </c>
      <c r="C132" s="1" t="str">
        <f>Inputs!B87</f>
        <v>WSRVWAXA</v>
      </c>
      <c r="E132" s="84">
        <v>3</v>
      </c>
      <c r="H132" s="84"/>
      <c r="I132" s="85">
        <f>Zones!D74</f>
        <v>28.41149970069348</v>
      </c>
      <c r="J132" s="84"/>
      <c r="K132" s="15">
        <f>Zones!C74</f>
        <v>1513</v>
      </c>
      <c r="M132" s="38">
        <f t="shared" si="1"/>
        <v>28.5481</v>
      </c>
    </row>
    <row r="133" spans="1:13" ht="12.75">
      <c r="A133" s="4" t="s">
        <v>274</v>
      </c>
      <c r="B133" s="4">
        <f>Inputs!A88</f>
        <v>64</v>
      </c>
      <c r="C133" s="1" t="str">
        <f>Inputs!B88</f>
        <v>DMNGWAXA</v>
      </c>
      <c r="E133" s="84">
        <v>3</v>
      </c>
      <c r="H133" s="84"/>
      <c r="I133" s="85">
        <f>Zones!D75</f>
        <v>28.509898551455663</v>
      </c>
      <c r="J133" s="84"/>
      <c r="K133" s="15">
        <f>Zones!C75</f>
        <v>2208</v>
      </c>
      <c r="M133" s="38">
        <f t="shared" si="1"/>
        <v>28.5481</v>
      </c>
    </row>
    <row r="134" spans="1:13" ht="12.75">
      <c r="A134" s="4" t="s">
        <v>274</v>
      </c>
      <c r="B134" s="4">
        <f>Inputs!A89</f>
        <v>65</v>
      </c>
      <c r="C134" s="1" t="str">
        <f>Inputs!B89</f>
        <v>HMTNWAXA</v>
      </c>
      <c r="E134" s="84">
        <v>3</v>
      </c>
      <c r="H134" s="84"/>
      <c r="I134" s="85">
        <f>Zones!D76</f>
        <v>29.681740253732332</v>
      </c>
      <c r="J134" s="84"/>
      <c r="K134" s="15">
        <f>Zones!C76</f>
        <v>2206</v>
      </c>
      <c r="M134" s="38">
        <f aca="true" t="shared" si="2" ref="M134:M168">IF(E134=1,E$10,IF(E134=2,E$11,IF(E134=3,E$12,IF(E134=4,E$13,IF(E134=5,E$14,"Bad Zone")))))</f>
        <v>28.5481</v>
      </c>
    </row>
    <row r="135" spans="1:13" ht="12.75">
      <c r="A135" s="4" t="s">
        <v>274</v>
      </c>
      <c r="B135" s="4">
        <f>Inputs!A90</f>
        <v>66</v>
      </c>
      <c r="C135" s="1" t="str">
        <f>Inputs!B90</f>
        <v>LVWOWAXX</v>
      </c>
      <c r="E135" s="84">
        <v>3</v>
      </c>
      <c r="H135" s="84"/>
      <c r="I135" s="85">
        <f>Zones!D77</f>
        <v>29.83745195965511</v>
      </c>
      <c r="J135" s="84"/>
      <c r="K135" s="15">
        <f>Zones!C77</f>
        <v>5132</v>
      </c>
      <c r="M135" s="38">
        <f t="shared" si="2"/>
        <v>28.5481</v>
      </c>
    </row>
    <row r="136" spans="1:13" ht="12.75">
      <c r="A136" s="4" t="s">
        <v>274</v>
      </c>
      <c r="B136" s="4">
        <f>Inputs!A91</f>
        <v>67</v>
      </c>
      <c r="C136" s="1" t="str">
        <f>Inputs!B91</f>
        <v>BGLKWAXX</v>
      </c>
      <c r="E136" s="84">
        <v>3</v>
      </c>
      <c r="H136" s="84"/>
      <c r="I136" s="85">
        <f>Zones!D78</f>
        <v>30.422377545206885</v>
      </c>
      <c r="J136" s="84"/>
      <c r="K136" s="15">
        <f>Zones!C78</f>
        <v>1678</v>
      </c>
      <c r="M136" s="38">
        <f t="shared" si="2"/>
        <v>28.5481</v>
      </c>
    </row>
    <row r="137" spans="1:13" ht="12.75">
      <c r="A137" s="4" t="s">
        <v>274</v>
      </c>
      <c r="B137" s="4">
        <f>Inputs!A92</f>
        <v>68</v>
      </c>
      <c r="C137" s="1" t="str">
        <f>Inputs!B92</f>
        <v>DRTNWAXX</v>
      </c>
      <c r="E137" s="84">
        <v>3</v>
      </c>
      <c r="H137" s="84"/>
      <c r="I137" s="85">
        <f>Zones!D79</f>
        <v>30.574068988868543</v>
      </c>
      <c r="J137" s="84"/>
      <c r="K137" s="15">
        <f>Zones!C79</f>
        <v>1934</v>
      </c>
      <c r="M137" s="38">
        <f t="shared" si="2"/>
        <v>28.5481</v>
      </c>
    </row>
    <row r="138" spans="1:13" ht="12.75">
      <c r="A138" s="4" t="s">
        <v>274</v>
      </c>
      <c r="B138" s="4">
        <f>Inputs!A93</f>
        <v>69</v>
      </c>
      <c r="C138" s="1" t="str">
        <f>Inputs!B93</f>
        <v>SKYKWAXX</v>
      </c>
      <c r="E138" s="84">
        <v>3</v>
      </c>
      <c r="H138" s="84"/>
      <c r="I138" s="85">
        <f>Zones!D80</f>
        <v>30.668676134184796</v>
      </c>
      <c r="J138" s="84"/>
      <c r="K138" s="15">
        <f>Zones!C80</f>
        <v>542</v>
      </c>
      <c r="M138" s="38">
        <f t="shared" si="2"/>
        <v>28.5481</v>
      </c>
    </row>
    <row r="139" spans="1:13" ht="12.75">
      <c r="A139" s="4">
        <f>B139</f>
        <v>70</v>
      </c>
      <c r="B139" s="4">
        <f>Inputs!A94</f>
        <v>70</v>
      </c>
      <c r="C139" s="1" t="str">
        <f>Inputs!B94</f>
        <v>QNCYWAXX</v>
      </c>
      <c r="E139" s="84">
        <v>3</v>
      </c>
      <c r="H139" s="84"/>
      <c r="I139" s="85">
        <f>Zones!D81</f>
        <v>30.721341526641012</v>
      </c>
      <c r="J139" s="84"/>
      <c r="K139" s="15">
        <f>Zones!C81</f>
        <v>5282</v>
      </c>
      <c r="M139" s="38">
        <f t="shared" si="2"/>
        <v>28.5481</v>
      </c>
    </row>
    <row r="140" spans="1:13" ht="12.75">
      <c r="A140" s="4" t="s">
        <v>274</v>
      </c>
      <c r="B140" s="4">
        <f>Inputs!A95</f>
        <v>71</v>
      </c>
      <c r="C140" s="1" t="str">
        <f>Inputs!B95</f>
        <v>NWPTWAXX</v>
      </c>
      <c r="E140" s="84">
        <v>3</v>
      </c>
      <c r="H140" s="84"/>
      <c r="I140" s="85">
        <f>Zones!D82</f>
        <v>31.059738608031015</v>
      </c>
      <c r="J140" s="84"/>
      <c r="K140" s="15">
        <f>Zones!C82</f>
        <v>6036</v>
      </c>
      <c r="M140" s="38">
        <f t="shared" si="2"/>
        <v>28.5481</v>
      </c>
    </row>
    <row r="141" spans="1:13" ht="12.75">
      <c r="A141" s="4" t="s">
        <v>274</v>
      </c>
      <c r="B141" s="4">
        <f>Inputs!A96</f>
        <v>72</v>
      </c>
      <c r="C141" s="1" t="str">
        <f>Inputs!B96</f>
        <v>BRWSWAXA</v>
      </c>
      <c r="E141" s="84">
        <v>3</v>
      </c>
      <c r="H141" s="84"/>
      <c r="I141" s="85">
        <f>Zones!D83</f>
        <v>33.879976539163394</v>
      </c>
      <c r="J141" s="84"/>
      <c r="K141" s="15">
        <f>Zones!C83</f>
        <v>2192</v>
      </c>
      <c r="M141" s="38">
        <f t="shared" si="2"/>
        <v>28.5481</v>
      </c>
    </row>
    <row r="142" spans="1:13" ht="12.75">
      <c r="A142" s="4" t="s">
        <v>274</v>
      </c>
      <c r="B142" s="4">
        <f>Inputs!A97</f>
        <v>73</v>
      </c>
      <c r="C142" s="1" t="str">
        <f>Inputs!B97</f>
        <v>LKWNWAXA</v>
      </c>
      <c r="E142" s="84">
        <v>3</v>
      </c>
      <c r="H142" s="84"/>
      <c r="I142" s="85">
        <f>Zones!D84</f>
        <v>35.816419336256864</v>
      </c>
      <c r="J142" s="84"/>
      <c r="K142" s="15">
        <f>Zones!C84</f>
        <v>2015</v>
      </c>
      <c r="M142" s="38">
        <f t="shared" si="2"/>
        <v>28.5481</v>
      </c>
    </row>
    <row r="143" spans="1:13" ht="12.75">
      <c r="A143" s="4" t="s">
        <v>274</v>
      </c>
      <c r="B143" s="4">
        <f>Inputs!A98</f>
        <v>74</v>
      </c>
      <c r="C143" s="1" t="str">
        <f>Inputs!B98</f>
        <v>NILEWAXX</v>
      </c>
      <c r="E143" s="84">
        <v>3</v>
      </c>
      <c r="H143" s="84"/>
      <c r="I143" s="85">
        <f>Zones!D85</f>
        <v>36.4802267761391</v>
      </c>
      <c r="J143" s="84"/>
      <c r="K143" s="15">
        <f>Zones!C85</f>
        <v>736</v>
      </c>
      <c r="M143" s="38">
        <f t="shared" si="2"/>
        <v>28.5481</v>
      </c>
    </row>
    <row r="144" spans="1:13" ht="12.75">
      <c r="A144" s="4" t="s">
        <v>274</v>
      </c>
      <c r="B144" s="4">
        <f>Inputs!A99</f>
        <v>75</v>
      </c>
      <c r="C144" s="1" t="str">
        <f>Inputs!B99</f>
        <v>PALSWAXX</v>
      </c>
      <c r="E144" s="84">
        <v>4</v>
      </c>
      <c r="H144" s="84"/>
      <c r="I144" s="85">
        <f>Zones!D86</f>
        <v>41.06031561242964</v>
      </c>
      <c r="J144" s="84"/>
      <c r="K144" s="15">
        <f>Zones!C86</f>
        <v>837</v>
      </c>
      <c r="M144" s="38">
        <f t="shared" si="2"/>
        <v>48.9896</v>
      </c>
    </row>
    <row r="145" spans="1:13" ht="12.75">
      <c r="A145" s="4" t="s">
        <v>274</v>
      </c>
      <c r="B145" s="4">
        <f>Inputs!A100</f>
        <v>76</v>
      </c>
      <c r="C145" s="1" t="str">
        <f>Inputs!B100</f>
        <v>CNCRWAXX</v>
      </c>
      <c r="E145" s="84">
        <v>4</v>
      </c>
      <c r="H145" s="84"/>
      <c r="I145" s="85">
        <f>Zones!D87</f>
        <v>42.3714320296164</v>
      </c>
      <c r="J145" s="84"/>
      <c r="K145" s="15">
        <f>Zones!C87</f>
        <v>1595</v>
      </c>
      <c r="M145" s="38">
        <f t="shared" si="2"/>
        <v>48.9896</v>
      </c>
    </row>
    <row r="146" spans="1:13" ht="12.75">
      <c r="A146" s="4" t="s">
        <v>274</v>
      </c>
      <c r="B146" s="4">
        <f>Inputs!A101</f>
        <v>77</v>
      </c>
      <c r="C146" s="1" t="str">
        <f>Inputs!B101</f>
        <v>ENTTWAXX</v>
      </c>
      <c r="E146" s="84">
        <v>4</v>
      </c>
      <c r="H146" s="84"/>
      <c r="I146" s="85">
        <f>Zones!D88</f>
        <v>42.53349260234197</v>
      </c>
      <c r="J146" s="84"/>
      <c r="K146" s="15">
        <f>Zones!C88</f>
        <v>2008</v>
      </c>
      <c r="M146" s="38">
        <f t="shared" si="2"/>
        <v>48.9896</v>
      </c>
    </row>
    <row r="147" spans="1:13" ht="12.75">
      <c r="A147" s="4" t="s">
        <v>274</v>
      </c>
      <c r="B147" s="4">
        <f>Inputs!A102</f>
        <v>78</v>
      </c>
      <c r="C147" s="1" t="str">
        <f>Inputs!B102</f>
        <v>MPFLWAXA</v>
      </c>
      <c r="E147" s="84">
        <v>4</v>
      </c>
      <c r="H147" s="84"/>
      <c r="I147" s="85">
        <f>Zones!D89</f>
        <v>43.32677409070285</v>
      </c>
      <c r="J147" s="84"/>
      <c r="K147" s="15">
        <f>Zones!C89</f>
        <v>2020</v>
      </c>
      <c r="M147" s="38">
        <f t="shared" si="2"/>
        <v>48.9896</v>
      </c>
    </row>
    <row r="148" spans="1:13" ht="12.75">
      <c r="A148" s="4" t="s">
        <v>274</v>
      </c>
      <c r="B148" s="4">
        <f>Inputs!A103</f>
        <v>79</v>
      </c>
      <c r="C148" s="1" t="str">
        <f>Inputs!B103</f>
        <v>TEKOWAXX</v>
      </c>
      <c r="E148" s="84">
        <v>4</v>
      </c>
      <c r="H148" s="84"/>
      <c r="I148" s="85">
        <f>Zones!D90</f>
        <v>44.03762451234809</v>
      </c>
      <c r="J148" s="84"/>
      <c r="K148" s="15">
        <f>Zones!C90</f>
        <v>1046</v>
      </c>
      <c r="M148" s="38">
        <f t="shared" si="2"/>
        <v>48.9896</v>
      </c>
    </row>
    <row r="149" spans="1:13" ht="12.75">
      <c r="A149" s="4">
        <f>B149</f>
        <v>80</v>
      </c>
      <c r="B149" s="4">
        <f>Inputs!A104</f>
        <v>80</v>
      </c>
      <c r="C149" s="1" t="str">
        <f>Inputs!B104</f>
        <v>RPBLWAXA</v>
      </c>
      <c r="E149" s="84">
        <v>4</v>
      </c>
      <c r="H149" s="84"/>
      <c r="I149" s="85">
        <f>Zones!D91</f>
        <v>49.75587804428364</v>
      </c>
      <c r="J149" s="84"/>
      <c r="K149" s="15">
        <f>Zones!C91</f>
        <v>2134</v>
      </c>
      <c r="M149" s="38">
        <f t="shared" si="2"/>
        <v>48.9896</v>
      </c>
    </row>
    <row r="150" spans="1:13" ht="12.75">
      <c r="A150" s="4" t="s">
        <v>274</v>
      </c>
      <c r="B150" s="4">
        <f>Inputs!A105</f>
        <v>81</v>
      </c>
      <c r="C150" s="1" t="str">
        <f>Inputs!B105</f>
        <v>STPSWAXA</v>
      </c>
      <c r="E150" s="84">
        <v>4</v>
      </c>
      <c r="H150" s="84"/>
      <c r="I150" s="85">
        <f>Zones!D92</f>
        <v>51.86840454806764</v>
      </c>
      <c r="J150" s="84"/>
      <c r="K150" s="15">
        <f>Zones!C92</f>
        <v>135</v>
      </c>
      <c r="M150" s="38">
        <f t="shared" si="2"/>
        <v>48.9896</v>
      </c>
    </row>
    <row r="151" spans="1:13" ht="12.75">
      <c r="A151" s="4" t="s">
        <v>274</v>
      </c>
      <c r="B151" s="4">
        <f>Inputs!A106</f>
        <v>82</v>
      </c>
      <c r="C151" s="1" t="str">
        <f>Inputs!B106</f>
        <v>GERGWAXX</v>
      </c>
      <c r="E151" s="84">
        <v>4</v>
      </c>
      <c r="H151" s="84"/>
      <c r="I151" s="85">
        <f>Zones!D93</f>
        <v>52.98188912162191</v>
      </c>
      <c r="J151" s="84"/>
      <c r="K151" s="15">
        <f>Zones!C93</f>
        <v>1312</v>
      </c>
      <c r="M151" s="38">
        <f t="shared" si="2"/>
        <v>48.9896</v>
      </c>
    </row>
    <row r="152" spans="1:13" ht="12.75">
      <c r="A152" s="4" t="s">
        <v>274</v>
      </c>
      <c r="B152" s="4">
        <f>Inputs!A107</f>
        <v>83</v>
      </c>
      <c r="C152" s="1" t="str">
        <f>Inputs!B107</f>
        <v>LATHWAXA</v>
      </c>
      <c r="E152" s="84">
        <v>4</v>
      </c>
      <c r="H152" s="84"/>
      <c r="I152" s="85">
        <f>Zones!D94</f>
        <v>53.77538805095688</v>
      </c>
      <c r="J152" s="84"/>
      <c r="K152" s="15">
        <f>Zones!C94</f>
        <v>183</v>
      </c>
      <c r="M152" s="38">
        <f t="shared" si="2"/>
        <v>48.9896</v>
      </c>
    </row>
    <row r="153" spans="1:13" ht="12.75">
      <c r="A153" s="4" t="s">
        <v>274</v>
      </c>
      <c r="B153" s="4">
        <f>Inputs!A108</f>
        <v>84</v>
      </c>
      <c r="C153" s="1" t="str">
        <f>Inputs!B108</f>
        <v>BRPTWAXX</v>
      </c>
      <c r="E153" s="84">
        <v>4</v>
      </c>
      <c r="H153" s="84"/>
      <c r="I153" s="85">
        <f>Zones!D95</f>
        <v>55.644866359068224</v>
      </c>
      <c r="J153" s="84"/>
      <c r="K153" s="15">
        <f>Zones!C95</f>
        <v>1417</v>
      </c>
      <c r="M153" s="38">
        <f t="shared" si="2"/>
        <v>48.9896</v>
      </c>
    </row>
    <row r="154" spans="1:13" ht="12.75">
      <c r="A154" s="4" t="s">
        <v>274</v>
      </c>
      <c r="B154" s="4">
        <f>Inputs!A109</f>
        <v>85</v>
      </c>
      <c r="C154" s="1" t="str">
        <f>Inputs!B109</f>
        <v>RCFRWAXB</v>
      </c>
      <c r="E154" s="84">
        <v>4</v>
      </c>
      <c r="H154" s="84"/>
      <c r="I154" s="85">
        <f>Zones!D96</f>
        <v>57.34483664690165</v>
      </c>
      <c r="J154" s="84"/>
      <c r="K154" s="15">
        <f>Zones!C96</f>
        <v>833</v>
      </c>
      <c r="M154" s="38">
        <f t="shared" si="2"/>
        <v>48.9896</v>
      </c>
    </row>
    <row r="155" spans="1:13" ht="12.75">
      <c r="A155" s="4" t="s">
        <v>274</v>
      </c>
      <c r="B155" s="4">
        <f>Inputs!A110</f>
        <v>86</v>
      </c>
      <c r="C155" s="1" t="str">
        <f>Inputs!B110</f>
        <v>FRFDWAXA</v>
      </c>
      <c r="E155" s="84">
        <v>4</v>
      </c>
      <c r="H155" s="84"/>
      <c r="I155" s="85">
        <f>Zones!D97</f>
        <v>60.485087023723445</v>
      </c>
      <c r="J155" s="84"/>
      <c r="K155" s="15">
        <f>Zones!C97</f>
        <v>667</v>
      </c>
      <c r="M155" s="38">
        <f t="shared" si="2"/>
        <v>48.9896</v>
      </c>
    </row>
    <row r="156" spans="1:13" ht="12.75">
      <c r="A156" s="4" t="s">
        <v>274</v>
      </c>
      <c r="B156" s="4">
        <f>Inputs!A111</f>
        <v>87</v>
      </c>
      <c r="C156" s="1" t="str">
        <f>Inputs!B111</f>
        <v>FRTNWAXX</v>
      </c>
      <c r="E156" s="84">
        <v>4</v>
      </c>
      <c r="H156" s="84"/>
      <c r="I156" s="85">
        <f>Zones!D98</f>
        <v>61.06018949196861</v>
      </c>
      <c r="J156" s="84"/>
      <c r="K156" s="15">
        <f>Zones!C98</f>
        <v>159</v>
      </c>
      <c r="M156" s="38">
        <f t="shared" si="2"/>
        <v>48.9896</v>
      </c>
    </row>
    <row r="157" spans="1:13" ht="12.75">
      <c r="A157" s="4" t="s">
        <v>274</v>
      </c>
      <c r="B157" s="4">
        <f>Inputs!A112</f>
        <v>88</v>
      </c>
      <c r="C157" s="1" t="str">
        <f>Inputs!B112</f>
        <v>GRFDWAXX</v>
      </c>
      <c r="E157" s="84">
        <v>4</v>
      </c>
      <c r="H157" s="84"/>
      <c r="I157" s="85">
        <f>Zones!D99</f>
        <v>62.32683836436474</v>
      </c>
      <c r="J157" s="84"/>
      <c r="K157" s="15">
        <f>Zones!C99</f>
        <v>503</v>
      </c>
      <c r="M157" s="38">
        <f t="shared" si="2"/>
        <v>48.9896</v>
      </c>
    </row>
    <row r="158" spans="1:13" ht="12.75">
      <c r="A158" s="4" t="s">
        <v>274</v>
      </c>
      <c r="B158" s="4">
        <f>Inputs!A113</f>
        <v>89</v>
      </c>
      <c r="C158" s="1" t="str">
        <f>Inputs!B113</f>
        <v>MRBLWAXX</v>
      </c>
      <c r="E158" s="96">
        <v>4</v>
      </c>
      <c r="H158" s="84"/>
      <c r="I158" s="85">
        <f>Zones!D100</f>
        <v>62.96199552288593</v>
      </c>
      <c r="J158" s="84"/>
      <c r="K158" s="15">
        <f>Zones!C100</f>
        <v>426</v>
      </c>
      <c r="M158" s="38">
        <f t="shared" si="2"/>
        <v>48.9896</v>
      </c>
    </row>
    <row r="159" spans="1:13" ht="12.75">
      <c r="A159" s="4">
        <f>B159</f>
        <v>90</v>
      </c>
      <c r="B159" s="4">
        <f>Inputs!A114</f>
        <v>90</v>
      </c>
      <c r="C159" s="1" t="str">
        <f>Inputs!B114</f>
        <v>MLDNWAXA</v>
      </c>
      <c r="E159" s="96">
        <v>5</v>
      </c>
      <c r="H159" s="84"/>
      <c r="I159" s="85">
        <f>Zones!D101</f>
        <v>67.45556067064011</v>
      </c>
      <c r="J159" s="84"/>
      <c r="K159" s="15">
        <f>Zones!C101</f>
        <v>207</v>
      </c>
      <c r="M159" s="38">
        <f t="shared" si="2"/>
        <v>82.8298</v>
      </c>
    </row>
    <row r="160" spans="1:13" ht="12.75">
      <c r="A160" s="4" t="s">
        <v>274</v>
      </c>
      <c r="B160" s="4">
        <f>Inputs!A115</f>
        <v>91</v>
      </c>
      <c r="C160" s="1" t="str">
        <f>Inputs!B115</f>
        <v>TNSKWAXA</v>
      </c>
      <c r="E160" s="96">
        <v>5</v>
      </c>
      <c r="H160" s="84"/>
      <c r="I160" s="85">
        <f>Zones!D102</f>
        <v>70.88175594897136</v>
      </c>
      <c r="J160" s="84"/>
      <c r="K160" s="15">
        <f>Zones!C102</f>
        <v>2824</v>
      </c>
      <c r="M160" s="38">
        <f t="shared" si="2"/>
        <v>82.8298</v>
      </c>
    </row>
    <row r="161" spans="1:13" ht="12.75">
      <c r="A161" s="4" t="s">
        <v>274</v>
      </c>
      <c r="B161" s="4">
        <f>Inputs!A116</f>
        <v>92</v>
      </c>
      <c r="C161" s="1" t="str">
        <f>Inputs!B116</f>
        <v>OKDLWAXX</v>
      </c>
      <c r="E161" s="96">
        <v>5</v>
      </c>
      <c r="H161" s="84"/>
      <c r="I161" s="85">
        <f>Zones!D103</f>
        <v>72.40068691487663</v>
      </c>
      <c r="J161" s="84"/>
      <c r="K161" s="15">
        <f>Zones!C103</f>
        <v>414</v>
      </c>
      <c r="M161" s="38">
        <f t="shared" si="2"/>
        <v>82.8298</v>
      </c>
    </row>
    <row r="162" spans="1:13" ht="12.75">
      <c r="A162" s="4" t="s">
        <v>274</v>
      </c>
      <c r="B162" s="4">
        <f>Inputs!A117</f>
        <v>93</v>
      </c>
      <c r="C162" s="1" t="str">
        <f>Inputs!B117</f>
        <v>WTVLWAXA</v>
      </c>
      <c r="E162" s="96">
        <v>5</v>
      </c>
      <c r="H162" s="84"/>
      <c r="I162" s="85">
        <f>Zones!D104</f>
        <v>80.58771668793302</v>
      </c>
      <c r="J162" s="84"/>
      <c r="K162" s="15">
        <f>Zones!C104</f>
        <v>1003</v>
      </c>
      <c r="M162" s="38">
        <f t="shared" si="2"/>
        <v>82.8298</v>
      </c>
    </row>
    <row r="163" spans="1:13" ht="12.75">
      <c r="A163" s="4" t="s">
        <v>274</v>
      </c>
      <c r="B163" s="4">
        <f>Inputs!A118</f>
        <v>94</v>
      </c>
      <c r="C163" s="1" t="str">
        <f>Inputs!B118</f>
        <v>ROSLWAXA</v>
      </c>
      <c r="E163" s="96">
        <v>5</v>
      </c>
      <c r="H163" s="84"/>
      <c r="I163" s="85">
        <f>Zones!D105</f>
        <v>84.25178197005928</v>
      </c>
      <c r="J163" s="84"/>
      <c r="K163" s="15">
        <f>Zones!C105</f>
        <v>682</v>
      </c>
      <c r="M163" s="38">
        <f t="shared" si="2"/>
        <v>82.8298</v>
      </c>
    </row>
    <row r="164" spans="1:13" ht="12.75">
      <c r="A164" s="4" t="s">
        <v>274</v>
      </c>
      <c r="B164" s="4">
        <f>Inputs!A119</f>
        <v>95</v>
      </c>
      <c r="C164" s="1" t="str">
        <f>Inputs!B119</f>
        <v>CRLWWAXA</v>
      </c>
      <c r="E164" s="96">
        <v>5</v>
      </c>
      <c r="H164" s="84"/>
      <c r="I164" s="85">
        <f>Zones!D106</f>
        <v>85.78152280687875</v>
      </c>
      <c r="J164" s="84"/>
      <c r="K164" s="15">
        <f>Zones!C106</f>
        <v>837</v>
      </c>
      <c r="M164" s="38">
        <f t="shared" si="2"/>
        <v>82.8298</v>
      </c>
    </row>
    <row r="165" spans="1:13" ht="12.75">
      <c r="A165" s="4" t="s">
        <v>274</v>
      </c>
      <c r="B165" s="4">
        <f>Inputs!A120</f>
        <v>96</v>
      </c>
      <c r="C165" s="1" t="str">
        <f>Inputs!B120</f>
        <v>LOMSWAXA</v>
      </c>
      <c r="E165" s="96">
        <v>5</v>
      </c>
      <c r="H165" s="84"/>
      <c r="I165" s="85">
        <f>Zones!D107</f>
        <v>90.12480007461528</v>
      </c>
      <c r="J165" s="84"/>
      <c r="K165" s="15">
        <f>Zones!C107</f>
        <v>308</v>
      </c>
      <c r="M165" s="38">
        <f t="shared" si="2"/>
        <v>82.8298</v>
      </c>
    </row>
    <row r="166" spans="1:13" ht="12.75">
      <c r="A166" s="4" t="s">
        <v>274</v>
      </c>
      <c r="B166" s="4">
        <f>Inputs!A121</f>
        <v>97</v>
      </c>
      <c r="C166" s="1" t="str">
        <f>Inputs!B121</f>
        <v>MNFDWAXX</v>
      </c>
      <c r="E166" s="96">
        <v>5</v>
      </c>
      <c r="H166" s="84"/>
      <c r="I166" s="85">
        <f>Zones!D108</f>
        <v>101.76710973907848</v>
      </c>
      <c r="J166" s="84"/>
      <c r="K166" s="15">
        <f>Zones!C108</f>
        <v>355</v>
      </c>
      <c r="M166" s="38">
        <f t="shared" si="2"/>
        <v>82.8298</v>
      </c>
    </row>
    <row r="167" spans="1:13" ht="12.75">
      <c r="A167" s="4" t="s">
        <v>274</v>
      </c>
      <c r="B167" s="4">
        <f>Inputs!A122</f>
        <v>98</v>
      </c>
      <c r="C167" s="1" t="str">
        <f>Inputs!B122</f>
        <v>THTNWAXA</v>
      </c>
      <c r="E167" s="96">
        <v>5</v>
      </c>
      <c r="H167" s="84"/>
      <c r="I167" s="85">
        <f>Zones!D109</f>
        <v>136.60479724165774</v>
      </c>
      <c r="J167" s="84"/>
      <c r="K167" s="15">
        <f>Zones!C109</f>
        <v>116</v>
      </c>
      <c r="M167" s="38">
        <f t="shared" si="2"/>
        <v>82.8298</v>
      </c>
    </row>
    <row r="168" spans="1:13" ht="12.75">
      <c r="A168" s="4" t="s">
        <v>274</v>
      </c>
      <c r="B168" s="4">
        <f>Inputs!A123</f>
        <v>99</v>
      </c>
      <c r="C168" s="1" t="str">
        <f>Inputs!B123</f>
        <v>MLSNWAXA</v>
      </c>
      <c r="E168" s="96">
        <v>5</v>
      </c>
      <c r="H168" s="84"/>
      <c r="I168" s="85">
        <f>Zones!D110</f>
        <v>142.5467755126442</v>
      </c>
      <c r="J168" s="84"/>
      <c r="K168" s="15">
        <f>Zones!C110</f>
        <v>416</v>
      </c>
      <c r="M168" s="38">
        <f t="shared" si="2"/>
        <v>82.8298</v>
      </c>
    </row>
    <row r="169" spans="5:10" ht="12.75">
      <c r="E169" s="84"/>
      <c r="G169" s="84"/>
      <c r="H169" s="84"/>
      <c r="I169" s="84"/>
      <c r="J169" s="84"/>
    </row>
    <row r="170" spans="5:10" ht="12.75">
      <c r="E170" s="84"/>
      <c r="G170" s="84"/>
      <c r="H170" s="84"/>
      <c r="I170" s="84"/>
      <c r="J170" s="84"/>
    </row>
    <row r="171" spans="5:10" ht="12.75">
      <c r="E171" s="84"/>
      <c r="G171" s="84"/>
      <c r="H171" s="84"/>
      <c r="I171" s="84"/>
      <c r="J171" s="84"/>
    </row>
    <row r="172" spans="5:10" ht="12.75">
      <c r="E172" s="84"/>
      <c r="G172" s="84"/>
      <c r="H172" s="84"/>
      <c r="I172" s="84"/>
      <c r="J172" s="84"/>
    </row>
    <row r="173" spans="5:10" ht="12.75">
      <c r="E173" s="84"/>
      <c r="G173" s="84"/>
      <c r="H173" s="84"/>
      <c r="I173" s="84"/>
      <c r="J173" s="84"/>
    </row>
    <row r="174" spans="5:10" ht="12.75">
      <c r="E174" s="84"/>
      <c r="G174" s="84"/>
      <c r="H174" s="84"/>
      <c r="I174" s="84"/>
      <c r="J174" s="84"/>
    </row>
    <row r="175" spans="5:10" ht="12.75">
      <c r="E175" s="84"/>
      <c r="G175" s="84"/>
      <c r="H175" s="84"/>
      <c r="I175" s="84"/>
      <c r="J175" s="84"/>
    </row>
    <row r="176" spans="5:10" ht="12.75">
      <c r="E176" s="84"/>
      <c r="G176" s="84"/>
      <c r="H176" s="84"/>
      <c r="I176" s="84"/>
      <c r="J176" s="84"/>
    </row>
    <row r="177" spans="5:10" ht="12.75">
      <c r="E177" s="84"/>
      <c r="G177" s="84"/>
      <c r="H177" s="84"/>
      <c r="I177" s="84"/>
      <c r="J177" s="84"/>
    </row>
    <row r="178" spans="5:10" ht="12.75">
      <c r="E178" s="84"/>
      <c r="G178" s="84"/>
      <c r="H178" s="84"/>
      <c r="I178" s="84"/>
      <c r="J178" s="84"/>
    </row>
    <row r="179" spans="5:10" ht="12.75">
      <c r="E179" s="84"/>
      <c r="G179" s="84"/>
      <c r="H179" s="84"/>
      <c r="I179" s="84"/>
      <c r="J179" s="84"/>
    </row>
    <row r="180" spans="5:10" ht="12.75">
      <c r="E180" s="84"/>
      <c r="G180" s="84"/>
      <c r="H180" s="84"/>
      <c r="I180" s="84"/>
      <c r="J180" s="84"/>
    </row>
    <row r="181" ht="12.75">
      <c r="E181" s="84"/>
    </row>
    <row r="182" ht="12.75">
      <c r="E182" s="84"/>
    </row>
    <row r="183" ht="12.75">
      <c r="E183" s="84"/>
    </row>
    <row r="184" ht="12.75">
      <c r="E184" s="84"/>
    </row>
    <row r="185" ht="12.75">
      <c r="E185" s="84"/>
    </row>
    <row r="186" ht="12.75">
      <c r="E186" s="84"/>
    </row>
    <row r="187" ht="12.75">
      <c r="E187" s="84"/>
    </row>
    <row r="188" ht="12.75">
      <c r="E188" s="84"/>
    </row>
    <row r="189" ht="12.75">
      <c r="E189" s="84"/>
    </row>
    <row r="190" ht="12.75">
      <c r="E190" s="84"/>
    </row>
    <row r="191" ht="12.75">
      <c r="E191" s="84"/>
    </row>
    <row r="192" ht="12.75">
      <c r="E192" s="84"/>
    </row>
    <row r="193" ht="12.75">
      <c r="E193" s="84"/>
    </row>
    <row r="194" ht="12.75">
      <c r="E194" s="84"/>
    </row>
    <row r="195" ht="12.75">
      <c r="E195" s="84"/>
    </row>
    <row r="196" ht="12.75">
      <c r="E196" s="84"/>
    </row>
    <row r="197" ht="12.75">
      <c r="E197" s="84"/>
    </row>
    <row r="198" ht="12.75">
      <c r="E198" s="84"/>
    </row>
    <row r="199" ht="12.75">
      <c r="E199" s="84"/>
    </row>
    <row r="200" ht="12.75">
      <c r="E200" s="84"/>
    </row>
    <row r="201" ht="12.75">
      <c r="E201" s="84"/>
    </row>
    <row r="202" ht="12.75">
      <c r="E202" s="84"/>
    </row>
    <row r="203" ht="12.75">
      <c r="E203" s="84"/>
    </row>
    <row r="204" ht="12.75">
      <c r="E204" s="84"/>
    </row>
    <row r="205" spans="4:5" ht="12.75">
      <c r="D205" s="84"/>
      <c r="E205" s="84"/>
    </row>
    <row r="206" spans="4:5" ht="12.75">
      <c r="D206" s="84"/>
      <c r="E206" s="84"/>
    </row>
    <row r="207" spans="4:5" ht="12.75">
      <c r="D207" s="84"/>
      <c r="E207" s="84"/>
    </row>
    <row r="208" spans="4:5" ht="12.75">
      <c r="D208" s="84"/>
      <c r="E208" s="84"/>
    </row>
    <row r="209" spans="4:5" ht="12.75">
      <c r="D209" s="84"/>
      <c r="E209" s="84"/>
    </row>
    <row r="210" spans="4:5" ht="12.75">
      <c r="D210" s="84"/>
      <c r="E210" s="84"/>
    </row>
    <row r="211" spans="4:5" ht="12.75">
      <c r="D211" s="84"/>
      <c r="E211" s="84"/>
    </row>
    <row r="212" spans="4:5" ht="12.75">
      <c r="D212" s="84"/>
      <c r="E212" s="84"/>
    </row>
    <row r="213" spans="4:5" ht="12.75">
      <c r="D213" s="84"/>
      <c r="E213" s="84"/>
    </row>
    <row r="214" spans="4:5" ht="12.75">
      <c r="D214" s="84"/>
      <c r="E214" s="84"/>
    </row>
    <row r="215" spans="4:5" ht="12.75">
      <c r="D215" s="84"/>
      <c r="E215" s="84"/>
    </row>
    <row r="216" spans="4:5" ht="12.75">
      <c r="D216" s="84"/>
      <c r="E216" s="84"/>
    </row>
    <row r="217" spans="4:5" ht="12.75">
      <c r="D217" s="84"/>
      <c r="E217" s="84"/>
    </row>
    <row r="218" spans="4:5" ht="12.75">
      <c r="D218" s="84"/>
      <c r="E218" s="84"/>
    </row>
    <row r="219" spans="4:5" ht="12.75">
      <c r="D219" s="84"/>
      <c r="E219" s="84"/>
    </row>
    <row r="220" spans="4:5" ht="12.75">
      <c r="D220" s="84"/>
      <c r="E220" s="84"/>
    </row>
    <row r="221" spans="4:5" ht="12.75">
      <c r="D221" s="84"/>
      <c r="E221" s="84"/>
    </row>
    <row r="222" spans="4:5" ht="12.75">
      <c r="D222" s="84"/>
      <c r="E222" s="84"/>
    </row>
    <row r="223" spans="4:5" ht="12.75">
      <c r="D223" s="84"/>
      <c r="E223" s="84"/>
    </row>
    <row r="224" spans="4:5" ht="12.75">
      <c r="D224" s="84"/>
      <c r="E224" s="84"/>
    </row>
    <row r="225" spans="4:5" ht="12.75">
      <c r="D225" s="84"/>
      <c r="E225" s="84"/>
    </row>
    <row r="226" spans="4:5" ht="12.75">
      <c r="D226" s="84"/>
      <c r="E226" s="84"/>
    </row>
    <row r="227" spans="4:5" ht="12.75">
      <c r="D227" s="84"/>
      <c r="E227" s="84"/>
    </row>
    <row r="228" spans="4:5" ht="12.75">
      <c r="D228" s="84"/>
      <c r="E228" s="84"/>
    </row>
    <row r="229" spans="4:5" ht="12.75">
      <c r="D229" s="84"/>
      <c r="E229" s="84"/>
    </row>
    <row r="230" spans="4:5" ht="12.75">
      <c r="D230" s="84"/>
      <c r="E230" s="84"/>
    </row>
    <row r="231" spans="4:5" ht="12.75">
      <c r="D231" s="84"/>
      <c r="E231" s="84"/>
    </row>
    <row r="232" spans="4:5" ht="12.75">
      <c r="D232" s="84"/>
      <c r="E232" s="84"/>
    </row>
    <row r="233" spans="4:5" ht="12.75">
      <c r="D233" s="84"/>
      <c r="E233" s="84"/>
    </row>
    <row r="234" spans="4:5" ht="12.75">
      <c r="D234" s="84"/>
      <c r="E234" s="84"/>
    </row>
    <row r="235" spans="4:5" ht="12.75">
      <c r="D235" s="84"/>
      <c r="E235" s="84"/>
    </row>
    <row r="236" spans="4:5" ht="12.75">
      <c r="D236" s="84"/>
      <c r="E236" s="84"/>
    </row>
    <row r="237" spans="4:5" ht="12.75">
      <c r="D237" s="84"/>
      <c r="E237" s="84"/>
    </row>
    <row r="238" spans="4:5" ht="12.75">
      <c r="D238" s="84"/>
      <c r="E238" s="84"/>
    </row>
    <row r="239" spans="4:5" ht="12.75">
      <c r="D239" s="84"/>
      <c r="E239" s="84"/>
    </row>
    <row r="240" spans="4:5" ht="12.75">
      <c r="D240" s="84"/>
      <c r="E240" s="84"/>
    </row>
    <row r="241" spans="4:5" ht="12.75">
      <c r="D241" s="84"/>
      <c r="E241" s="84"/>
    </row>
    <row r="242" spans="4:5" ht="12.75">
      <c r="D242" s="84"/>
      <c r="E242" s="84"/>
    </row>
    <row r="243" spans="4:5" ht="12.75">
      <c r="D243" s="84"/>
      <c r="E243" s="84"/>
    </row>
    <row r="244" spans="4:5" ht="12.75">
      <c r="D244" s="84"/>
      <c r="E244" s="84"/>
    </row>
    <row r="245" spans="4:5" ht="12.75">
      <c r="D245" s="84"/>
      <c r="E245" s="84"/>
    </row>
    <row r="246" spans="4:5" ht="12.75">
      <c r="D246" s="84"/>
      <c r="E246" s="84"/>
    </row>
    <row r="247" spans="4:5" ht="12.75">
      <c r="D247" s="84"/>
      <c r="E247" s="84"/>
    </row>
    <row r="248" spans="4:5" ht="12.75">
      <c r="D248" s="84"/>
      <c r="E248" s="84"/>
    </row>
    <row r="249" spans="4:5" ht="12.75">
      <c r="D249" s="84"/>
      <c r="E249" s="84"/>
    </row>
    <row r="250" spans="4:5" ht="12.75">
      <c r="D250" s="84"/>
      <c r="E250" s="84"/>
    </row>
    <row r="251" spans="4:5" ht="12.75">
      <c r="D251" s="84"/>
      <c r="E251" s="84"/>
    </row>
    <row r="252" spans="4:5" ht="12.75">
      <c r="D252" s="84"/>
      <c r="E252" s="84"/>
    </row>
    <row r="253" spans="4:5" ht="12.75">
      <c r="D253" s="84"/>
      <c r="E253" s="84"/>
    </row>
    <row r="254" spans="4:5" ht="12.75">
      <c r="D254" s="84"/>
      <c r="E254" s="84"/>
    </row>
    <row r="255" spans="4:5" ht="12.75">
      <c r="D255" s="84"/>
      <c r="E255" s="84"/>
    </row>
    <row r="256" spans="4:5" ht="12.75">
      <c r="D256" s="84"/>
      <c r="E256" s="84"/>
    </row>
    <row r="257" spans="4:5" ht="12.75">
      <c r="D257" s="84"/>
      <c r="E257" s="84"/>
    </row>
    <row r="258" spans="4:5" ht="12.75">
      <c r="D258" s="84"/>
      <c r="E258" s="84"/>
    </row>
    <row r="259" spans="4:5" ht="12.75">
      <c r="D259" s="84"/>
      <c r="E259" s="84"/>
    </row>
    <row r="260" spans="4:5" ht="12.75">
      <c r="D260" s="84"/>
      <c r="E260" s="84"/>
    </row>
    <row r="261" spans="4:5" ht="12.75">
      <c r="D261" s="84"/>
      <c r="E261" s="84"/>
    </row>
    <row r="262" spans="4:5" ht="12.75">
      <c r="D262" s="84"/>
      <c r="E262" s="84"/>
    </row>
    <row r="263" spans="4:5" ht="12.75">
      <c r="D263" s="84"/>
      <c r="E263" s="84"/>
    </row>
    <row r="264" spans="4:5" ht="12.75">
      <c r="D264" s="84"/>
      <c r="E264" s="84"/>
    </row>
    <row r="265" spans="4:5" ht="12.75">
      <c r="D265" s="84"/>
      <c r="E265" s="84"/>
    </row>
    <row r="266" spans="4:5" ht="12.75">
      <c r="D266" s="84"/>
      <c r="E266" s="84"/>
    </row>
    <row r="267" spans="4:5" ht="12.75">
      <c r="D267" s="84"/>
      <c r="E267" s="84"/>
    </row>
    <row r="268" spans="4:5" ht="12.75">
      <c r="D268" s="84"/>
      <c r="E268" s="84"/>
    </row>
    <row r="269" spans="4:5" ht="12.75">
      <c r="D269" s="84"/>
      <c r="E269" s="84"/>
    </row>
    <row r="270" spans="4:5" ht="12.75">
      <c r="D270" s="84"/>
      <c r="E270" s="84"/>
    </row>
    <row r="271" spans="4:5" ht="12.75">
      <c r="D271" s="84"/>
      <c r="E271" s="84"/>
    </row>
    <row r="272" spans="4:5" ht="12.75">
      <c r="D272" s="84"/>
      <c r="E272" s="84"/>
    </row>
    <row r="273" spans="4:5" ht="12.75">
      <c r="D273" s="84"/>
      <c r="E273" s="84"/>
    </row>
    <row r="274" spans="4:5" ht="12.75">
      <c r="D274" s="84"/>
      <c r="E274" s="84"/>
    </row>
    <row r="275" spans="4:5" ht="12.75">
      <c r="D275" s="84"/>
      <c r="E275" s="84"/>
    </row>
    <row r="276" spans="4:5" ht="12.75">
      <c r="D276" s="84"/>
      <c r="E276" s="84"/>
    </row>
    <row r="277" spans="4:5" ht="12.75">
      <c r="D277" s="84"/>
      <c r="E277" s="84"/>
    </row>
    <row r="278" spans="4:5" ht="12.75">
      <c r="D278" s="84"/>
      <c r="E278" s="84"/>
    </row>
    <row r="279" spans="4:5" ht="12.75">
      <c r="D279" s="84"/>
      <c r="E279" s="84"/>
    </row>
    <row r="280" spans="4:5" ht="12.75">
      <c r="D280" s="84"/>
      <c r="E280" s="84"/>
    </row>
    <row r="281" spans="4:5" ht="12.75">
      <c r="D281" s="84"/>
      <c r="E281" s="84"/>
    </row>
    <row r="282" spans="4:5" ht="12.75">
      <c r="D282" s="84"/>
      <c r="E282" s="84"/>
    </row>
    <row r="283" spans="4:5" ht="12.75">
      <c r="D283" s="84"/>
      <c r="E283" s="84"/>
    </row>
    <row r="284" spans="4:5" ht="12.75">
      <c r="D284" s="84"/>
      <c r="E284" s="84"/>
    </row>
    <row r="285" spans="4:5" ht="12.75">
      <c r="D285" s="84"/>
      <c r="E285" s="84"/>
    </row>
    <row r="286" spans="4:5" ht="12.75">
      <c r="D286" s="84"/>
      <c r="E286" s="84"/>
    </row>
    <row r="287" spans="4:5" ht="12.75">
      <c r="D287" s="84"/>
      <c r="E287" s="84"/>
    </row>
    <row r="288" spans="4:5" ht="12.75">
      <c r="D288" s="84"/>
      <c r="E288" s="84"/>
    </row>
    <row r="289" spans="4:5" ht="12.75">
      <c r="D289" s="84"/>
      <c r="E289" s="84"/>
    </row>
    <row r="290" spans="4:5" ht="12.75">
      <c r="D290" s="84"/>
      <c r="E290" s="84"/>
    </row>
    <row r="291" spans="4:5" ht="12.75">
      <c r="D291" s="84"/>
      <c r="E291" s="84"/>
    </row>
    <row r="292" spans="4:5" ht="12.75">
      <c r="D292" s="84"/>
      <c r="E292" s="84"/>
    </row>
    <row r="293" spans="4:5" ht="12.75">
      <c r="D293" s="84"/>
      <c r="E293" s="84"/>
    </row>
    <row r="294" spans="4:5" ht="12.75">
      <c r="D294" s="84"/>
      <c r="E294" s="84"/>
    </row>
    <row r="295" spans="4:5" ht="12.75">
      <c r="D295" s="84"/>
      <c r="E295" s="84"/>
    </row>
    <row r="296" spans="4:5" ht="12.75">
      <c r="D296" s="84"/>
      <c r="E296" s="84"/>
    </row>
    <row r="297" spans="4:5" ht="12.75">
      <c r="D297" s="84"/>
      <c r="E297" s="84"/>
    </row>
    <row r="298" spans="4:5" ht="12.75">
      <c r="D298" s="84"/>
      <c r="E298" s="84"/>
    </row>
    <row r="299" spans="4:5" ht="12.75">
      <c r="D299" s="84"/>
      <c r="E299" s="84"/>
    </row>
    <row r="300" spans="4:5" ht="12.75">
      <c r="D300" s="84"/>
      <c r="E300" s="84"/>
    </row>
    <row r="301" spans="4:5" ht="12.75">
      <c r="D301" s="84"/>
      <c r="E301" s="84"/>
    </row>
    <row r="302" spans="4:5" ht="12.75">
      <c r="D302" s="84"/>
      <c r="E302" s="84"/>
    </row>
    <row r="303" spans="4:5" ht="12.75">
      <c r="D303" s="84"/>
      <c r="E303" s="84"/>
    </row>
    <row r="304" spans="4:5" ht="12.75">
      <c r="D304" s="84"/>
      <c r="E304" s="84"/>
    </row>
    <row r="305" spans="4:5" ht="12.75">
      <c r="D305" s="84"/>
      <c r="E305" s="84"/>
    </row>
    <row r="306" spans="4:5" ht="12.75">
      <c r="D306" s="84"/>
      <c r="E306" s="84"/>
    </row>
    <row r="307" spans="4:5" ht="12.75">
      <c r="D307" s="84"/>
      <c r="E307" s="84"/>
    </row>
    <row r="308" spans="4:5" ht="12.75">
      <c r="D308" s="84"/>
      <c r="E308" s="84"/>
    </row>
    <row r="309" spans="4:5" ht="12.75">
      <c r="D309" s="84"/>
      <c r="E309" s="84"/>
    </row>
    <row r="310" spans="4:5" ht="12.75">
      <c r="D310" s="84"/>
      <c r="E310" s="84"/>
    </row>
    <row r="311" spans="4:5" ht="12.75">
      <c r="D311" s="84"/>
      <c r="E311" s="84"/>
    </row>
    <row r="312" spans="4:5" ht="12.75">
      <c r="D312" s="84"/>
      <c r="E312" s="84"/>
    </row>
    <row r="313" spans="4:5" ht="12.75">
      <c r="D313" s="84"/>
      <c r="E313" s="84"/>
    </row>
    <row r="314" spans="4:5" ht="12.75">
      <c r="D314" s="84"/>
      <c r="E314" s="84"/>
    </row>
    <row r="315" spans="4:5" ht="12.75">
      <c r="D315" s="84"/>
      <c r="E315" s="84"/>
    </row>
    <row r="316" spans="4:5" ht="12.75">
      <c r="D316" s="84"/>
      <c r="E316" s="84"/>
    </row>
    <row r="317" spans="4:5" ht="12.75">
      <c r="D317" s="84"/>
      <c r="E317" s="84"/>
    </row>
    <row r="318" spans="4:5" ht="12.75">
      <c r="D318" s="84"/>
      <c r="E318" s="84"/>
    </row>
    <row r="319" spans="4:5" ht="12.75">
      <c r="D319" s="84"/>
      <c r="E319" s="84"/>
    </row>
    <row r="320" spans="4:5" ht="12.75">
      <c r="D320" s="84"/>
      <c r="E320" s="84"/>
    </row>
    <row r="321" spans="4:5" ht="12.75">
      <c r="D321" s="84"/>
      <c r="E321" s="84"/>
    </row>
    <row r="322" spans="4:5" ht="12.75">
      <c r="D322" s="84"/>
      <c r="E322" s="84"/>
    </row>
    <row r="323" spans="4:5" ht="12.75">
      <c r="D323" s="84"/>
      <c r="E323" s="84"/>
    </row>
    <row r="324" spans="4:5" ht="12.75">
      <c r="D324" s="84"/>
      <c r="E324" s="84"/>
    </row>
    <row r="325" spans="4:5" ht="12.75">
      <c r="D325" s="84"/>
      <c r="E325" s="84"/>
    </row>
    <row r="326" spans="4:5" ht="12.75">
      <c r="D326" s="84"/>
      <c r="E326" s="84"/>
    </row>
    <row r="327" spans="4:5" ht="12.75">
      <c r="D327" s="84"/>
      <c r="E327" s="84"/>
    </row>
    <row r="328" spans="4:5" ht="12.75">
      <c r="D328" s="84"/>
      <c r="E328" s="84"/>
    </row>
    <row r="329" spans="4:5" ht="12.75">
      <c r="D329" s="84"/>
      <c r="E329" s="84"/>
    </row>
    <row r="330" spans="4:5" ht="12.75">
      <c r="D330" s="84"/>
      <c r="E330" s="84"/>
    </row>
    <row r="331" spans="4:5" ht="12.75">
      <c r="D331" s="84"/>
      <c r="E331" s="84"/>
    </row>
    <row r="332" spans="4:5" ht="12.75">
      <c r="D332" s="84"/>
      <c r="E332" s="84"/>
    </row>
    <row r="333" spans="4:5" ht="12.75">
      <c r="D333" s="84"/>
      <c r="E333" s="84"/>
    </row>
    <row r="334" spans="4:5" ht="12.75">
      <c r="D334" s="84"/>
      <c r="E334" s="84"/>
    </row>
    <row r="335" spans="4:5" ht="12.75">
      <c r="D335" s="84"/>
      <c r="E335" s="84"/>
    </row>
    <row r="336" spans="4:5" ht="12.75">
      <c r="D336" s="84"/>
      <c r="E336" s="84"/>
    </row>
    <row r="337" spans="4:5" ht="12.75">
      <c r="D337" s="84"/>
      <c r="E337" s="84"/>
    </row>
    <row r="338" spans="4:5" ht="12.75">
      <c r="D338" s="84"/>
      <c r="E338" s="84"/>
    </row>
    <row r="339" spans="4:5" ht="12.75">
      <c r="D339" s="84"/>
      <c r="E339" s="84"/>
    </row>
    <row r="340" spans="4:5" ht="12.75">
      <c r="D340" s="84"/>
      <c r="E340" s="84"/>
    </row>
    <row r="341" spans="4:5" ht="12.75">
      <c r="D341" s="84"/>
      <c r="E341" s="84"/>
    </row>
    <row r="342" spans="4:5" ht="12.75">
      <c r="D342" s="84"/>
      <c r="E342" s="84"/>
    </row>
    <row r="343" spans="4:5" ht="12.75">
      <c r="D343" s="84"/>
      <c r="E343" s="84"/>
    </row>
    <row r="344" spans="4:5" ht="12.75">
      <c r="D344" s="84"/>
      <c r="E344" s="84"/>
    </row>
    <row r="345" spans="4:5" ht="12.75">
      <c r="D345" s="84"/>
      <c r="E345" s="84"/>
    </row>
    <row r="346" spans="4:5" ht="12.75">
      <c r="D346" s="84"/>
      <c r="E346" s="84"/>
    </row>
    <row r="347" spans="4:5" ht="12.75">
      <c r="D347" s="84"/>
      <c r="E347" s="84"/>
    </row>
    <row r="348" spans="4:5" ht="12.75">
      <c r="D348" s="84"/>
      <c r="E348" s="84"/>
    </row>
    <row r="349" spans="4:5" ht="12.75">
      <c r="D349" s="84"/>
      <c r="E349" s="84"/>
    </row>
    <row r="350" spans="4:5" ht="12.75">
      <c r="D350" s="84"/>
      <c r="E350" s="84"/>
    </row>
    <row r="351" spans="4:5" ht="12.75">
      <c r="D351" s="84"/>
      <c r="E351" s="84"/>
    </row>
    <row r="352" spans="4:5" ht="12.75">
      <c r="D352" s="84"/>
      <c r="E352" s="84"/>
    </row>
    <row r="353" spans="4:5" ht="12.75">
      <c r="D353" s="84"/>
      <c r="E353" s="84"/>
    </row>
    <row r="354" spans="4:5" ht="12.75">
      <c r="D354" s="84"/>
      <c r="E354" s="84"/>
    </row>
    <row r="355" spans="4:5" ht="12.75">
      <c r="D355" s="84"/>
      <c r="E355" s="84"/>
    </row>
    <row r="356" spans="4:5" ht="12.75">
      <c r="D356" s="84"/>
      <c r="E356" s="84"/>
    </row>
    <row r="357" spans="4:5" ht="12.75">
      <c r="D357" s="84"/>
      <c r="E357" s="84"/>
    </row>
    <row r="358" spans="4:5" ht="12.75">
      <c r="D358" s="84"/>
      <c r="E358" s="84"/>
    </row>
    <row r="359" spans="4:5" ht="12.75">
      <c r="D359" s="84"/>
      <c r="E359" s="84"/>
    </row>
    <row r="360" spans="4:5" ht="12.75">
      <c r="D360" s="84"/>
      <c r="E360" s="84"/>
    </row>
    <row r="361" spans="4:5" ht="12.75">
      <c r="D361" s="84"/>
      <c r="E361" s="84"/>
    </row>
    <row r="362" spans="4:5" ht="12.75">
      <c r="D362" s="84"/>
      <c r="E362" s="84"/>
    </row>
    <row r="363" spans="4:5" ht="12.75">
      <c r="D363" s="84"/>
      <c r="E363" s="84"/>
    </row>
    <row r="364" spans="4:5" ht="12.75">
      <c r="D364" s="84"/>
      <c r="E364" s="84"/>
    </row>
    <row r="365" spans="4:5" ht="12.75">
      <c r="D365" s="84"/>
      <c r="E365" s="84"/>
    </row>
    <row r="366" spans="4:5" ht="12.75">
      <c r="D366" s="84"/>
      <c r="E366" s="84"/>
    </row>
    <row r="367" spans="4:5" ht="12.75">
      <c r="D367" s="84"/>
      <c r="E367" s="84"/>
    </row>
    <row r="368" spans="4:5" ht="12.75">
      <c r="D368" s="84"/>
      <c r="E368" s="84"/>
    </row>
    <row r="369" spans="4:5" ht="12.75">
      <c r="D369" s="84"/>
      <c r="E369" s="84"/>
    </row>
    <row r="370" spans="4:5" ht="12.75">
      <c r="D370" s="84"/>
      <c r="E370" s="84"/>
    </row>
    <row r="371" spans="4:5" ht="12.75">
      <c r="D371" s="84"/>
      <c r="E371" s="84"/>
    </row>
    <row r="372" spans="4:5" ht="12.75">
      <c r="D372" s="84"/>
      <c r="E372" s="84"/>
    </row>
    <row r="373" spans="4:5" ht="12.75">
      <c r="D373" s="84"/>
      <c r="E373" s="84"/>
    </row>
    <row r="374" spans="4:5" ht="12.75">
      <c r="D374" s="84"/>
      <c r="E374" s="84"/>
    </row>
    <row r="375" spans="4:5" ht="12.75">
      <c r="D375" s="84"/>
      <c r="E375" s="84"/>
    </row>
    <row r="376" spans="4:5" ht="12.75">
      <c r="D376" s="84"/>
      <c r="E376" s="84"/>
    </row>
    <row r="377" spans="4:5" ht="12.75">
      <c r="D377" s="84"/>
      <c r="E377" s="84"/>
    </row>
    <row r="378" spans="4:5" ht="12.75">
      <c r="D378" s="84"/>
      <c r="E378" s="84"/>
    </row>
    <row r="379" spans="4:5" ht="12.75">
      <c r="D379" s="84"/>
      <c r="E379" s="84"/>
    </row>
    <row r="380" spans="4:5" ht="12.75">
      <c r="D380" s="84"/>
      <c r="E380" s="84"/>
    </row>
    <row r="381" spans="4:5" ht="12.75">
      <c r="D381" s="84"/>
      <c r="E381" s="84"/>
    </row>
    <row r="382" spans="4:5" ht="12.75">
      <c r="D382" s="84"/>
      <c r="E382" s="84"/>
    </row>
    <row r="383" spans="4:5" ht="12.75">
      <c r="D383" s="84"/>
      <c r="E383" s="84"/>
    </row>
    <row r="384" spans="4:5" ht="12.75">
      <c r="D384" s="84"/>
      <c r="E384" s="84"/>
    </row>
    <row r="385" spans="4:5" ht="12.75">
      <c r="D385" s="84"/>
      <c r="E385" s="84"/>
    </row>
    <row r="386" spans="4:5" ht="12.75">
      <c r="D386" s="84"/>
      <c r="E386" s="84"/>
    </row>
    <row r="387" spans="4:5" ht="12.75">
      <c r="D387" s="84"/>
      <c r="E387" s="84"/>
    </row>
    <row r="388" spans="4:5" ht="12.75">
      <c r="D388" s="84"/>
      <c r="E388" s="84"/>
    </row>
    <row r="389" spans="4:5" ht="12.75">
      <c r="D389" s="84"/>
      <c r="E389" s="84"/>
    </row>
    <row r="390" spans="4:5" ht="12.75">
      <c r="D390" s="84"/>
      <c r="E390" s="84"/>
    </row>
    <row r="391" spans="4:5" ht="12.75">
      <c r="D391" s="84"/>
      <c r="E391" s="84"/>
    </row>
    <row r="392" spans="4:5" ht="12.75">
      <c r="D392" s="84"/>
      <c r="E392" s="84"/>
    </row>
    <row r="393" spans="4:5" ht="12.75">
      <c r="D393" s="84"/>
      <c r="E393" s="84"/>
    </row>
    <row r="394" spans="4:5" ht="12.75">
      <c r="D394" s="84"/>
      <c r="E394" s="84"/>
    </row>
    <row r="395" spans="4:5" ht="12.75">
      <c r="D395" s="84"/>
      <c r="E395" s="84"/>
    </row>
    <row r="396" spans="4:5" ht="12.75">
      <c r="D396" s="84"/>
      <c r="E396" s="84"/>
    </row>
    <row r="397" spans="4:5" ht="12.75">
      <c r="D397" s="84"/>
      <c r="E397" s="84"/>
    </row>
    <row r="398" spans="4:5" ht="12.75">
      <c r="D398" s="84"/>
      <c r="E398" s="84"/>
    </row>
    <row r="399" spans="4:5" ht="12.75">
      <c r="D399" s="84"/>
      <c r="E399" s="84"/>
    </row>
    <row r="400" spans="4:5" ht="12.75">
      <c r="D400" s="84"/>
      <c r="E400" s="84"/>
    </row>
    <row r="401" spans="4:5" ht="12.75">
      <c r="D401" s="84"/>
      <c r="E401" s="84"/>
    </row>
    <row r="402" spans="4:5" ht="12.75">
      <c r="D402" s="84"/>
      <c r="E402" s="84"/>
    </row>
    <row r="403" spans="4:5" ht="12.75">
      <c r="D403" s="84"/>
      <c r="E403" s="84"/>
    </row>
    <row r="404" spans="4:5" ht="12.75">
      <c r="D404" s="84"/>
      <c r="E404" s="84"/>
    </row>
    <row r="405" spans="4:5" ht="12.75">
      <c r="D405" s="84"/>
      <c r="E405" s="84"/>
    </row>
    <row r="406" spans="4:5" ht="12.75">
      <c r="D406" s="84"/>
      <c r="E406" s="84"/>
    </row>
    <row r="407" spans="4:5" ht="12.75">
      <c r="D407" s="84"/>
      <c r="E407" s="84"/>
    </row>
    <row r="408" spans="4:5" ht="12.75">
      <c r="D408" s="84"/>
      <c r="E408" s="84"/>
    </row>
    <row r="409" spans="4:5" ht="12.75">
      <c r="D409" s="84"/>
      <c r="E409" s="84"/>
    </row>
    <row r="410" spans="4:5" ht="12.75">
      <c r="D410" s="84"/>
      <c r="E410" s="84"/>
    </row>
    <row r="411" spans="4:5" ht="12.75">
      <c r="D411" s="84"/>
      <c r="E411" s="84"/>
    </row>
    <row r="412" spans="4:5" ht="12.75">
      <c r="D412" s="84"/>
      <c r="E412" s="84"/>
    </row>
    <row r="413" spans="4:5" ht="12.75">
      <c r="D413" s="84"/>
      <c r="E413" s="84"/>
    </row>
    <row r="414" spans="4:5" ht="12.75">
      <c r="D414" s="84"/>
      <c r="E414" s="84"/>
    </row>
    <row r="415" spans="4:5" ht="12.75">
      <c r="D415" s="84"/>
      <c r="E415" s="84"/>
    </row>
    <row r="416" spans="4:5" ht="12.75">
      <c r="D416" s="84"/>
      <c r="E416" s="84"/>
    </row>
    <row r="417" spans="4:5" ht="12.75">
      <c r="D417" s="84"/>
      <c r="E417" s="84"/>
    </row>
    <row r="418" spans="4:5" ht="12.75">
      <c r="D418" s="84"/>
      <c r="E418" s="84"/>
    </row>
    <row r="419" spans="4:5" ht="12.75">
      <c r="D419" s="84"/>
      <c r="E419" s="84"/>
    </row>
    <row r="420" spans="4:5" ht="12.75">
      <c r="D420" s="84"/>
      <c r="E420" s="84"/>
    </row>
    <row r="421" spans="4:5" ht="12.75">
      <c r="D421" s="84"/>
      <c r="E421" s="84"/>
    </row>
    <row r="422" spans="4:5" ht="12.75">
      <c r="D422" s="84"/>
      <c r="E422" s="84"/>
    </row>
    <row r="423" spans="4:5" ht="12.75">
      <c r="D423" s="84"/>
      <c r="E423" s="84"/>
    </row>
    <row r="424" spans="4:5" ht="12.75">
      <c r="D424" s="84"/>
      <c r="E424" s="84"/>
    </row>
    <row r="425" spans="4:5" ht="12.75">
      <c r="D425" s="84"/>
      <c r="E425" s="84"/>
    </row>
    <row r="426" spans="4:5" ht="12.75">
      <c r="D426" s="84"/>
      <c r="E426" s="84"/>
    </row>
    <row r="427" spans="4:5" ht="12.75">
      <c r="D427" s="84"/>
      <c r="E427" s="84"/>
    </row>
    <row r="428" spans="4:5" ht="12.75">
      <c r="D428" s="84"/>
      <c r="E428" s="84"/>
    </row>
    <row r="429" spans="4:5" ht="12.75">
      <c r="D429" s="84"/>
      <c r="E429" s="84"/>
    </row>
    <row r="430" spans="4:5" ht="12.75">
      <c r="D430" s="84"/>
      <c r="E430" s="84"/>
    </row>
    <row r="431" spans="4:5" ht="12.75">
      <c r="D431" s="84"/>
      <c r="E431" s="84"/>
    </row>
    <row r="432" spans="4:5" ht="12.75">
      <c r="D432" s="84"/>
      <c r="E432" s="84"/>
    </row>
    <row r="433" spans="4:5" ht="12.75">
      <c r="D433" s="84"/>
      <c r="E433" s="84"/>
    </row>
    <row r="434" spans="4:5" ht="12.75">
      <c r="D434" s="84"/>
      <c r="E434" s="84"/>
    </row>
    <row r="435" spans="4:5" ht="12.75">
      <c r="D435" s="84"/>
      <c r="E435" s="84"/>
    </row>
    <row r="436" spans="4:5" ht="12.75">
      <c r="D436" s="84"/>
      <c r="E436" s="84"/>
    </row>
    <row r="437" spans="4:5" ht="12.75">
      <c r="D437" s="84"/>
      <c r="E437" s="84"/>
    </row>
    <row r="438" spans="4:5" ht="12.75">
      <c r="D438" s="84"/>
      <c r="E438" s="84"/>
    </row>
    <row r="439" spans="4:5" ht="12.75">
      <c r="D439" s="84"/>
      <c r="E439" s="84"/>
    </row>
    <row r="440" spans="4:5" ht="12.75">
      <c r="D440" s="84"/>
      <c r="E440" s="84"/>
    </row>
    <row r="441" spans="4:5" ht="12.75">
      <c r="D441" s="84"/>
      <c r="E441" s="84"/>
    </row>
    <row r="442" spans="4:5" ht="12.75">
      <c r="D442" s="84"/>
      <c r="E442" s="84"/>
    </row>
    <row r="443" spans="4:5" ht="12.75">
      <c r="D443" s="84"/>
      <c r="E443" s="84"/>
    </row>
    <row r="444" spans="4:5" ht="12.75">
      <c r="D444" s="84"/>
      <c r="E444" s="84"/>
    </row>
    <row r="445" spans="4:5" ht="12.75">
      <c r="D445" s="84"/>
      <c r="E445" s="84"/>
    </row>
    <row r="446" spans="4:5" ht="12.75">
      <c r="D446" s="84"/>
      <c r="E446" s="84"/>
    </row>
    <row r="447" spans="4:5" ht="12.75">
      <c r="D447" s="84"/>
      <c r="E447" s="84"/>
    </row>
    <row r="448" spans="4:5" ht="12.75">
      <c r="D448" s="84"/>
      <c r="E448" s="84"/>
    </row>
    <row r="449" spans="4:5" ht="12.75">
      <c r="D449" s="84"/>
      <c r="E449" s="84"/>
    </row>
    <row r="450" spans="4:5" ht="12.75">
      <c r="D450" s="84"/>
      <c r="E450" s="84"/>
    </row>
    <row r="451" spans="4:5" ht="12.75">
      <c r="D451" s="84"/>
      <c r="E451" s="84"/>
    </row>
    <row r="452" spans="4:5" ht="12.75">
      <c r="D452" s="84"/>
      <c r="E452" s="84"/>
    </row>
    <row r="453" spans="4:5" ht="12.75">
      <c r="D453" s="84"/>
      <c r="E453" s="84"/>
    </row>
    <row r="454" spans="4:5" ht="12.75">
      <c r="D454" s="84"/>
      <c r="E454" s="84"/>
    </row>
    <row r="455" spans="4:5" ht="12.75">
      <c r="D455" s="84"/>
      <c r="E455" s="84"/>
    </row>
    <row r="456" spans="4:5" ht="12.75">
      <c r="D456" s="84"/>
      <c r="E456" s="84"/>
    </row>
    <row r="457" spans="4:5" ht="12.75">
      <c r="D457" s="84"/>
      <c r="E457" s="84"/>
    </row>
    <row r="458" spans="4:5" ht="12.75">
      <c r="D458" s="84"/>
      <c r="E458" s="84"/>
    </row>
    <row r="459" spans="4:5" ht="12.75">
      <c r="D459" s="84"/>
      <c r="E459" s="84"/>
    </row>
    <row r="460" spans="4:5" ht="12.75">
      <c r="D460" s="84"/>
      <c r="E460" s="84"/>
    </row>
    <row r="461" spans="4:5" ht="12.75">
      <c r="D461" s="84"/>
      <c r="E461" s="84"/>
    </row>
    <row r="462" spans="4:5" ht="12.75">
      <c r="D462" s="84"/>
      <c r="E462" s="84"/>
    </row>
    <row r="463" spans="4:5" ht="12.75">
      <c r="D463" s="84"/>
      <c r="E463" s="84"/>
    </row>
    <row r="464" spans="4:5" ht="12.75">
      <c r="D464" s="84"/>
      <c r="E464" s="84"/>
    </row>
    <row r="465" spans="4:5" ht="12.75">
      <c r="D465" s="84"/>
      <c r="E465" s="84"/>
    </row>
    <row r="466" spans="4:5" ht="12.75">
      <c r="D466" s="84"/>
      <c r="E466" s="84"/>
    </row>
    <row r="467" spans="4:5" ht="12.75">
      <c r="D467" s="84"/>
      <c r="E467" s="84"/>
    </row>
    <row r="468" spans="4:5" ht="12.75">
      <c r="D468" s="84"/>
      <c r="E468" s="84"/>
    </row>
    <row r="469" spans="4:5" ht="12.75">
      <c r="D469" s="84"/>
      <c r="E469" s="84"/>
    </row>
    <row r="470" spans="4:5" ht="12.75">
      <c r="D470" s="84"/>
      <c r="E470" s="84"/>
    </row>
    <row r="471" spans="4:5" ht="12.75">
      <c r="D471" s="84"/>
      <c r="E471" s="84"/>
    </row>
    <row r="472" spans="4:5" ht="12.75">
      <c r="D472" s="84"/>
      <c r="E472" s="84"/>
    </row>
    <row r="473" spans="4:5" ht="12.75">
      <c r="D473" s="84"/>
      <c r="E473" s="84"/>
    </row>
    <row r="474" spans="4:5" ht="12.75">
      <c r="D474" s="84"/>
      <c r="E474" s="84"/>
    </row>
    <row r="475" spans="4:5" ht="12.75">
      <c r="D475" s="84"/>
      <c r="E475" s="84"/>
    </row>
    <row r="476" spans="4:5" ht="12.75">
      <c r="D476" s="84"/>
      <c r="E476" s="84"/>
    </row>
    <row r="477" spans="4:5" ht="12.75">
      <c r="D477" s="84"/>
      <c r="E477" s="84"/>
    </row>
    <row r="478" spans="4:5" ht="12.75">
      <c r="D478" s="84"/>
      <c r="E478" s="84"/>
    </row>
    <row r="479" spans="4:5" ht="12.75">
      <c r="D479" s="84"/>
      <c r="E479" s="84"/>
    </row>
    <row r="480" spans="4:5" ht="12.75">
      <c r="D480" s="84"/>
      <c r="E480" s="84"/>
    </row>
    <row r="481" spans="4:5" ht="12.75">
      <c r="D481" s="84"/>
      <c r="E481" s="84"/>
    </row>
    <row r="482" spans="4:5" ht="12.75">
      <c r="D482" s="84"/>
      <c r="E482" s="84"/>
    </row>
    <row r="483" spans="4:5" ht="12.75">
      <c r="D483" s="84"/>
      <c r="E483" s="84"/>
    </row>
    <row r="484" spans="4:5" ht="12.75">
      <c r="D484" s="84"/>
      <c r="E484" s="84"/>
    </row>
    <row r="485" spans="4:5" ht="12.75">
      <c r="D485" s="84"/>
      <c r="E485" s="84"/>
    </row>
    <row r="486" spans="4:5" ht="12.75">
      <c r="D486" s="84"/>
      <c r="E486" s="84"/>
    </row>
    <row r="487" spans="4:5" ht="12.75">
      <c r="D487" s="84"/>
      <c r="E487" s="84"/>
    </row>
    <row r="488" spans="4:5" ht="12.75">
      <c r="D488" s="84"/>
      <c r="E488" s="84"/>
    </row>
    <row r="489" spans="4:5" ht="12.75">
      <c r="D489" s="84"/>
      <c r="E489" s="84"/>
    </row>
    <row r="490" spans="4:5" ht="12.75">
      <c r="D490" s="84"/>
      <c r="E490" s="84"/>
    </row>
    <row r="491" spans="4:5" ht="12.75">
      <c r="D491" s="84"/>
      <c r="E491" s="84"/>
    </row>
    <row r="492" spans="4:5" ht="12.75">
      <c r="D492" s="84"/>
      <c r="E492" s="84"/>
    </row>
    <row r="493" spans="4:5" ht="12.75">
      <c r="D493" s="84"/>
      <c r="E493" s="84"/>
    </row>
    <row r="494" spans="4:5" ht="12.75">
      <c r="D494" s="84"/>
      <c r="E494" s="84"/>
    </row>
    <row r="495" spans="4:5" ht="12.75">
      <c r="D495" s="84"/>
      <c r="E495" s="84"/>
    </row>
    <row r="496" spans="4:5" ht="12.75">
      <c r="D496" s="84"/>
      <c r="E496" s="84"/>
    </row>
    <row r="497" spans="4:5" ht="12.75">
      <c r="D497" s="84"/>
      <c r="E497" s="84"/>
    </row>
    <row r="498" spans="4:5" ht="12.75">
      <c r="D498" s="84"/>
      <c r="E498" s="84"/>
    </row>
    <row r="499" spans="4:5" ht="12.75">
      <c r="D499" s="84"/>
      <c r="E499" s="84"/>
    </row>
    <row r="500" spans="4:5" ht="12.75">
      <c r="D500" s="84"/>
      <c r="E500" s="84"/>
    </row>
    <row r="501" spans="4:5" ht="12.75">
      <c r="D501" s="84"/>
      <c r="E501" s="84"/>
    </row>
    <row r="502" spans="4:5" ht="12.75">
      <c r="D502" s="84"/>
      <c r="E502" s="84"/>
    </row>
    <row r="503" spans="4:5" ht="12.75">
      <c r="D503" s="84"/>
      <c r="E503" s="84"/>
    </row>
    <row r="504" spans="4:5" ht="12.75">
      <c r="D504" s="84"/>
      <c r="E504" s="84"/>
    </row>
    <row r="505" spans="4:5" ht="12.75">
      <c r="D505" s="84"/>
      <c r="E505" s="84"/>
    </row>
    <row r="506" spans="4:5" ht="12.75">
      <c r="D506" s="84"/>
      <c r="E506" s="84"/>
    </row>
    <row r="507" spans="4:5" ht="12.75">
      <c r="D507" s="84"/>
      <c r="E507" s="84"/>
    </row>
    <row r="508" spans="4:5" ht="12.75">
      <c r="D508" s="84"/>
      <c r="E508" s="84"/>
    </row>
    <row r="509" spans="4:5" ht="12.75">
      <c r="D509" s="84"/>
      <c r="E509" s="84"/>
    </row>
    <row r="510" spans="4:5" ht="12.75">
      <c r="D510" s="84"/>
      <c r="E510" s="84"/>
    </row>
    <row r="511" spans="4:5" ht="12.75">
      <c r="D511" s="84"/>
      <c r="E511" s="84"/>
    </row>
    <row r="512" spans="4:5" ht="12.75">
      <c r="D512" s="84"/>
      <c r="E512" s="84"/>
    </row>
    <row r="513" spans="4:5" ht="12.75">
      <c r="D513" s="84"/>
      <c r="E513" s="84"/>
    </row>
    <row r="514" spans="4:5" ht="12.75">
      <c r="D514" s="84"/>
      <c r="E514" s="84"/>
    </row>
    <row r="515" spans="4:5" ht="12.75">
      <c r="D515" s="84"/>
      <c r="E515" s="84"/>
    </row>
    <row r="516" spans="4:5" ht="12.75">
      <c r="D516" s="84"/>
      <c r="E516" s="84"/>
    </row>
    <row r="517" spans="4:5" ht="12.75">
      <c r="D517" s="84"/>
      <c r="E517" s="84"/>
    </row>
    <row r="518" spans="4:5" ht="12.75">
      <c r="D518" s="84"/>
      <c r="E518" s="84"/>
    </row>
    <row r="519" spans="4:5" ht="12.75">
      <c r="D519" s="84"/>
      <c r="E519" s="84"/>
    </row>
    <row r="520" spans="4:5" ht="12.75">
      <c r="D520" s="84"/>
      <c r="E520" s="84"/>
    </row>
    <row r="521" spans="4:5" ht="12.75">
      <c r="D521" s="84"/>
      <c r="E521" s="84"/>
    </row>
    <row r="522" spans="4:5" ht="12.75">
      <c r="D522" s="84"/>
      <c r="E522" s="84"/>
    </row>
    <row r="523" spans="4:5" ht="12.75">
      <c r="D523" s="84"/>
      <c r="E523" s="84"/>
    </row>
    <row r="524" spans="4:5" ht="12.75">
      <c r="D524" s="84"/>
      <c r="E524" s="84"/>
    </row>
    <row r="525" spans="4:5" ht="12.75">
      <c r="D525" s="84"/>
      <c r="E525" s="84"/>
    </row>
    <row r="526" spans="4:5" ht="12.75">
      <c r="D526" s="84"/>
      <c r="E526" s="84"/>
    </row>
    <row r="527" spans="4:5" ht="12.75">
      <c r="D527" s="84"/>
      <c r="E527" s="84"/>
    </row>
    <row r="528" spans="4:5" ht="12.75">
      <c r="D528" s="84"/>
      <c r="E528" s="84"/>
    </row>
    <row r="529" spans="4:5" ht="12.75">
      <c r="D529" s="84"/>
      <c r="E529" s="84"/>
    </row>
    <row r="530" spans="4:5" ht="12.75">
      <c r="D530" s="84"/>
      <c r="E530" s="84"/>
    </row>
    <row r="531" spans="4:5" ht="12.75">
      <c r="D531" s="84"/>
      <c r="E531" s="84"/>
    </row>
    <row r="532" spans="4:5" ht="12.75">
      <c r="D532" s="84"/>
      <c r="E532" s="84"/>
    </row>
    <row r="533" spans="4:5" ht="12.75">
      <c r="D533" s="84"/>
      <c r="E533" s="84"/>
    </row>
    <row r="534" spans="4:5" ht="12.75">
      <c r="D534" s="84"/>
      <c r="E534" s="84"/>
    </row>
    <row r="535" spans="4:5" ht="12.75">
      <c r="D535" s="84"/>
      <c r="E535" s="84"/>
    </row>
    <row r="536" spans="4:5" ht="12.75">
      <c r="D536" s="84"/>
      <c r="E536" s="84"/>
    </row>
    <row r="537" spans="4:5" ht="12.75">
      <c r="D537" s="84"/>
      <c r="E537" s="84"/>
    </row>
    <row r="538" spans="4:5" ht="12.75">
      <c r="D538" s="84"/>
      <c r="E538" s="84"/>
    </row>
    <row r="539" spans="4:5" ht="12.75">
      <c r="D539" s="84"/>
      <c r="E539" s="84"/>
    </row>
    <row r="540" spans="4:5" ht="12.75">
      <c r="D540" s="84"/>
      <c r="E540" s="84"/>
    </row>
    <row r="541" spans="4:5" ht="12.75">
      <c r="D541" s="84"/>
      <c r="E541" s="84"/>
    </row>
    <row r="542" spans="4:5" ht="12.75">
      <c r="D542" s="84"/>
      <c r="E542" s="84"/>
    </row>
    <row r="543" spans="4:5" ht="12.75">
      <c r="D543" s="84"/>
      <c r="E543" s="84"/>
    </row>
    <row r="544" spans="4:5" ht="12.75">
      <c r="D544" s="84"/>
      <c r="E544" s="84"/>
    </row>
    <row r="545" spans="4:5" ht="12.75">
      <c r="D545" s="84"/>
      <c r="E545" s="84"/>
    </row>
    <row r="546" spans="4:5" ht="12.75">
      <c r="D546" s="84"/>
      <c r="E546" s="84"/>
    </row>
    <row r="547" spans="4:5" ht="12.75">
      <c r="D547" s="84"/>
      <c r="E547" s="84"/>
    </row>
    <row r="548" spans="4:5" ht="12.75">
      <c r="D548" s="84"/>
      <c r="E548" s="84"/>
    </row>
    <row r="549" spans="4:5" ht="12.75">
      <c r="D549" s="84"/>
      <c r="E549" s="84"/>
    </row>
    <row r="550" spans="4:5" ht="12.75">
      <c r="D550" s="84"/>
      <c r="E550" s="84"/>
    </row>
    <row r="551" spans="4:5" ht="12.75">
      <c r="D551" s="84"/>
      <c r="E551" s="84"/>
    </row>
    <row r="552" spans="4:5" ht="12.75">
      <c r="D552" s="84"/>
      <c r="E552" s="84"/>
    </row>
    <row r="553" spans="4:5" ht="12.75">
      <c r="D553" s="84"/>
      <c r="E553" s="84"/>
    </row>
    <row r="554" spans="4:5" ht="12.75">
      <c r="D554" s="84"/>
      <c r="E554" s="84"/>
    </row>
    <row r="555" spans="4:5" ht="12.75">
      <c r="D555" s="84"/>
      <c r="E555" s="84"/>
    </row>
    <row r="556" spans="4:5" ht="12.75">
      <c r="D556" s="84"/>
      <c r="E556" s="84"/>
    </row>
    <row r="557" spans="4:5" ht="12.75">
      <c r="D557" s="84"/>
      <c r="E557" s="84"/>
    </row>
    <row r="558" spans="4:5" ht="12.75">
      <c r="D558" s="84"/>
      <c r="E558" s="84"/>
    </row>
    <row r="559" spans="4:5" ht="12.75">
      <c r="D559" s="84"/>
      <c r="E559" s="84"/>
    </row>
    <row r="560" spans="4:5" ht="12.75">
      <c r="D560" s="84"/>
      <c r="E560" s="84"/>
    </row>
    <row r="561" spans="4:5" ht="12.75">
      <c r="D561" s="84"/>
      <c r="E561" s="84"/>
    </row>
    <row r="562" spans="4:5" ht="12.75">
      <c r="D562" s="84"/>
      <c r="E562" s="84"/>
    </row>
    <row r="563" spans="4:5" ht="12.75">
      <c r="D563" s="84"/>
      <c r="E563" s="84"/>
    </row>
    <row r="564" spans="4:5" ht="12.75">
      <c r="D564" s="84"/>
      <c r="E564" s="84"/>
    </row>
    <row r="565" spans="4:5" ht="12.75">
      <c r="D565" s="84"/>
      <c r="E565" s="84"/>
    </row>
    <row r="566" spans="4:5" ht="12.75">
      <c r="D566" s="84"/>
      <c r="E566" s="84"/>
    </row>
    <row r="567" spans="4:5" ht="12.75">
      <c r="D567" s="84"/>
      <c r="E567" s="84"/>
    </row>
    <row r="568" spans="4:5" ht="12.75">
      <c r="D568" s="84"/>
      <c r="E568" s="84"/>
    </row>
    <row r="569" spans="4:5" ht="12.75">
      <c r="D569" s="84"/>
      <c r="E569" s="84"/>
    </row>
    <row r="570" spans="4:5" ht="12.75">
      <c r="D570" s="84"/>
      <c r="E570" s="84"/>
    </row>
    <row r="571" spans="4:5" ht="12.75">
      <c r="D571" s="84"/>
      <c r="E571" s="84"/>
    </row>
    <row r="572" spans="4:5" ht="12.75">
      <c r="D572" s="84"/>
      <c r="E572" s="84"/>
    </row>
    <row r="573" spans="4:5" ht="12.75">
      <c r="D573" s="84"/>
      <c r="E573" s="84"/>
    </row>
    <row r="574" spans="4:5" ht="12.75">
      <c r="D574" s="84"/>
      <c r="E574" s="84"/>
    </row>
    <row r="575" spans="4:5" ht="12.75">
      <c r="D575" s="84"/>
      <c r="E575" s="84"/>
    </row>
    <row r="576" spans="4:5" ht="12.75">
      <c r="D576" s="84"/>
      <c r="E576" s="84"/>
    </row>
    <row r="577" spans="4:5" ht="12.75">
      <c r="D577" s="84"/>
      <c r="E577" s="84"/>
    </row>
    <row r="578" spans="4:5" ht="12.75">
      <c r="D578" s="84"/>
      <c r="E578" s="84"/>
    </row>
    <row r="579" spans="4:5" ht="12.75">
      <c r="D579" s="84"/>
      <c r="E579" s="84"/>
    </row>
    <row r="580" spans="4:5" ht="12.75">
      <c r="D580" s="84"/>
      <c r="E580" s="84"/>
    </row>
    <row r="581" spans="4:5" ht="12.75">
      <c r="D581" s="84"/>
      <c r="E581" s="84"/>
    </row>
    <row r="582" spans="4:5" ht="12.75">
      <c r="D582" s="84"/>
      <c r="E582" s="84"/>
    </row>
    <row r="583" spans="4:5" ht="12.75">
      <c r="D583" s="84"/>
      <c r="E583" s="84"/>
    </row>
    <row r="584" spans="4:5" ht="12.75">
      <c r="D584" s="84"/>
      <c r="E584" s="84"/>
    </row>
    <row r="585" spans="4:5" ht="12.75">
      <c r="D585" s="84"/>
      <c r="E585" s="84"/>
    </row>
    <row r="586" spans="4:5" ht="12.75">
      <c r="D586" s="84"/>
      <c r="E586" s="84"/>
    </row>
    <row r="587" spans="4:5" ht="12.75">
      <c r="D587" s="84"/>
      <c r="E587" s="84"/>
    </row>
    <row r="588" spans="4:5" ht="12.75">
      <c r="D588" s="84"/>
      <c r="E588" s="84"/>
    </row>
    <row r="589" spans="4:5" ht="12.75">
      <c r="D589" s="84"/>
      <c r="E589" s="84"/>
    </row>
    <row r="590" spans="4:5" ht="12.75">
      <c r="D590" s="84"/>
      <c r="E590" s="84"/>
    </row>
    <row r="591" spans="4:5" ht="12.75">
      <c r="D591" s="84"/>
      <c r="E591" s="84"/>
    </row>
    <row r="592" spans="4:5" ht="12.75">
      <c r="D592" s="84"/>
      <c r="E592" s="84"/>
    </row>
    <row r="593" spans="4:5" ht="12.75">
      <c r="D593" s="84"/>
      <c r="E593" s="84"/>
    </row>
    <row r="594" spans="4:5" ht="12.75">
      <c r="D594" s="84"/>
      <c r="E594" s="84"/>
    </row>
    <row r="595" spans="4:5" ht="12.75">
      <c r="D595" s="84"/>
      <c r="E595" s="84"/>
    </row>
    <row r="596" spans="4:5" ht="12.75">
      <c r="D596" s="84"/>
      <c r="E596" s="84"/>
    </row>
    <row r="597" spans="4:5" ht="12.75">
      <c r="D597" s="84"/>
      <c r="E597" s="84"/>
    </row>
    <row r="598" spans="4:5" ht="12.75">
      <c r="D598" s="84"/>
      <c r="E598" s="84"/>
    </row>
    <row r="599" spans="4:5" ht="12.75">
      <c r="D599" s="84"/>
      <c r="E599" s="84"/>
    </row>
    <row r="600" spans="4:5" ht="12.75">
      <c r="D600" s="84"/>
      <c r="E600" s="84"/>
    </row>
    <row r="601" spans="4:5" ht="12.75">
      <c r="D601" s="84"/>
      <c r="E601" s="84"/>
    </row>
    <row r="602" spans="4:5" ht="12.75">
      <c r="D602" s="84"/>
      <c r="E602" s="84"/>
    </row>
    <row r="603" spans="4:5" ht="12.75">
      <c r="D603" s="84"/>
      <c r="E603" s="84"/>
    </row>
    <row r="604" spans="4:5" ht="12.75">
      <c r="D604" s="84"/>
      <c r="E604" s="84"/>
    </row>
    <row r="605" spans="4:5" ht="12.75">
      <c r="D605" s="84"/>
      <c r="E605" s="84"/>
    </row>
    <row r="606" spans="4:5" ht="12.75">
      <c r="D606" s="84"/>
      <c r="E606" s="84"/>
    </row>
    <row r="607" spans="4:5" ht="12.75">
      <c r="D607" s="84"/>
      <c r="E607" s="84"/>
    </row>
    <row r="608" spans="4:5" ht="12.75">
      <c r="D608" s="84"/>
      <c r="E608" s="84"/>
    </row>
    <row r="609" spans="4:5" ht="12.75">
      <c r="D609" s="84"/>
      <c r="E609" s="84"/>
    </row>
    <row r="610" spans="4:5" ht="12.75">
      <c r="D610" s="84"/>
      <c r="E610" s="84"/>
    </row>
    <row r="611" spans="4:5" ht="12.75">
      <c r="D611" s="84"/>
      <c r="E611" s="84"/>
    </row>
    <row r="612" spans="4:5" ht="12.75">
      <c r="D612" s="84"/>
      <c r="E612" s="84"/>
    </row>
    <row r="613" spans="4:5" ht="12.75">
      <c r="D613" s="84"/>
      <c r="E613" s="84"/>
    </row>
    <row r="614" spans="4:5" ht="12.75">
      <c r="D614" s="84"/>
      <c r="E614" s="84"/>
    </row>
    <row r="615" spans="4:5" ht="12.75">
      <c r="D615" s="84"/>
      <c r="E615" s="84"/>
    </row>
    <row r="616" spans="4:5" ht="12.75">
      <c r="D616" s="84"/>
      <c r="E616" s="84"/>
    </row>
    <row r="617" spans="4:5" ht="12.75">
      <c r="D617" s="84"/>
      <c r="E617" s="84"/>
    </row>
    <row r="618" spans="4:5" ht="12.75">
      <c r="D618" s="84"/>
      <c r="E618" s="84"/>
    </row>
    <row r="619" spans="4:5" ht="12.75">
      <c r="D619" s="84"/>
      <c r="E619" s="84"/>
    </row>
    <row r="620" spans="4:5" ht="12.75">
      <c r="D620" s="84"/>
      <c r="E620" s="84"/>
    </row>
    <row r="621" spans="4:5" ht="12.75">
      <c r="D621" s="84"/>
      <c r="E621" s="84"/>
    </row>
    <row r="622" spans="4:5" ht="12.75">
      <c r="D622" s="84"/>
      <c r="E622" s="84"/>
    </row>
    <row r="623" spans="4:5" ht="12.75">
      <c r="D623" s="84"/>
      <c r="E623" s="84"/>
    </row>
    <row r="624" spans="4:5" ht="12.75">
      <c r="D624" s="84"/>
      <c r="E624" s="84"/>
    </row>
    <row r="625" spans="4:5" ht="12.75">
      <c r="D625" s="84"/>
      <c r="E625" s="84"/>
    </row>
    <row r="626" spans="4:5" ht="12.75">
      <c r="D626" s="84"/>
      <c r="E626" s="84"/>
    </row>
    <row r="627" spans="4:5" ht="12.75">
      <c r="D627" s="84"/>
      <c r="E627" s="84"/>
    </row>
    <row r="628" spans="4:5" ht="12.75">
      <c r="D628" s="84"/>
      <c r="E628" s="84"/>
    </row>
    <row r="629" spans="4:5" ht="12.75">
      <c r="D629" s="84"/>
      <c r="E629" s="84"/>
    </row>
    <row r="630" spans="4:5" ht="12.75">
      <c r="D630" s="84"/>
      <c r="E630" s="84"/>
    </row>
    <row r="631" spans="4:5" ht="12.75">
      <c r="D631" s="84"/>
      <c r="E631" s="84"/>
    </row>
    <row r="632" spans="4:5" ht="12.75">
      <c r="D632" s="84"/>
      <c r="E632" s="84"/>
    </row>
    <row r="633" spans="4:5" ht="12.75">
      <c r="D633" s="84"/>
      <c r="E633" s="84"/>
    </row>
    <row r="634" spans="4:5" ht="12.75">
      <c r="D634" s="84"/>
      <c r="E634" s="84"/>
    </row>
    <row r="635" spans="4:5" ht="12.75">
      <c r="D635" s="84"/>
      <c r="E635" s="84"/>
    </row>
    <row r="636" spans="4:5" ht="12.75">
      <c r="D636" s="84"/>
      <c r="E636" s="84"/>
    </row>
    <row r="637" spans="4:5" ht="12.75">
      <c r="D637" s="84"/>
      <c r="E637" s="84"/>
    </row>
    <row r="638" spans="4:5" ht="12.75">
      <c r="D638" s="84"/>
      <c r="E638" s="84"/>
    </row>
    <row r="639" spans="4:5" ht="12.75">
      <c r="D639" s="84"/>
      <c r="E639" s="84"/>
    </row>
    <row r="640" spans="4:5" ht="12.75">
      <c r="D640" s="84"/>
      <c r="E640" s="84"/>
    </row>
    <row r="641" spans="4:5" ht="12.75">
      <c r="D641" s="84"/>
      <c r="E641" s="84"/>
    </row>
    <row r="642" spans="4:5" ht="12.75">
      <c r="D642" s="84"/>
      <c r="E642" s="84"/>
    </row>
    <row r="643" spans="4:5" ht="12.75">
      <c r="D643" s="84"/>
      <c r="E643" s="84"/>
    </row>
    <row r="644" spans="4:5" ht="12.75">
      <c r="D644" s="84"/>
      <c r="E644" s="84"/>
    </row>
    <row r="645" spans="4:5" ht="12.75">
      <c r="D645" s="84"/>
      <c r="E645" s="84"/>
    </row>
    <row r="646" spans="4:5" ht="12.75">
      <c r="D646" s="84"/>
      <c r="E646" s="84"/>
    </row>
    <row r="647" spans="4:5" ht="12.75">
      <c r="D647" s="84"/>
      <c r="E647" s="84"/>
    </row>
    <row r="648" spans="4:5" ht="12.75">
      <c r="D648" s="84"/>
      <c r="E648" s="84"/>
    </row>
    <row r="649" spans="4:5" ht="12.75">
      <c r="D649" s="84"/>
      <c r="E649" s="84"/>
    </row>
    <row r="650" spans="4:5" ht="12.75">
      <c r="D650" s="84"/>
      <c r="E650" s="84"/>
    </row>
    <row r="651" spans="4:5" ht="12.75">
      <c r="D651" s="84"/>
      <c r="E651" s="84"/>
    </row>
    <row r="652" spans="4:5" ht="12.75">
      <c r="D652" s="84"/>
      <c r="E652" s="84"/>
    </row>
    <row r="653" spans="4:5" ht="12.75">
      <c r="D653" s="84"/>
      <c r="E653" s="84"/>
    </row>
    <row r="654" spans="4:5" ht="12.75">
      <c r="D654" s="84"/>
      <c r="E654" s="84"/>
    </row>
    <row r="655" spans="4:5" ht="12.75">
      <c r="D655" s="84"/>
      <c r="E655" s="84"/>
    </row>
    <row r="656" spans="4:5" ht="12.75">
      <c r="D656" s="84"/>
      <c r="E656" s="84"/>
    </row>
    <row r="657" spans="4:5" ht="12.75">
      <c r="D657" s="84"/>
      <c r="E657" s="84"/>
    </row>
    <row r="658" spans="4:5" ht="12.75">
      <c r="D658" s="84"/>
      <c r="E658" s="84"/>
    </row>
    <row r="659" spans="4:5" ht="12.75">
      <c r="D659" s="84"/>
      <c r="E659" s="84"/>
    </row>
    <row r="660" spans="4:5" ht="12.75">
      <c r="D660" s="84"/>
      <c r="E660" s="84"/>
    </row>
    <row r="661" spans="4:5" ht="12.75">
      <c r="D661" s="84"/>
      <c r="E661" s="84"/>
    </row>
    <row r="662" spans="4:5" ht="12.75">
      <c r="D662" s="84"/>
      <c r="E662" s="84"/>
    </row>
    <row r="663" spans="4:5" ht="12.75">
      <c r="D663" s="84"/>
      <c r="E663" s="84"/>
    </row>
    <row r="664" spans="4:5" ht="12.75">
      <c r="D664" s="84"/>
      <c r="E664" s="84"/>
    </row>
    <row r="665" spans="4:5" ht="12.75">
      <c r="D665" s="84"/>
      <c r="E665" s="84"/>
    </row>
    <row r="666" spans="4:5" ht="12.75">
      <c r="D666" s="84"/>
      <c r="E666" s="84"/>
    </row>
    <row r="667" spans="4:5" ht="12.75">
      <c r="D667" s="84"/>
      <c r="E667" s="84"/>
    </row>
    <row r="668" spans="4:5" ht="12.75">
      <c r="D668" s="84"/>
      <c r="E668" s="84"/>
    </row>
    <row r="669" spans="4:5" ht="12.75">
      <c r="D669" s="84"/>
      <c r="E669" s="84"/>
    </row>
    <row r="670" spans="4:5" ht="12.75">
      <c r="D670" s="84"/>
      <c r="E670" s="84"/>
    </row>
    <row r="671" spans="4:5" ht="12.75">
      <c r="D671" s="84"/>
      <c r="E671" s="84"/>
    </row>
    <row r="672" spans="4:5" ht="12.75">
      <c r="D672" s="84"/>
      <c r="E672" s="84"/>
    </row>
    <row r="673" spans="4:5" ht="12.75">
      <c r="D673" s="84"/>
      <c r="E673" s="84"/>
    </row>
    <row r="674" spans="4:5" ht="12.75">
      <c r="D674" s="84"/>
      <c r="E674" s="84"/>
    </row>
    <row r="675" spans="4:5" ht="12.75">
      <c r="D675" s="84"/>
      <c r="E675" s="84"/>
    </row>
    <row r="676" spans="4:5" ht="12.75">
      <c r="D676" s="84"/>
      <c r="E676" s="84"/>
    </row>
    <row r="677" spans="4:5" ht="12.75">
      <c r="D677" s="84"/>
      <c r="E677" s="84"/>
    </row>
    <row r="678" spans="4:5" ht="12.75">
      <c r="D678" s="84"/>
      <c r="E678" s="84"/>
    </row>
    <row r="679" spans="4:5" ht="12.75">
      <c r="D679" s="84"/>
      <c r="E679" s="84"/>
    </row>
    <row r="680" spans="4:5" ht="12.75">
      <c r="D680" s="84"/>
      <c r="E680" s="84"/>
    </row>
    <row r="681" spans="4:5" ht="12.75">
      <c r="D681" s="84"/>
      <c r="E681" s="84"/>
    </row>
    <row r="682" spans="4:5" ht="12.75">
      <c r="D682" s="84"/>
      <c r="E682" s="84"/>
    </row>
    <row r="683" spans="4:5" ht="12.75">
      <c r="D683" s="84"/>
      <c r="E683" s="84"/>
    </row>
    <row r="684" spans="4:5" ht="12.75">
      <c r="D684" s="84"/>
      <c r="E684" s="84"/>
    </row>
    <row r="685" spans="4:5" ht="12.75">
      <c r="D685" s="84"/>
      <c r="E685" s="84"/>
    </row>
    <row r="686" spans="4:5" ht="12.75">
      <c r="D686" s="84"/>
      <c r="E686" s="84"/>
    </row>
    <row r="687" spans="4:5" ht="12.75">
      <c r="D687" s="84"/>
      <c r="E687" s="84"/>
    </row>
    <row r="688" spans="4:5" ht="12.75">
      <c r="D688" s="84"/>
      <c r="E688" s="84"/>
    </row>
    <row r="689" spans="4:5" ht="12.75">
      <c r="D689" s="84"/>
      <c r="E689" s="84"/>
    </row>
    <row r="690" spans="4:5" ht="12.75">
      <c r="D690" s="84"/>
      <c r="E690" s="84"/>
    </row>
    <row r="691" spans="4:5" ht="12.75">
      <c r="D691" s="84"/>
      <c r="E691" s="84"/>
    </row>
    <row r="692" spans="4:5" ht="12.75">
      <c r="D692" s="84"/>
      <c r="E692" s="84"/>
    </row>
    <row r="693" spans="4:5" ht="12.75">
      <c r="D693" s="84"/>
      <c r="E693" s="84"/>
    </row>
    <row r="694" spans="4:5" ht="12.75">
      <c r="D694" s="84"/>
      <c r="E694" s="84"/>
    </row>
    <row r="695" spans="4:5" ht="12.75">
      <c r="D695" s="84"/>
      <c r="E695" s="84"/>
    </row>
    <row r="696" spans="4:5" ht="12.75">
      <c r="D696" s="84"/>
      <c r="E696" s="84"/>
    </row>
    <row r="697" spans="4:5" ht="12.75">
      <c r="D697" s="84"/>
      <c r="E697" s="84"/>
    </row>
    <row r="698" spans="4:5" ht="12.75">
      <c r="D698" s="84"/>
      <c r="E698" s="84"/>
    </row>
    <row r="699" spans="4:5" ht="12.75">
      <c r="D699" s="84"/>
      <c r="E699" s="84"/>
    </row>
    <row r="700" spans="4:5" ht="12.75">
      <c r="D700" s="84"/>
      <c r="E700" s="84"/>
    </row>
    <row r="701" spans="4:5" ht="12.75">
      <c r="D701" s="84"/>
      <c r="E701" s="84"/>
    </row>
    <row r="702" spans="4:5" ht="12.75">
      <c r="D702" s="84"/>
      <c r="E702" s="84"/>
    </row>
    <row r="703" spans="4:5" ht="12.75">
      <c r="D703" s="84"/>
      <c r="E703" s="84"/>
    </row>
    <row r="704" spans="4:5" ht="12.75">
      <c r="D704" s="84"/>
      <c r="E704" s="84"/>
    </row>
    <row r="705" spans="4:5" ht="12.75">
      <c r="D705" s="84"/>
      <c r="E705" s="84"/>
    </row>
    <row r="706" spans="4:5" ht="12.75">
      <c r="D706" s="84"/>
      <c r="E706" s="84"/>
    </row>
    <row r="707" spans="4:5" ht="12.75">
      <c r="D707" s="84"/>
      <c r="E707" s="84"/>
    </row>
    <row r="708" spans="4:5" ht="12.75">
      <c r="D708" s="84"/>
      <c r="E708" s="84"/>
    </row>
    <row r="709" spans="4:5" ht="12.75">
      <c r="D709" s="84"/>
      <c r="E709" s="84"/>
    </row>
    <row r="710" spans="4:5" ht="12.75">
      <c r="D710" s="84"/>
      <c r="E710" s="84"/>
    </row>
    <row r="711" spans="4:5" ht="12.75">
      <c r="D711" s="84"/>
      <c r="E711" s="84"/>
    </row>
    <row r="712" spans="4:5" ht="12.75">
      <c r="D712" s="84"/>
      <c r="E712" s="84"/>
    </row>
    <row r="713" spans="4:5" ht="12.75">
      <c r="D713" s="84"/>
      <c r="E713" s="84"/>
    </row>
    <row r="714" spans="4:5" ht="12.75">
      <c r="D714" s="84"/>
      <c r="E714" s="84"/>
    </row>
    <row r="715" spans="4:5" ht="12.75">
      <c r="D715" s="84"/>
      <c r="E715" s="84"/>
    </row>
    <row r="716" spans="4:5" ht="12.75">
      <c r="D716" s="84"/>
      <c r="E716" s="84"/>
    </row>
    <row r="717" spans="4:5" ht="12.75">
      <c r="D717" s="84"/>
      <c r="E717" s="84"/>
    </row>
    <row r="718" spans="4:5" ht="12.75">
      <c r="D718" s="84"/>
      <c r="E718" s="84"/>
    </row>
    <row r="719" spans="4:5" ht="12.75">
      <c r="D719" s="84"/>
      <c r="E719" s="84"/>
    </row>
    <row r="720" spans="4:5" ht="12.75">
      <c r="D720" s="84"/>
      <c r="E720" s="84"/>
    </row>
    <row r="721" spans="4:5" ht="12.75">
      <c r="D721" s="84"/>
      <c r="E721" s="84"/>
    </row>
    <row r="722" spans="4:5" ht="12.75">
      <c r="D722" s="84"/>
      <c r="E722" s="84"/>
    </row>
    <row r="723" spans="4:5" ht="12.75">
      <c r="D723" s="84"/>
      <c r="E723" s="84"/>
    </row>
    <row r="724" spans="4:5" ht="12.75">
      <c r="D724" s="84"/>
      <c r="E724" s="84"/>
    </row>
    <row r="725" spans="4:5" ht="12.75">
      <c r="D725" s="84"/>
      <c r="E725" s="84"/>
    </row>
    <row r="726" spans="4:5" ht="12.75">
      <c r="D726" s="84"/>
      <c r="E726" s="84"/>
    </row>
    <row r="727" spans="4:5" ht="12.75">
      <c r="D727" s="84"/>
      <c r="E727" s="84"/>
    </row>
    <row r="728" spans="4:5" ht="12.75">
      <c r="D728" s="84"/>
      <c r="E728" s="84"/>
    </row>
    <row r="729" spans="4:5" ht="12.75">
      <c r="D729" s="84"/>
      <c r="E729" s="84"/>
    </row>
    <row r="730" spans="4:5" ht="12.75">
      <c r="D730" s="84"/>
      <c r="E730" s="84"/>
    </row>
    <row r="731" spans="4:5" ht="12.75">
      <c r="D731" s="84"/>
      <c r="E731" s="84"/>
    </row>
    <row r="732" spans="4:5" ht="12.75">
      <c r="D732" s="84"/>
      <c r="E732" s="84"/>
    </row>
    <row r="733" spans="4:5" ht="12.75">
      <c r="D733" s="84"/>
      <c r="E733" s="84"/>
    </row>
    <row r="734" spans="4:5" ht="12.75">
      <c r="D734" s="84"/>
      <c r="E734" s="84"/>
    </row>
    <row r="735" spans="4:5" ht="12.75">
      <c r="D735" s="84"/>
      <c r="E735" s="84"/>
    </row>
    <row r="736" spans="4:5" ht="12.75">
      <c r="D736" s="84"/>
      <c r="E736" s="84"/>
    </row>
    <row r="737" spans="4:5" ht="12.75">
      <c r="D737" s="84"/>
      <c r="E737" s="84"/>
    </row>
    <row r="738" spans="4:5" ht="12.75">
      <c r="D738" s="84"/>
      <c r="E738" s="84"/>
    </row>
    <row r="739" spans="4:5" ht="12.75">
      <c r="D739" s="84"/>
      <c r="E739" s="84"/>
    </row>
    <row r="740" spans="4:5" ht="12.75">
      <c r="D740" s="84"/>
      <c r="E740" s="84"/>
    </row>
    <row r="741" spans="4:5" ht="12.75">
      <c r="D741" s="84"/>
      <c r="E741" s="84"/>
    </row>
    <row r="742" spans="4:5" ht="12.75">
      <c r="D742" s="84"/>
      <c r="E742" s="84"/>
    </row>
    <row r="743" spans="4:5" ht="12.75">
      <c r="D743" s="84"/>
      <c r="E743" s="84"/>
    </row>
    <row r="744" spans="4:5" ht="12.75">
      <c r="D744" s="84"/>
      <c r="E744" s="84"/>
    </row>
    <row r="745" spans="4:5" ht="12.75">
      <c r="D745" s="84"/>
      <c r="E745" s="84"/>
    </row>
    <row r="746" spans="4:5" ht="12.75">
      <c r="D746" s="84"/>
      <c r="E746" s="84"/>
    </row>
    <row r="747" spans="4:5" ht="12.75">
      <c r="D747" s="84"/>
      <c r="E747" s="84"/>
    </row>
    <row r="748" spans="4:5" ht="12.75">
      <c r="D748" s="84"/>
      <c r="E748" s="84"/>
    </row>
    <row r="749" spans="4:5" ht="12.75">
      <c r="D749" s="84"/>
      <c r="E749" s="84"/>
    </row>
    <row r="750" spans="4:5" ht="12.75">
      <c r="D750" s="84"/>
      <c r="E750" s="84"/>
    </row>
    <row r="751" spans="4:5" ht="12.75">
      <c r="D751" s="84"/>
      <c r="E751" s="84"/>
    </row>
    <row r="752" spans="4:5" ht="12.75">
      <c r="D752" s="84"/>
      <c r="E752" s="84"/>
    </row>
    <row r="753" spans="4:5" ht="12.75">
      <c r="D753" s="84"/>
      <c r="E753" s="84"/>
    </row>
    <row r="754" spans="4:5" ht="12.75">
      <c r="D754" s="84"/>
      <c r="E754" s="84"/>
    </row>
    <row r="755" spans="4:5" ht="12.75">
      <c r="D755" s="84"/>
      <c r="E755" s="84"/>
    </row>
    <row r="756" spans="4:5" ht="12.75">
      <c r="D756" s="84"/>
      <c r="E756" s="84"/>
    </row>
    <row r="757" spans="4:5" ht="12.75">
      <c r="D757" s="84"/>
      <c r="E757" s="84"/>
    </row>
    <row r="758" spans="4:5" ht="12.75">
      <c r="D758" s="84"/>
      <c r="E758" s="84"/>
    </row>
    <row r="759" spans="4:5" ht="12.75">
      <c r="D759" s="84"/>
      <c r="E759" s="84"/>
    </row>
    <row r="760" spans="4:5" ht="12.75">
      <c r="D760" s="84"/>
      <c r="E760" s="84"/>
    </row>
    <row r="761" spans="4:5" ht="12.75">
      <c r="D761" s="84"/>
      <c r="E761" s="84"/>
    </row>
    <row r="762" spans="4:5" ht="12.75">
      <c r="D762" s="84"/>
      <c r="E762" s="84"/>
    </row>
    <row r="763" spans="4:5" ht="12.75">
      <c r="D763" s="84"/>
      <c r="E763" s="84"/>
    </row>
    <row r="764" spans="4:5" ht="12.75">
      <c r="D764" s="84"/>
      <c r="E764" s="84"/>
    </row>
    <row r="765" spans="4:5" ht="12.75">
      <c r="D765" s="84"/>
      <c r="E765" s="84"/>
    </row>
    <row r="766" spans="4:5" ht="12.75">
      <c r="D766" s="84"/>
      <c r="E766" s="84"/>
    </row>
    <row r="767" spans="4:5" ht="12.75">
      <c r="D767" s="84"/>
      <c r="E767" s="84"/>
    </row>
    <row r="768" spans="4:5" ht="12.75">
      <c r="D768" s="84"/>
      <c r="E768" s="84"/>
    </row>
    <row r="769" spans="4:5" ht="12.75">
      <c r="D769" s="84"/>
      <c r="E769" s="84"/>
    </row>
    <row r="770" spans="4:5" ht="12.75">
      <c r="D770" s="84"/>
      <c r="E770" s="84"/>
    </row>
    <row r="771" spans="4:5" ht="12.75">
      <c r="D771" s="84"/>
      <c r="E771" s="84"/>
    </row>
    <row r="772" spans="4:5" ht="12.75">
      <c r="D772" s="84"/>
      <c r="E772" s="84"/>
    </row>
    <row r="773" spans="4:5" ht="12.75">
      <c r="D773" s="84"/>
      <c r="E773" s="84"/>
    </row>
    <row r="774" spans="4:5" ht="12.75">
      <c r="D774" s="84"/>
      <c r="E774" s="84"/>
    </row>
    <row r="775" spans="4:5" ht="12.75">
      <c r="D775" s="84"/>
      <c r="E775" s="84"/>
    </row>
    <row r="776" spans="4:5" ht="12.75">
      <c r="D776" s="84"/>
      <c r="E776" s="84"/>
    </row>
    <row r="777" spans="4:5" ht="12.75">
      <c r="D777" s="84"/>
      <c r="E777" s="84"/>
    </row>
    <row r="778" spans="4:5" ht="12.75">
      <c r="D778" s="84"/>
      <c r="E778" s="84"/>
    </row>
    <row r="779" spans="4:5" ht="12.75">
      <c r="D779" s="84"/>
      <c r="E779" s="84"/>
    </row>
    <row r="780" spans="4:5" ht="12.75">
      <c r="D780" s="84"/>
      <c r="E780" s="84"/>
    </row>
    <row r="781" spans="4:5" ht="12.75">
      <c r="D781" s="84"/>
      <c r="E781" s="84"/>
    </row>
    <row r="782" spans="4:5" ht="12.75">
      <c r="D782" s="84"/>
      <c r="E782" s="84"/>
    </row>
    <row r="783" spans="4:5" ht="12.75">
      <c r="D783" s="84"/>
      <c r="E783" s="84"/>
    </row>
    <row r="784" spans="4:5" ht="12.75">
      <c r="D784" s="84"/>
      <c r="E784" s="84"/>
    </row>
    <row r="785" spans="4:5" ht="12.75">
      <c r="D785" s="84"/>
      <c r="E785" s="84"/>
    </row>
    <row r="786" spans="4:5" ht="12.75">
      <c r="D786" s="84"/>
      <c r="E786" s="84"/>
    </row>
    <row r="787" spans="4:5" ht="12.75">
      <c r="D787" s="84"/>
      <c r="E787" s="84"/>
    </row>
    <row r="788" spans="4:5" ht="12.75">
      <c r="D788" s="84"/>
      <c r="E788" s="84"/>
    </row>
    <row r="789" spans="4:5" ht="12.75">
      <c r="D789" s="84"/>
      <c r="E789" s="84"/>
    </row>
    <row r="790" spans="4:5" ht="12.75">
      <c r="D790" s="84"/>
      <c r="E790" s="84"/>
    </row>
    <row r="791" spans="4:5" ht="12.75">
      <c r="D791" s="84"/>
      <c r="E791" s="84"/>
    </row>
    <row r="792" spans="4:5" ht="12.75">
      <c r="D792" s="84"/>
      <c r="E792" s="84"/>
    </row>
    <row r="793" spans="4:5" ht="12.75">
      <c r="D793" s="84"/>
      <c r="E793" s="84"/>
    </row>
    <row r="794" spans="4:5" ht="12.75">
      <c r="D794" s="84"/>
      <c r="E794" s="84"/>
    </row>
    <row r="795" spans="4:5" ht="12.75">
      <c r="D795" s="84"/>
      <c r="E795" s="84"/>
    </row>
    <row r="796" spans="4:5" ht="12.75">
      <c r="D796" s="84"/>
      <c r="E796" s="84"/>
    </row>
    <row r="797" spans="4:5" ht="12.75">
      <c r="D797" s="84"/>
      <c r="E797" s="84"/>
    </row>
    <row r="798" spans="4:5" ht="12.75">
      <c r="D798" s="84"/>
      <c r="E798" s="84"/>
    </row>
    <row r="799" spans="4:5" ht="12.75">
      <c r="D799" s="84"/>
      <c r="E799" s="84"/>
    </row>
    <row r="800" spans="4:5" ht="12.75">
      <c r="D800" s="84"/>
      <c r="E800" s="84"/>
    </row>
    <row r="801" spans="4:5" ht="12.75">
      <c r="D801" s="84"/>
      <c r="E801" s="84"/>
    </row>
    <row r="802" spans="4:5" ht="12.75">
      <c r="D802" s="84"/>
      <c r="E802" s="84"/>
    </row>
    <row r="803" spans="4:5" ht="12.75">
      <c r="D803" s="84"/>
      <c r="E803" s="84"/>
    </row>
    <row r="804" spans="4:5" ht="12.75">
      <c r="D804" s="84"/>
      <c r="E804" s="84"/>
    </row>
    <row r="805" spans="4:5" ht="12.75">
      <c r="D805" s="84"/>
      <c r="E805" s="84"/>
    </row>
    <row r="806" spans="4:5" ht="12.75">
      <c r="D806" s="84"/>
      <c r="E806" s="84"/>
    </row>
    <row r="807" spans="4:5" ht="12.75">
      <c r="D807" s="84"/>
      <c r="E807" s="84"/>
    </row>
    <row r="808" spans="4:5" ht="12.75">
      <c r="D808" s="84"/>
      <c r="E808" s="84"/>
    </row>
    <row r="809" spans="4:5" ht="12.75">
      <c r="D809" s="84"/>
      <c r="E809" s="84"/>
    </row>
    <row r="810" spans="4:5" ht="12.75">
      <c r="D810" s="84"/>
      <c r="E810" s="84"/>
    </row>
    <row r="811" spans="4:5" ht="12.75">
      <c r="D811" s="84"/>
      <c r="E811" s="84"/>
    </row>
    <row r="812" spans="4:5" ht="12.75">
      <c r="D812" s="84"/>
      <c r="E812" s="84"/>
    </row>
    <row r="813" spans="4:5" ht="12.75">
      <c r="D813" s="84"/>
      <c r="E813" s="84"/>
    </row>
    <row r="814" spans="4:5" ht="12.75">
      <c r="D814" s="84"/>
      <c r="E814" s="84"/>
    </row>
    <row r="815" spans="4:5" ht="12.75">
      <c r="D815" s="84"/>
      <c r="E815" s="84"/>
    </row>
    <row r="816" spans="4:5" ht="12.75">
      <c r="D816" s="84"/>
      <c r="E816" s="84"/>
    </row>
    <row r="817" spans="4:5" ht="12.75">
      <c r="D817" s="84"/>
      <c r="E817" s="84"/>
    </row>
    <row r="818" spans="4:5" ht="12.75">
      <c r="D818" s="84"/>
      <c r="E818" s="84"/>
    </row>
    <row r="819" spans="4:5" ht="12.75">
      <c r="D819" s="84"/>
      <c r="E819" s="84"/>
    </row>
    <row r="820" spans="4:5" ht="12.75">
      <c r="D820" s="84"/>
      <c r="E820" s="84"/>
    </row>
    <row r="821" spans="4:5" ht="12.75">
      <c r="D821" s="84"/>
      <c r="E821" s="84"/>
    </row>
    <row r="822" spans="4:5" ht="12.75">
      <c r="D822" s="84"/>
      <c r="E822" s="84"/>
    </row>
    <row r="823" spans="4:5" ht="12.75">
      <c r="D823" s="84"/>
      <c r="E823" s="84"/>
    </row>
    <row r="824" spans="4:5" ht="12.75">
      <c r="D824" s="84"/>
      <c r="E824" s="84"/>
    </row>
    <row r="825" spans="4:5" ht="12.75">
      <c r="D825" s="84"/>
      <c r="E825" s="84"/>
    </row>
    <row r="826" spans="4:5" ht="12.75">
      <c r="D826" s="84"/>
      <c r="E826" s="84"/>
    </row>
    <row r="827" spans="4:5" ht="12.75">
      <c r="D827" s="84"/>
      <c r="E827" s="84"/>
    </row>
    <row r="828" spans="4:5" ht="12.75">
      <c r="D828" s="84"/>
      <c r="E828" s="84"/>
    </row>
  </sheetData>
  <conditionalFormatting sqref="H45:J45 E39:E43 J39:K43 H39:H43 H55:O55 H56:J60 E55:E60 E45 O52:P52 M53">
    <cfRule type="cellIs" priority="1" dxfId="3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r:id="rId2"/>
  <ignoredErrors>
    <ignoredError sqref="K1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4"/>
  <sheetViews>
    <sheetView workbookViewId="0" topLeftCell="A1">
      <selection activeCell="A5" sqref="A5"/>
    </sheetView>
  </sheetViews>
  <sheetFormatPr defaultColWidth="9.140625" defaultRowHeight="12.75"/>
  <cols>
    <col min="1" max="1" width="15.8515625" style="5" customWidth="1"/>
    <col min="2" max="2" width="12.7109375" style="0" customWidth="1"/>
    <col min="3" max="3" width="2.140625" style="0" customWidth="1"/>
    <col min="4" max="4" width="12.28125" style="0" customWidth="1"/>
    <col min="5" max="14" width="9.7109375" style="0" customWidth="1"/>
  </cols>
  <sheetData>
    <row r="1" spans="1:3" ht="12.75">
      <c r="A1" s="48" t="s">
        <v>248</v>
      </c>
      <c r="B1" s="22">
        <f>MIN(B5:B4757)</f>
        <v>0</v>
      </c>
      <c r="C1" s="10" t="s">
        <v>255</v>
      </c>
    </row>
    <row r="2" spans="1:9" ht="12.75">
      <c r="A2" s="48" t="s">
        <v>249</v>
      </c>
      <c r="B2" s="86" t="e">
        <f>MATCH(B1,B5:B4757,0)</f>
        <v>#N/A</v>
      </c>
      <c r="D2" s="86" t="s">
        <v>254</v>
      </c>
      <c r="E2" s="86" t="s">
        <v>254</v>
      </c>
      <c r="F2" s="86" t="s">
        <v>254</v>
      </c>
      <c r="G2" s="86" t="s">
        <v>254</v>
      </c>
      <c r="H2" s="86" t="s">
        <v>254</v>
      </c>
      <c r="I2" s="86" t="s">
        <v>254</v>
      </c>
    </row>
    <row r="3" spans="1:13" ht="12.75">
      <c r="A3" s="80"/>
      <c r="B3" s="17"/>
      <c r="C3" s="17"/>
      <c r="D3" s="20" t="s">
        <v>208</v>
      </c>
      <c r="F3" s="1" t="s">
        <v>209</v>
      </c>
      <c r="H3" s="21" t="s">
        <v>208</v>
      </c>
      <c r="I3" s="20" t="s">
        <v>208</v>
      </c>
      <c r="K3" s="1" t="s">
        <v>0</v>
      </c>
      <c r="M3" s="21" t="s">
        <v>208</v>
      </c>
    </row>
    <row r="4" spans="1:13" ht="12.75">
      <c r="A4" s="4" t="s">
        <v>237</v>
      </c>
      <c r="B4" s="18" t="s">
        <v>281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</row>
  </sheetData>
  <printOptions/>
  <pageMargins left="0.75" right="0.75" top="1" bottom="1" header="0.5" footer="0.5"/>
  <pageSetup horizontalDpi="600" verticalDpi="600" orientation="portrait" r:id="rId1"/>
  <ignoredErrors>
    <ignoredError sqref="B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C133"/>
  <sheetViews>
    <sheetView tabSelected="1" workbookViewId="0" topLeftCell="A9">
      <selection activeCell="K124" sqref="K124"/>
    </sheetView>
  </sheetViews>
  <sheetFormatPr defaultColWidth="9.140625" defaultRowHeight="12.75"/>
  <cols>
    <col min="1" max="1" width="6.7109375" style="0" customWidth="1"/>
    <col min="2" max="2" width="12.421875" style="0" bestFit="1" customWidth="1"/>
    <col min="3" max="3" width="10.140625" style="0" customWidth="1"/>
    <col min="5" max="5" width="14.28125" style="0" customWidth="1"/>
    <col min="6" max="6" width="4.57421875" style="0" customWidth="1"/>
    <col min="7" max="7" width="10.7109375" style="5" customWidth="1"/>
    <col min="8" max="8" width="2.7109375" style="5" customWidth="1"/>
    <col min="9" max="9" width="11.57421875" style="5" customWidth="1"/>
    <col min="10" max="10" width="10.7109375" style="5" customWidth="1"/>
    <col min="11" max="11" width="13.7109375" style="5" customWidth="1"/>
    <col min="12" max="12" width="12.7109375" style="5" customWidth="1"/>
    <col min="13" max="13" width="12.28125" style="5" customWidth="1"/>
    <col min="14" max="14" width="10.7109375" style="5" customWidth="1"/>
    <col min="15" max="15" width="11.00390625" style="0" customWidth="1"/>
    <col min="16" max="16" width="8.7109375" style="0" customWidth="1"/>
    <col min="17" max="17" width="9.7109375" style="0" customWidth="1"/>
    <col min="18" max="18" width="1.57421875" style="0" customWidth="1"/>
    <col min="19" max="19" width="7.7109375" style="0" customWidth="1"/>
    <col min="21" max="21" width="8.8515625" style="0" customWidth="1"/>
    <col min="22" max="22" width="10.28125" style="0" customWidth="1"/>
    <col min="23" max="23" width="9.57421875" style="0" customWidth="1"/>
    <col min="24" max="28" width="9.7109375" style="0" customWidth="1"/>
    <col min="29" max="29" width="1.57421875" style="0" customWidth="1"/>
  </cols>
  <sheetData>
    <row r="1" spans="13:29" ht="13.5" thickTop="1">
      <c r="M1" s="59"/>
      <c r="N1" s="60"/>
      <c r="O1" s="61"/>
      <c r="P1" s="60"/>
      <c r="Q1" s="60"/>
      <c r="R1" s="62"/>
      <c r="S1" s="60"/>
      <c r="T1" s="61"/>
      <c r="U1" s="61"/>
      <c r="V1" s="61"/>
      <c r="W1" s="61"/>
      <c r="X1" s="61"/>
      <c r="Y1" s="61"/>
      <c r="Z1" s="61"/>
      <c r="AA1" s="61"/>
      <c r="AB1" s="61"/>
      <c r="AC1" s="63"/>
    </row>
    <row r="2" spans="1:29" ht="12.75">
      <c r="A2" s="22" t="str">
        <f>VZ!A1</f>
        <v>Verizon WA  (WUTC Docket No. UT-023003)</v>
      </c>
      <c r="M2" s="64"/>
      <c r="N2" s="26"/>
      <c r="O2" s="12"/>
      <c r="P2" s="38"/>
      <c r="Q2" s="12"/>
      <c r="R2" s="38"/>
      <c r="S2" s="51" t="s">
        <v>208</v>
      </c>
      <c r="T2" s="12"/>
      <c r="U2" s="52" t="s">
        <v>209</v>
      </c>
      <c r="V2" s="12"/>
      <c r="W2" s="53" t="s">
        <v>208</v>
      </c>
      <c r="X2" s="51" t="s">
        <v>208</v>
      </c>
      <c r="Y2" s="12"/>
      <c r="Z2" s="52" t="s">
        <v>0</v>
      </c>
      <c r="AA2" s="12"/>
      <c r="AB2" s="53" t="s">
        <v>208</v>
      </c>
      <c r="AC2" s="65"/>
    </row>
    <row r="3" spans="1:29" ht="12.75">
      <c r="A3" s="22" t="str">
        <f>VZ!A2</f>
        <v>Lines and  Cost per Line underlying Deaveraging Attachments in Supplemental Testimony</v>
      </c>
      <c r="M3" s="64"/>
      <c r="N3" s="26"/>
      <c r="O3" s="12"/>
      <c r="P3" s="18" t="s">
        <v>237</v>
      </c>
      <c r="Q3" s="18" t="s">
        <v>281</v>
      </c>
      <c r="S3" s="18">
        <v>1</v>
      </c>
      <c r="T3" s="18">
        <v>2</v>
      </c>
      <c r="U3" s="18">
        <v>3</v>
      </c>
      <c r="V3" s="18">
        <v>4</v>
      </c>
      <c r="W3" s="18">
        <v>5</v>
      </c>
      <c r="X3" s="18">
        <v>1</v>
      </c>
      <c r="Y3" s="18">
        <v>2</v>
      </c>
      <c r="Z3" s="18">
        <v>3</v>
      </c>
      <c r="AA3" s="18">
        <v>4</v>
      </c>
      <c r="AB3" s="18">
        <v>5</v>
      </c>
      <c r="AC3" s="65"/>
    </row>
    <row r="4" spans="13:29" ht="13.5" thickBot="1">
      <c r="M4" s="64"/>
      <c r="N4" s="26"/>
      <c r="O4" s="54" t="s">
        <v>210</v>
      </c>
      <c r="P4" s="72">
        <f>Inputs!C22</f>
        <v>2382355</v>
      </c>
      <c r="Q4" s="55">
        <f>K126</f>
        <v>2.489717661467283</v>
      </c>
      <c r="S4" s="56">
        <f>G125</f>
        <v>8.54843200452489</v>
      </c>
      <c r="T4" s="56">
        <f>G126</f>
        <v>14.634127533497445</v>
      </c>
      <c r="U4" s="56">
        <f>G127</f>
        <v>28.548123017084862</v>
      </c>
      <c r="V4" s="57">
        <f>G128</f>
        <v>48.989615759515814</v>
      </c>
      <c r="W4" s="57">
        <f>G129</f>
        <v>82.82979215946077</v>
      </c>
      <c r="X4" s="58">
        <f>G117</f>
        <v>700447</v>
      </c>
      <c r="Y4" s="58">
        <f>G118</f>
        <v>226175</v>
      </c>
      <c r="Z4" s="58">
        <f>G119</f>
        <v>51870</v>
      </c>
      <c r="AA4" s="58">
        <f>G120</f>
        <v>15275</v>
      </c>
      <c r="AB4" s="58">
        <f>G121</f>
        <v>7162</v>
      </c>
      <c r="AC4" s="65"/>
    </row>
    <row r="5" spans="7:29" ht="13.5" thickTop="1">
      <c r="G5" s="127" t="s">
        <v>309</v>
      </c>
      <c r="H5" s="128"/>
      <c r="I5" s="128"/>
      <c r="J5" s="128"/>
      <c r="K5" s="63"/>
      <c r="M5" s="64"/>
      <c r="N5" s="2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5"/>
    </row>
    <row r="6" spans="7:29" ht="12.75">
      <c r="G6" s="124" t="s">
        <v>307</v>
      </c>
      <c r="H6" s="47"/>
      <c r="I6" s="47"/>
      <c r="J6" s="47"/>
      <c r="K6" s="65"/>
      <c r="M6" s="64"/>
      <c r="N6" s="2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65"/>
    </row>
    <row r="7" spans="7:29" ht="13.5" thickBot="1">
      <c r="G7" s="125" t="s">
        <v>308</v>
      </c>
      <c r="H7" s="126"/>
      <c r="I7" s="126"/>
      <c r="J7" s="126"/>
      <c r="K7" s="69"/>
      <c r="M7" s="66"/>
      <c r="N7" s="67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9"/>
    </row>
    <row r="8" ht="13.5" thickTop="1"/>
    <row r="9" ht="12.75">
      <c r="K9" s="4" t="s">
        <v>211</v>
      </c>
    </row>
    <row r="10" spans="5:14" ht="12.75">
      <c r="E10" s="13" t="s">
        <v>221</v>
      </c>
      <c r="G10" s="13" t="s">
        <v>99</v>
      </c>
      <c r="H10" s="4"/>
      <c r="I10" s="4" t="s">
        <v>99</v>
      </c>
      <c r="K10" s="4" t="s">
        <v>212</v>
      </c>
      <c r="M10" s="4"/>
      <c r="N10" s="4"/>
    </row>
    <row r="11" spans="2:14" ht="12.75">
      <c r="B11" s="4" t="s">
        <v>204</v>
      </c>
      <c r="C11" s="13" t="s">
        <v>0</v>
      </c>
      <c r="D11" s="14" t="s">
        <v>205</v>
      </c>
      <c r="E11" s="14" t="s">
        <v>205</v>
      </c>
      <c r="G11" s="13" t="s">
        <v>213</v>
      </c>
      <c r="H11" s="4"/>
      <c r="I11" s="4" t="s">
        <v>214</v>
      </c>
      <c r="J11" s="4" t="s">
        <v>215</v>
      </c>
      <c r="K11" s="4" t="s">
        <v>215</v>
      </c>
      <c r="M11" s="4"/>
      <c r="N11" s="4"/>
    </row>
    <row r="12" spans="1:14" ht="12.75">
      <c r="A12">
        <v>1</v>
      </c>
      <c r="B12" s="145" t="s">
        <v>6</v>
      </c>
      <c r="C12" s="146">
        <v>19019</v>
      </c>
      <c r="D12" s="11">
        <v>6.460010102321802</v>
      </c>
      <c r="E12" s="3">
        <f>C12*D12</f>
        <v>122862.93213605836</v>
      </c>
      <c r="G12" s="19">
        <f>Inputs!C25</f>
        <v>1</v>
      </c>
      <c r="H12" s="4"/>
      <c r="I12" s="23">
        <f>CHOOSE(G12,$G$125,$G$126,$G$127,$G$128,$G$129)</f>
        <v>8.54843200452489</v>
      </c>
      <c r="J12" s="23">
        <f aca="true" t="shared" si="0" ref="J12:J43">(D12-I12)</f>
        <v>-2.0884219022030885</v>
      </c>
      <c r="K12" s="24">
        <f aca="true" t="shared" si="1" ref="K12:K43">J12*J12*C12</f>
        <v>82951.4834052202</v>
      </c>
      <c r="M12" s="4"/>
      <c r="N12" s="4"/>
    </row>
    <row r="13" spans="1:14" ht="12.75">
      <c r="A13">
        <v>2</v>
      </c>
      <c r="B13" s="145" t="s">
        <v>2</v>
      </c>
      <c r="C13" s="146">
        <v>35419</v>
      </c>
      <c r="D13" s="11">
        <v>6.639201011913875</v>
      </c>
      <c r="E13" s="3">
        <f aca="true" t="shared" si="2" ref="E13:E76">C13*D13</f>
        <v>235153.86064097754</v>
      </c>
      <c r="G13" s="19">
        <f>Inputs!C26</f>
        <v>1</v>
      </c>
      <c r="H13" s="19"/>
      <c r="I13" s="23">
        <f aca="true" t="shared" si="3" ref="I13:I76">CHOOSE(G13,$G$125,$G$126,$G$127,$G$128,$G$129)</f>
        <v>8.54843200452489</v>
      </c>
      <c r="J13" s="23">
        <f t="shared" si="0"/>
        <v>-1.9092309926110156</v>
      </c>
      <c r="K13" s="24">
        <f t="shared" si="1"/>
        <v>129108.02770006389</v>
      </c>
      <c r="M13" s="19"/>
      <c r="N13" s="19"/>
    </row>
    <row r="14" spans="1:11" ht="12.75">
      <c r="A14">
        <v>3</v>
      </c>
      <c r="B14" s="145" t="s">
        <v>12</v>
      </c>
      <c r="C14" s="146">
        <v>36217</v>
      </c>
      <c r="D14" s="11">
        <v>7.138282499164808</v>
      </c>
      <c r="E14" s="3">
        <f t="shared" si="2"/>
        <v>258527.17727225187</v>
      </c>
      <c r="G14" s="19">
        <f>Inputs!C27</f>
        <v>1</v>
      </c>
      <c r="I14" s="23">
        <f t="shared" si="3"/>
        <v>8.54843200452489</v>
      </c>
      <c r="J14" s="23">
        <f t="shared" si="0"/>
        <v>-1.4101495053600823</v>
      </c>
      <c r="K14" s="24">
        <f t="shared" si="1"/>
        <v>72018.28778198265</v>
      </c>
    </row>
    <row r="15" spans="1:11" ht="12.75">
      <c r="A15">
        <v>4</v>
      </c>
      <c r="B15" s="145" t="s">
        <v>11</v>
      </c>
      <c r="C15" s="146">
        <v>62274</v>
      </c>
      <c r="D15" s="11">
        <v>7.153029285466288</v>
      </c>
      <c r="E15" s="3">
        <f t="shared" si="2"/>
        <v>445447.7457231276</v>
      </c>
      <c r="G15" s="19">
        <f>Inputs!C28</f>
        <v>1</v>
      </c>
      <c r="I15" s="23">
        <f t="shared" si="3"/>
        <v>8.54843200452489</v>
      </c>
      <c r="J15" s="23">
        <f t="shared" si="0"/>
        <v>-1.3954027190586027</v>
      </c>
      <c r="K15" s="24">
        <f t="shared" si="1"/>
        <v>121256.74115513037</v>
      </c>
    </row>
    <row r="16" spans="1:11" ht="12.75">
      <c r="A16">
        <v>5</v>
      </c>
      <c r="B16" s="145" t="s">
        <v>3</v>
      </c>
      <c r="C16" s="146">
        <v>16930</v>
      </c>
      <c r="D16" s="11">
        <v>7.395881856852848</v>
      </c>
      <c r="E16" s="3">
        <f t="shared" si="2"/>
        <v>125212.27983651872</v>
      </c>
      <c r="G16" s="19">
        <f>Inputs!C29</f>
        <v>1</v>
      </c>
      <c r="I16" s="23">
        <f t="shared" si="3"/>
        <v>8.54843200452489</v>
      </c>
      <c r="J16" s="23">
        <f t="shared" si="0"/>
        <v>-1.1525501476720423</v>
      </c>
      <c r="K16" s="24">
        <f t="shared" si="1"/>
        <v>22489.335300277475</v>
      </c>
    </row>
    <row r="17" spans="1:11" ht="12.75">
      <c r="A17">
        <v>6</v>
      </c>
      <c r="B17" s="145" t="s">
        <v>10</v>
      </c>
      <c r="C17" s="146">
        <v>68483</v>
      </c>
      <c r="D17" s="11">
        <v>7.424770193906922</v>
      </c>
      <c r="E17" s="3">
        <f t="shared" si="2"/>
        <v>508470.53718932776</v>
      </c>
      <c r="G17" s="19">
        <f>Inputs!C30</f>
        <v>1</v>
      </c>
      <c r="I17" s="23">
        <f t="shared" si="3"/>
        <v>8.54843200452489</v>
      </c>
      <c r="J17" s="23">
        <f t="shared" si="0"/>
        <v>-1.1236618106179685</v>
      </c>
      <c r="K17" s="24">
        <f t="shared" si="1"/>
        <v>86467.72225822682</v>
      </c>
    </row>
    <row r="18" spans="1:11" ht="12.75">
      <c r="A18">
        <v>7</v>
      </c>
      <c r="B18" s="145" t="s">
        <v>9</v>
      </c>
      <c r="C18" s="146">
        <v>29558</v>
      </c>
      <c r="D18" s="11">
        <v>7.735389395078517</v>
      </c>
      <c r="E18" s="3">
        <f t="shared" si="2"/>
        <v>228642.6397397308</v>
      </c>
      <c r="G18" s="19">
        <f>Inputs!C31</f>
        <v>1</v>
      </c>
      <c r="I18" s="23">
        <f t="shared" si="3"/>
        <v>8.54843200452489</v>
      </c>
      <c r="J18" s="23">
        <f t="shared" si="0"/>
        <v>-0.8130426094463736</v>
      </c>
      <c r="K18" s="24">
        <f t="shared" si="1"/>
        <v>19538.96962139034</v>
      </c>
    </row>
    <row r="19" spans="1:11" ht="12.75">
      <c r="A19">
        <v>8</v>
      </c>
      <c r="B19" s="145" t="s">
        <v>7</v>
      </c>
      <c r="C19" s="146">
        <v>54867</v>
      </c>
      <c r="D19" s="11">
        <v>7.94771055557204</v>
      </c>
      <c r="E19" s="3">
        <f t="shared" si="2"/>
        <v>436067.0350525711</v>
      </c>
      <c r="G19" s="19">
        <f>Inputs!C32</f>
        <v>1</v>
      </c>
      <c r="I19" s="23">
        <f t="shared" si="3"/>
        <v>8.54843200452489</v>
      </c>
      <c r="J19" s="23">
        <f t="shared" si="0"/>
        <v>-0.600721448952851</v>
      </c>
      <c r="K19" s="24">
        <f t="shared" si="1"/>
        <v>19799.64904528284</v>
      </c>
    </row>
    <row r="20" spans="1:11" ht="12.75">
      <c r="A20">
        <v>9</v>
      </c>
      <c r="B20" s="145" t="s">
        <v>8</v>
      </c>
      <c r="C20" s="146">
        <v>30880</v>
      </c>
      <c r="D20" s="11">
        <v>8.225901165701787</v>
      </c>
      <c r="E20" s="3">
        <f t="shared" si="2"/>
        <v>254015.82799687117</v>
      </c>
      <c r="G20" s="19">
        <f>Inputs!C33</f>
        <v>1</v>
      </c>
      <c r="I20" s="23">
        <f t="shared" si="3"/>
        <v>8.54843200452489</v>
      </c>
      <c r="J20" s="23">
        <f t="shared" si="0"/>
        <v>-0.32253083882310385</v>
      </c>
      <c r="K20" s="24">
        <f t="shared" si="1"/>
        <v>3212.3272647109525</v>
      </c>
    </row>
    <row r="21" spans="1:11" ht="12.75">
      <c r="A21">
        <v>10</v>
      </c>
      <c r="B21" s="145" t="s">
        <v>17</v>
      </c>
      <c r="C21" s="146">
        <v>74831</v>
      </c>
      <c r="D21" s="11">
        <v>8.424752668118034</v>
      </c>
      <c r="E21" s="3">
        <f t="shared" si="2"/>
        <v>630432.6669079405</v>
      </c>
      <c r="G21" s="19">
        <f>Inputs!C34</f>
        <v>1</v>
      </c>
      <c r="I21" s="23">
        <f t="shared" si="3"/>
        <v>8.54843200452489</v>
      </c>
      <c r="J21" s="23">
        <f t="shared" si="0"/>
        <v>-0.12367933640685713</v>
      </c>
      <c r="K21" s="24">
        <f t="shared" si="1"/>
        <v>1144.6582473281073</v>
      </c>
    </row>
    <row r="22" spans="1:11" ht="12.75">
      <c r="A22">
        <v>11</v>
      </c>
      <c r="B22" s="145" t="s">
        <v>5</v>
      </c>
      <c r="C22" s="146">
        <v>32851</v>
      </c>
      <c r="D22" s="11">
        <v>8.531192792177658</v>
      </c>
      <c r="E22" s="3">
        <f t="shared" si="2"/>
        <v>280258.21441582823</v>
      </c>
      <c r="G22" s="19">
        <f>Inputs!C35</f>
        <v>1</v>
      </c>
      <c r="I22" s="23">
        <f t="shared" si="3"/>
        <v>8.54843200452489</v>
      </c>
      <c r="J22" s="23">
        <f t="shared" si="0"/>
        <v>-0.017239212347233135</v>
      </c>
      <c r="K22" s="24">
        <f t="shared" si="1"/>
        <v>9.763003221738252</v>
      </c>
    </row>
    <row r="23" spans="1:11" ht="12.75">
      <c r="A23">
        <v>12</v>
      </c>
      <c r="B23" s="145" t="s">
        <v>21</v>
      </c>
      <c r="C23" s="146">
        <v>21737</v>
      </c>
      <c r="D23" s="11">
        <v>8.894023832970332</v>
      </c>
      <c r="E23" s="3">
        <f t="shared" si="2"/>
        <v>193329.39605727608</v>
      </c>
      <c r="G23" s="19">
        <f>Inputs!C36</f>
        <v>1</v>
      </c>
      <c r="I23" s="23">
        <f t="shared" si="3"/>
        <v>8.54843200452489</v>
      </c>
      <c r="J23" s="23">
        <f t="shared" si="0"/>
        <v>0.3455918284454409</v>
      </c>
      <c r="K23" s="24">
        <f t="shared" si="1"/>
        <v>2596.130595315174</v>
      </c>
    </row>
    <row r="24" spans="1:11" ht="12.75">
      <c r="A24">
        <v>13</v>
      </c>
      <c r="B24" s="145" t="s">
        <v>14</v>
      </c>
      <c r="C24" s="146">
        <v>36470</v>
      </c>
      <c r="D24" s="11">
        <v>9.2145693657786</v>
      </c>
      <c r="E24" s="3">
        <f t="shared" si="2"/>
        <v>336055.34476994554</v>
      </c>
      <c r="G24" s="19">
        <f>Inputs!C37</f>
        <v>1</v>
      </c>
      <c r="I24" s="23">
        <f t="shared" si="3"/>
        <v>8.54843200452489</v>
      </c>
      <c r="J24" s="23">
        <f t="shared" si="0"/>
        <v>0.6661373612537087</v>
      </c>
      <c r="K24" s="24">
        <f t="shared" si="1"/>
        <v>16183.160748597229</v>
      </c>
    </row>
    <row r="25" spans="1:11" ht="12.75">
      <c r="A25">
        <v>14</v>
      </c>
      <c r="B25" s="145" t="s">
        <v>15</v>
      </c>
      <c r="C25" s="146">
        <v>2588</v>
      </c>
      <c r="D25" s="11">
        <v>10.213101760286051</v>
      </c>
      <c r="E25" s="3">
        <f t="shared" si="2"/>
        <v>26431.5073556203</v>
      </c>
      <c r="G25" s="19">
        <f>Inputs!C38</f>
        <v>1</v>
      </c>
      <c r="I25" s="23">
        <f t="shared" si="3"/>
        <v>8.54843200452489</v>
      </c>
      <c r="J25" s="23">
        <f t="shared" si="0"/>
        <v>1.6646697557611603</v>
      </c>
      <c r="K25" s="24">
        <f t="shared" si="1"/>
        <v>7171.672524190443</v>
      </c>
    </row>
    <row r="26" spans="1:11" ht="12.75">
      <c r="A26">
        <v>15</v>
      </c>
      <c r="B26" s="145" t="s">
        <v>27</v>
      </c>
      <c r="C26" s="146">
        <v>16889</v>
      </c>
      <c r="D26" s="11">
        <v>10.43380747799606</v>
      </c>
      <c r="E26" s="3">
        <f t="shared" si="2"/>
        <v>176216.57449587545</v>
      </c>
      <c r="G26" s="19">
        <f>Inputs!C39</f>
        <v>1</v>
      </c>
      <c r="I26" s="23">
        <f t="shared" si="3"/>
        <v>8.54843200452489</v>
      </c>
      <c r="J26" s="23">
        <f t="shared" si="0"/>
        <v>1.8853754734711696</v>
      </c>
      <c r="K26" s="24">
        <f t="shared" si="1"/>
        <v>60034.32637640053</v>
      </c>
    </row>
    <row r="27" spans="1:11" ht="12.75">
      <c r="A27">
        <v>16</v>
      </c>
      <c r="B27" s="145" t="s">
        <v>13</v>
      </c>
      <c r="C27" s="146">
        <v>25919</v>
      </c>
      <c r="D27" s="11">
        <v>10.453334253393844</v>
      </c>
      <c r="E27" s="3">
        <f t="shared" si="2"/>
        <v>270939.97051371506</v>
      </c>
      <c r="G27" s="19">
        <f>Inputs!C40</f>
        <v>1</v>
      </c>
      <c r="I27" s="23">
        <f t="shared" si="3"/>
        <v>8.54843200452489</v>
      </c>
      <c r="J27" s="23">
        <f t="shared" si="0"/>
        <v>1.9049022488689538</v>
      </c>
      <c r="K27" s="24">
        <f t="shared" si="1"/>
        <v>94051.0461625985</v>
      </c>
    </row>
    <row r="28" spans="1:11" ht="12.75">
      <c r="A28">
        <v>17</v>
      </c>
      <c r="B28" s="145" t="s">
        <v>20</v>
      </c>
      <c r="C28" s="146">
        <v>23002</v>
      </c>
      <c r="D28" s="11">
        <v>10.459880135003372</v>
      </c>
      <c r="E28" s="3">
        <f t="shared" si="2"/>
        <v>240598.16286534758</v>
      </c>
      <c r="G28" s="19">
        <f>Inputs!C41</f>
        <v>1</v>
      </c>
      <c r="I28" s="23">
        <f t="shared" si="3"/>
        <v>8.54843200452489</v>
      </c>
      <c r="J28" s="23">
        <f t="shared" si="0"/>
        <v>1.9114481304784814</v>
      </c>
      <c r="K28" s="24">
        <f t="shared" si="1"/>
        <v>84040.8882446337</v>
      </c>
    </row>
    <row r="29" spans="1:11" ht="12.75">
      <c r="A29">
        <v>18</v>
      </c>
      <c r="B29" s="145" t="s">
        <v>25</v>
      </c>
      <c r="C29" s="146">
        <v>22328</v>
      </c>
      <c r="D29" s="11">
        <v>10.500402519730093</v>
      </c>
      <c r="E29" s="3">
        <f t="shared" si="2"/>
        <v>234452.9874605335</v>
      </c>
      <c r="G29" s="19">
        <f>Inputs!C42</f>
        <v>1</v>
      </c>
      <c r="I29" s="23">
        <f t="shared" si="3"/>
        <v>8.54843200452489</v>
      </c>
      <c r="J29" s="23">
        <f t="shared" si="0"/>
        <v>1.9519705152052023</v>
      </c>
      <c r="K29" s="24">
        <f t="shared" si="1"/>
        <v>85073.89758572177</v>
      </c>
    </row>
    <row r="30" spans="1:11" ht="12.75">
      <c r="A30">
        <v>19</v>
      </c>
      <c r="B30" s="145" t="s">
        <v>23</v>
      </c>
      <c r="C30" s="146">
        <v>22923</v>
      </c>
      <c r="D30" s="11">
        <v>10.524583384492827</v>
      </c>
      <c r="E30" s="3">
        <f t="shared" si="2"/>
        <v>241255.02492272906</v>
      </c>
      <c r="G30" s="19">
        <f>Inputs!C43</f>
        <v>1</v>
      </c>
      <c r="I30" s="23">
        <f t="shared" si="3"/>
        <v>8.54843200452489</v>
      </c>
      <c r="J30" s="23">
        <f t="shared" si="0"/>
        <v>1.976151379967936</v>
      </c>
      <c r="K30" s="24">
        <f t="shared" si="1"/>
        <v>89518.3099413368</v>
      </c>
    </row>
    <row r="31" spans="1:11" ht="12.75">
      <c r="A31">
        <v>20</v>
      </c>
      <c r="B31" s="145" t="s">
        <v>19</v>
      </c>
      <c r="C31" s="147">
        <v>14844</v>
      </c>
      <c r="D31" s="11">
        <v>10.768036831917078</v>
      </c>
      <c r="E31" s="3">
        <f t="shared" si="2"/>
        <v>159840.7387329771</v>
      </c>
      <c r="G31" s="19">
        <f>Inputs!C44</f>
        <v>1</v>
      </c>
      <c r="I31" s="23">
        <f t="shared" si="3"/>
        <v>8.54843200452489</v>
      </c>
      <c r="J31" s="23">
        <f t="shared" si="0"/>
        <v>2.219604827392187</v>
      </c>
      <c r="K31" s="24">
        <f t="shared" si="1"/>
        <v>73131.1271347344</v>
      </c>
    </row>
    <row r="32" spans="1:11" ht="12.75">
      <c r="A32">
        <v>21</v>
      </c>
      <c r="B32" s="145" t="s">
        <v>16</v>
      </c>
      <c r="C32" s="146">
        <v>26853</v>
      </c>
      <c r="D32" s="11">
        <v>10.952630037979072</v>
      </c>
      <c r="E32" s="3">
        <f t="shared" si="2"/>
        <v>294110.974409852</v>
      </c>
      <c r="G32" s="19">
        <f>Inputs!C45</f>
        <v>1</v>
      </c>
      <c r="I32" s="23">
        <f t="shared" si="3"/>
        <v>8.54843200452489</v>
      </c>
      <c r="J32" s="23">
        <f t="shared" si="0"/>
        <v>2.404198033454181</v>
      </c>
      <c r="K32" s="24">
        <f t="shared" si="1"/>
        <v>155214.85624669612</v>
      </c>
    </row>
    <row r="33" spans="1:11" ht="12.75">
      <c r="A33">
        <v>22</v>
      </c>
      <c r="B33" s="145" t="s">
        <v>356</v>
      </c>
      <c r="C33" s="146">
        <v>10015</v>
      </c>
      <c r="D33" s="11">
        <v>11.106450970737557</v>
      </c>
      <c r="E33" s="3">
        <f t="shared" si="2"/>
        <v>111231.10647193663</v>
      </c>
      <c r="G33" s="19">
        <f>Inputs!C46</f>
        <v>1</v>
      </c>
      <c r="I33" s="23">
        <f t="shared" si="3"/>
        <v>8.54843200452489</v>
      </c>
      <c r="J33" s="23">
        <f t="shared" si="0"/>
        <v>2.558018966212666</v>
      </c>
      <c r="K33" s="24">
        <f t="shared" si="1"/>
        <v>65532.762230509725</v>
      </c>
    </row>
    <row r="34" spans="1:11" ht="12.75">
      <c r="A34">
        <v>23</v>
      </c>
      <c r="B34" s="145" t="s">
        <v>24</v>
      </c>
      <c r="C34" s="146">
        <v>15550</v>
      </c>
      <c r="D34" s="11">
        <v>11.45793230266468</v>
      </c>
      <c r="E34" s="3">
        <f t="shared" si="2"/>
        <v>178170.84730643578</v>
      </c>
      <c r="G34" s="19">
        <f>Inputs!C47</f>
        <v>1</v>
      </c>
      <c r="I34" s="23">
        <f t="shared" si="3"/>
        <v>8.54843200452489</v>
      </c>
      <c r="J34" s="23">
        <f t="shared" si="0"/>
        <v>2.9095002981397897</v>
      </c>
      <c r="K34" s="24">
        <f t="shared" si="1"/>
        <v>131633.73536481443</v>
      </c>
    </row>
    <row r="35" spans="1:11" ht="12.75">
      <c r="A35">
        <v>24</v>
      </c>
      <c r="B35" s="145" t="s">
        <v>37</v>
      </c>
      <c r="C35" s="146">
        <v>4095</v>
      </c>
      <c r="D35" s="11">
        <v>11.948875809337189</v>
      </c>
      <c r="E35" s="3">
        <f t="shared" si="2"/>
        <v>48930.64643923579</v>
      </c>
      <c r="G35" s="19">
        <f>Inputs!C48</f>
        <v>2</v>
      </c>
      <c r="I35" s="23">
        <f t="shared" si="3"/>
        <v>14.634127533497445</v>
      </c>
      <c r="J35" s="23">
        <f t="shared" si="0"/>
        <v>-2.6852517241602563</v>
      </c>
      <c r="K35" s="24">
        <f t="shared" si="1"/>
        <v>29527.31208652255</v>
      </c>
    </row>
    <row r="36" spans="1:11" ht="12.75">
      <c r="A36">
        <v>25</v>
      </c>
      <c r="B36" s="145" t="s">
        <v>26</v>
      </c>
      <c r="C36" s="146">
        <v>4887</v>
      </c>
      <c r="D36" s="11">
        <v>12.490154953448922</v>
      </c>
      <c r="E36" s="3">
        <f t="shared" si="2"/>
        <v>61039.38725750488</v>
      </c>
      <c r="G36" s="19">
        <f>Inputs!C49</f>
        <v>2</v>
      </c>
      <c r="I36" s="23">
        <f t="shared" si="3"/>
        <v>14.634127533497445</v>
      </c>
      <c r="J36" s="23">
        <f t="shared" si="0"/>
        <v>-2.1439725800485228</v>
      </c>
      <c r="K36" s="24">
        <f t="shared" si="1"/>
        <v>22463.674238087606</v>
      </c>
    </row>
    <row r="37" spans="1:11" ht="12.75">
      <c r="A37">
        <v>26</v>
      </c>
      <c r="B37" s="145" t="s">
        <v>35</v>
      </c>
      <c r="C37" s="146">
        <v>6961</v>
      </c>
      <c r="D37" s="11">
        <v>12.571366179725125</v>
      </c>
      <c r="E37" s="3">
        <f t="shared" si="2"/>
        <v>87509.27997706659</v>
      </c>
      <c r="G37" s="19">
        <f>Inputs!C50</f>
        <v>2</v>
      </c>
      <c r="I37" s="23">
        <f t="shared" si="3"/>
        <v>14.634127533497445</v>
      </c>
      <c r="J37" s="23">
        <f t="shared" si="0"/>
        <v>-2.06276135377232</v>
      </c>
      <c r="K37" s="24">
        <f t="shared" si="1"/>
        <v>29618.94642661425</v>
      </c>
    </row>
    <row r="38" spans="1:11" ht="12.75">
      <c r="A38">
        <v>27</v>
      </c>
      <c r="B38" s="145" t="s">
        <v>38</v>
      </c>
      <c r="C38" s="146">
        <v>10047</v>
      </c>
      <c r="D38" s="11">
        <v>12.70800521916165</v>
      </c>
      <c r="E38" s="3">
        <f t="shared" si="2"/>
        <v>127677.3284369171</v>
      </c>
      <c r="G38" s="19">
        <f>Inputs!C51</f>
        <v>2</v>
      </c>
      <c r="I38" s="23">
        <f t="shared" si="3"/>
        <v>14.634127533497445</v>
      </c>
      <c r="J38" s="23">
        <f t="shared" si="0"/>
        <v>-1.9261223143357942</v>
      </c>
      <c r="K38" s="24">
        <f t="shared" si="1"/>
        <v>37273.83921480252</v>
      </c>
    </row>
    <row r="39" spans="1:11" ht="12.75">
      <c r="A39">
        <v>28</v>
      </c>
      <c r="B39" s="145" t="s">
        <v>28</v>
      </c>
      <c r="C39" s="146">
        <v>15622</v>
      </c>
      <c r="D39" s="11">
        <v>12.963149484942774</v>
      </c>
      <c r="E39" s="3">
        <f t="shared" si="2"/>
        <v>202510.321253776</v>
      </c>
      <c r="G39" s="19">
        <f>Inputs!C52</f>
        <v>2</v>
      </c>
      <c r="I39" s="23">
        <f t="shared" si="3"/>
        <v>14.634127533497445</v>
      </c>
      <c r="J39" s="23">
        <f t="shared" si="0"/>
        <v>-1.6709780485546712</v>
      </c>
      <c r="K39" s="24">
        <f t="shared" si="1"/>
        <v>43619.24285257715</v>
      </c>
    </row>
    <row r="40" spans="1:11" ht="12.75">
      <c r="A40">
        <v>29</v>
      </c>
      <c r="B40" s="145" t="s">
        <v>31</v>
      </c>
      <c r="C40" s="146">
        <v>14551</v>
      </c>
      <c r="D40" s="11">
        <v>13.074572572624758</v>
      </c>
      <c r="E40" s="3">
        <f t="shared" si="2"/>
        <v>190248.10550426284</v>
      </c>
      <c r="G40" s="19">
        <f>Inputs!C53</f>
        <v>2</v>
      </c>
      <c r="I40" s="23">
        <f t="shared" si="3"/>
        <v>14.634127533497445</v>
      </c>
      <c r="J40" s="23">
        <f t="shared" si="0"/>
        <v>-1.5595549608726866</v>
      </c>
      <c r="K40" s="24">
        <f t="shared" si="1"/>
        <v>35391.11209722292</v>
      </c>
    </row>
    <row r="41" spans="1:11" ht="12.75">
      <c r="A41">
        <v>30</v>
      </c>
      <c r="B41" s="145" t="s">
        <v>4</v>
      </c>
      <c r="C41" s="146">
        <v>6740</v>
      </c>
      <c r="D41" s="11">
        <v>13.143882357543374</v>
      </c>
      <c r="E41" s="3">
        <f t="shared" si="2"/>
        <v>88589.76708984234</v>
      </c>
      <c r="G41" s="19">
        <f>Inputs!C54</f>
        <v>2</v>
      </c>
      <c r="I41" s="23">
        <f t="shared" si="3"/>
        <v>14.634127533497445</v>
      </c>
      <c r="J41" s="23">
        <f t="shared" si="0"/>
        <v>-1.4902451759540707</v>
      </c>
      <c r="K41" s="24">
        <f t="shared" si="1"/>
        <v>14968.398813222517</v>
      </c>
    </row>
    <row r="42" spans="1:11" ht="12.75">
      <c r="A42">
        <v>31</v>
      </c>
      <c r="B42" s="145" t="s">
        <v>43</v>
      </c>
      <c r="C42" s="146">
        <v>6449</v>
      </c>
      <c r="D42" s="11">
        <v>13.16910209759036</v>
      </c>
      <c r="E42" s="3">
        <f t="shared" si="2"/>
        <v>84927.53942736023</v>
      </c>
      <c r="G42" s="19">
        <f>Inputs!C55</f>
        <v>2</v>
      </c>
      <c r="I42" s="23">
        <f t="shared" si="3"/>
        <v>14.634127533497445</v>
      </c>
      <c r="J42" s="23">
        <f t="shared" si="0"/>
        <v>-1.4650254359070853</v>
      </c>
      <c r="K42" s="24">
        <f t="shared" si="1"/>
        <v>13841.485655135251</v>
      </c>
    </row>
    <row r="43" spans="1:11" ht="12.75">
      <c r="A43">
        <v>32</v>
      </c>
      <c r="B43" s="145" t="s">
        <v>22</v>
      </c>
      <c r="C43" s="146">
        <v>10369</v>
      </c>
      <c r="D43" s="11">
        <v>13.190319111400136</v>
      </c>
      <c r="E43" s="3">
        <f t="shared" si="2"/>
        <v>136770.418866108</v>
      </c>
      <c r="G43" s="19">
        <f>Inputs!C56</f>
        <v>2</v>
      </c>
      <c r="I43" s="23">
        <f t="shared" si="3"/>
        <v>14.634127533497445</v>
      </c>
      <c r="J43" s="23">
        <f t="shared" si="0"/>
        <v>-1.4438084220973089</v>
      </c>
      <c r="K43" s="24">
        <f t="shared" si="1"/>
        <v>21615.038635527562</v>
      </c>
    </row>
    <row r="44" spans="1:11" ht="12.75">
      <c r="A44">
        <v>33</v>
      </c>
      <c r="B44" s="145" t="s">
        <v>30</v>
      </c>
      <c r="C44" s="146">
        <v>12368</v>
      </c>
      <c r="D44" s="11">
        <v>13.494710729149753</v>
      </c>
      <c r="E44" s="3">
        <f t="shared" si="2"/>
        <v>166902.58229812415</v>
      </c>
      <c r="G44" s="19">
        <f>Inputs!C57</f>
        <v>2</v>
      </c>
      <c r="I44" s="23">
        <f t="shared" si="3"/>
        <v>14.634127533497445</v>
      </c>
      <c r="J44" s="23">
        <f aca="true" t="shared" si="4" ref="J44:J75">(D44-I44)</f>
        <v>-1.1394168043476913</v>
      </c>
      <c r="K44" s="24">
        <f aca="true" t="shared" si="5" ref="K44:K75">J44*J44*C44</f>
        <v>16057.011449041867</v>
      </c>
    </row>
    <row r="45" spans="1:11" ht="12.75">
      <c r="A45">
        <v>34</v>
      </c>
      <c r="B45" s="145" t="s">
        <v>18</v>
      </c>
      <c r="C45" s="146">
        <v>9611</v>
      </c>
      <c r="D45" s="11">
        <v>13.53255314524415</v>
      </c>
      <c r="E45" s="3">
        <f t="shared" si="2"/>
        <v>130061.36827894152</v>
      </c>
      <c r="G45" s="19">
        <f>Inputs!C58</f>
        <v>2</v>
      </c>
      <c r="I45" s="23">
        <f t="shared" si="3"/>
        <v>14.634127533497445</v>
      </c>
      <c r="J45" s="23">
        <f t="shared" si="4"/>
        <v>-1.1015743882532956</v>
      </c>
      <c r="K45" s="24">
        <f t="shared" si="5"/>
        <v>11662.623002875387</v>
      </c>
    </row>
    <row r="46" spans="1:11" ht="12.75">
      <c r="A46">
        <v>35</v>
      </c>
      <c r="B46" s="145" t="s">
        <v>34</v>
      </c>
      <c r="C46" s="146">
        <v>3395</v>
      </c>
      <c r="D46" s="11">
        <v>13.884192051825572</v>
      </c>
      <c r="E46" s="3">
        <f t="shared" si="2"/>
        <v>47136.83201594782</v>
      </c>
      <c r="G46" s="19">
        <f>Inputs!C59</f>
        <v>2</v>
      </c>
      <c r="I46" s="23">
        <f t="shared" si="3"/>
        <v>14.634127533497445</v>
      </c>
      <c r="J46" s="23">
        <f t="shared" si="4"/>
        <v>-0.7499354816718729</v>
      </c>
      <c r="K46" s="24">
        <f t="shared" si="5"/>
        <v>1909.3589545460893</v>
      </c>
    </row>
    <row r="47" spans="1:11" ht="12.75">
      <c r="A47">
        <v>36</v>
      </c>
      <c r="B47" s="145" t="s">
        <v>29</v>
      </c>
      <c r="C47" s="146">
        <v>13350</v>
      </c>
      <c r="D47" s="11">
        <v>13.899521774086834</v>
      </c>
      <c r="E47" s="3">
        <f t="shared" si="2"/>
        <v>185558.61568405924</v>
      </c>
      <c r="G47" s="19">
        <f>Inputs!C60</f>
        <v>2</v>
      </c>
      <c r="I47" s="23">
        <f t="shared" si="3"/>
        <v>14.634127533497445</v>
      </c>
      <c r="J47" s="23">
        <f t="shared" si="4"/>
        <v>-0.734605759410611</v>
      </c>
      <c r="K47" s="24">
        <f t="shared" si="5"/>
        <v>7204.26905048586</v>
      </c>
    </row>
    <row r="48" spans="1:11" ht="12.75">
      <c r="A48">
        <v>37</v>
      </c>
      <c r="B48" s="145" t="s">
        <v>42</v>
      </c>
      <c r="C48" s="146">
        <v>7568</v>
      </c>
      <c r="D48" s="11">
        <v>14.20729965423125</v>
      </c>
      <c r="E48" s="3">
        <f t="shared" si="2"/>
        <v>107520.8437832221</v>
      </c>
      <c r="G48" s="19">
        <f>Inputs!C61</f>
        <v>2</v>
      </c>
      <c r="I48" s="23">
        <f t="shared" si="3"/>
        <v>14.634127533497445</v>
      </c>
      <c r="J48" s="23">
        <f t="shared" si="4"/>
        <v>-0.42682787926619525</v>
      </c>
      <c r="K48" s="24">
        <f t="shared" si="5"/>
        <v>1378.753667510867</v>
      </c>
    </row>
    <row r="49" spans="1:11" ht="12.75">
      <c r="A49">
        <v>38</v>
      </c>
      <c r="B49" s="145" t="s">
        <v>32</v>
      </c>
      <c r="C49" s="146">
        <v>8119</v>
      </c>
      <c r="D49" s="11">
        <v>14.23776469213725</v>
      </c>
      <c r="E49" s="3">
        <f t="shared" si="2"/>
        <v>115596.41153546232</v>
      </c>
      <c r="G49" s="19">
        <f>Inputs!C62</f>
        <v>2</v>
      </c>
      <c r="I49" s="23">
        <f t="shared" si="3"/>
        <v>14.634127533497445</v>
      </c>
      <c r="J49" s="23">
        <f t="shared" si="4"/>
        <v>-0.3963628413601956</v>
      </c>
      <c r="K49" s="24">
        <f t="shared" si="5"/>
        <v>1275.523332828345</v>
      </c>
    </row>
    <row r="50" spans="1:11" ht="12.75">
      <c r="A50">
        <v>39</v>
      </c>
      <c r="B50" s="145" t="s">
        <v>40</v>
      </c>
      <c r="C50" s="146">
        <v>6628</v>
      </c>
      <c r="D50" s="11">
        <v>14.920538850485228</v>
      </c>
      <c r="E50" s="3">
        <f t="shared" si="2"/>
        <v>98893.33150101609</v>
      </c>
      <c r="G50" s="19">
        <f>Inputs!C63</f>
        <v>2</v>
      </c>
      <c r="I50" s="23">
        <f t="shared" si="3"/>
        <v>14.634127533497445</v>
      </c>
      <c r="J50" s="23">
        <f t="shared" si="4"/>
        <v>0.2864113169877829</v>
      </c>
      <c r="K50" s="24">
        <f t="shared" si="5"/>
        <v>543.7044008812262</v>
      </c>
    </row>
    <row r="51" spans="1:11" ht="12.75">
      <c r="A51">
        <v>40</v>
      </c>
      <c r="B51" s="145" t="s">
        <v>41</v>
      </c>
      <c r="C51" s="146">
        <v>3559</v>
      </c>
      <c r="D51" s="11">
        <v>15.000466267590324</v>
      </c>
      <c r="E51" s="3">
        <f t="shared" si="2"/>
        <v>53386.659446353966</v>
      </c>
      <c r="G51" s="19">
        <f>Inputs!C64</f>
        <v>2</v>
      </c>
      <c r="I51" s="23">
        <f t="shared" si="3"/>
        <v>14.634127533497445</v>
      </c>
      <c r="J51" s="23">
        <f t="shared" si="4"/>
        <v>0.36633873409287965</v>
      </c>
      <c r="K51" s="24">
        <f t="shared" si="5"/>
        <v>477.63227835641715</v>
      </c>
    </row>
    <row r="52" spans="1:11" ht="12.75">
      <c r="A52">
        <v>41</v>
      </c>
      <c r="B52" s="145" t="s">
        <v>36</v>
      </c>
      <c r="C52" s="146">
        <v>8893</v>
      </c>
      <c r="D52" s="11">
        <v>15.013721536008852</v>
      </c>
      <c r="E52" s="3">
        <f t="shared" si="2"/>
        <v>133517.02561972672</v>
      </c>
      <c r="G52" s="19">
        <f>Inputs!C65</f>
        <v>2</v>
      </c>
      <c r="I52" s="23">
        <f t="shared" si="3"/>
        <v>14.634127533497445</v>
      </c>
      <c r="J52" s="23">
        <f t="shared" si="4"/>
        <v>0.37959400251140707</v>
      </c>
      <c r="K52" s="24">
        <f t="shared" si="5"/>
        <v>1281.4066587622096</v>
      </c>
    </row>
    <row r="53" spans="1:11" ht="12.75">
      <c r="A53">
        <v>42</v>
      </c>
      <c r="B53" s="145" t="s">
        <v>33</v>
      </c>
      <c r="C53" s="146">
        <v>8751</v>
      </c>
      <c r="D53" s="11">
        <v>15.091109048693042</v>
      </c>
      <c r="E53" s="3">
        <f t="shared" si="2"/>
        <v>132062.2952851128</v>
      </c>
      <c r="G53" s="19">
        <f>Inputs!C66</f>
        <v>2</v>
      </c>
      <c r="I53" s="23">
        <f t="shared" si="3"/>
        <v>14.634127533497445</v>
      </c>
      <c r="J53" s="23">
        <f t="shared" si="4"/>
        <v>0.45698151519559715</v>
      </c>
      <c r="K53" s="24">
        <f t="shared" si="5"/>
        <v>1827.4897528717888</v>
      </c>
    </row>
    <row r="54" spans="1:11" ht="12.75">
      <c r="A54">
        <v>43</v>
      </c>
      <c r="B54" s="145" t="s">
        <v>357</v>
      </c>
      <c r="C54" s="146">
        <v>10705</v>
      </c>
      <c r="D54" s="11">
        <v>15.44571051141079</v>
      </c>
      <c r="E54" s="3">
        <f t="shared" si="2"/>
        <v>165346.3310246525</v>
      </c>
      <c r="G54" s="19">
        <f>Inputs!C67</f>
        <v>2</v>
      </c>
      <c r="I54" s="23">
        <f t="shared" si="3"/>
        <v>14.634127533497445</v>
      </c>
      <c r="J54" s="23">
        <f t="shared" si="4"/>
        <v>0.8115829779133445</v>
      </c>
      <c r="K54" s="24">
        <f t="shared" si="5"/>
        <v>7051.029486064201</v>
      </c>
    </row>
    <row r="55" spans="1:11" ht="12.75">
      <c r="A55">
        <v>44</v>
      </c>
      <c r="B55" s="145" t="s">
        <v>44</v>
      </c>
      <c r="C55" s="146">
        <v>3170</v>
      </c>
      <c r="D55" s="11">
        <v>15.637647411208691</v>
      </c>
      <c r="E55" s="3">
        <f t="shared" si="2"/>
        <v>49571.342293531554</v>
      </c>
      <c r="G55" s="19">
        <f>Inputs!C68</f>
        <v>2</v>
      </c>
      <c r="I55" s="23">
        <f t="shared" si="3"/>
        <v>14.634127533497445</v>
      </c>
      <c r="J55" s="23">
        <f t="shared" si="4"/>
        <v>1.0035198777112466</v>
      </c>
      <c r="K55" s="24">
        <f t="shared" si="5"/>
        <v>3192.3552995282575</v>
      </c>
    </row>
    <row r="56" spans="1:11" ht="12.75">
      <c r="A56">
        <v>45</v>
      </c>
      <c r="B56" s="145" t="s">
        <v>39</v>
      </c>
      <c r="C56" s="146">
        <v>16840</v>
      </c>
      <c r="D56" s="11">
        <v>16.245652328560208</v>
      </c>
      <c r="E56" s="3">
        <f t="shared" si="2"/>
        <v>273576.7852129539</v>
      </c>
      <c r="G56" s="19">
        <f>Inputs!C69</f>
        <v>2</v>
      </c>
      <c r="I56" s="23">
        <f t="shared" si="3"/>
        <v>14.634127533497445</v>
      </c>
      <c r="J56" s="23">
        <f t="shared" si="4"/>
        <v>1.6115247950627634</v>
      </c>
      <c r="K56" s="24">
        <f t="shared" si="5"/>
        <v>43733.68486031905</v>
      </c>
    </row>
    <row r="57" spans="1:11" ht="12.75">
      <c r="A57">
        <v>46</v>
      </c>
      <c r="B57" s="145" t="s">
        <v>46</v>
      </c>
      <c r="C57" s="146">
        <v>6461</v>
      </c>
      <c r="D57" s="11">
        <v>16.28779148397273</v>
      </c>
      <c r="E57" s="3">
        <f t="shared" si="2"/>
        <v>105235.4207779478</v>
      </c>
      <c r="G57" s="19">
        <f>Inputs!C70</f>
        <v>2</v>
      </c>
      <c r="I57" s="23">
        <f t="shared" si="3"/>
        <v>14.634127533497445</v>
      </c>
      <c r="J57" s="23">
        <f t="shared" si="4"/>
        <v>1.6536639504752841</v>
      </c>
      <c r="K57" s="24">
        <f t="shared" si="5"/>
        <v>17668.27942317694</v>
      </c>
    </row>
    <row r="58" spans="1:11" ht="12.75">
      <c r="A58">
        <v>47</v>
      </c>
      <c r="B58" s="145" t="s">
        <v>57</v>
      </c>
      <c r="C58" s="146">
        <v>1636</v>
      </c>
      <c r="D58" s="11">
        <v>17.503118632246192</v>
      </c>
      <c r="E58" s="3">
        <f t="shared" si="2"/>
        <v>28635.10208235477</v>
      </c>
      <c r="G58" s="19">
        <f>Inputs!C71</f>
        <v>2</v>
      </c>
      <c r="I58" s="23">
        <f t="shared" si="3"/>
        <v>14.634127533497445</v>
      </c>
      <c r="J58" s="23">
        <f t="shared" si="4"/>
        <v>2.8689910987487472</v>
      </c>
      <c r="K58" s="24">
        <f t="shared" si="5"/>
        <v>13466.095836808454</v>
      </c>
    </row>
    <row r="59" spans="1:11" ht="12.75">
      <c r="A59">
        <v>48</v>
      </c>
      <c r="B59" s="145" t="s">
        <v>53</v>
      </c>
      <c r="C59" s="146">
        <v>3447</v>
      </c>
      <c r="D59" s="11">
        <v>18.229502682065945</v>
      </c>
      <c r="E59" s="3">
        <f t="shared" si="2"/>
        <v>62837.095745081315</v>
      </c>
      <c r="G59" s="19">
        <f>Inputs!C72</f>
        <v>2</v>
      </c>
      <c r="I59" s="23">
        <f t="shared" si="3"/>
        <v>14.634127533497445</v>
      </c>
      <c r="J59" s="23">
        <f t="shared" si="4"/>
        <v>3.5953751485685004</v>
      </c>
      <c r="K59" s="24">
        <f t="shared" si="5"/>
        <v>44558.41231597985</v>
      </c>
    </row>
    <row r="60" spans="1:11" ht="12.75">
      <c r="A60">
        <v>49</v>
      </c>
      <c r="B60" s="148" t="s">
        <v>49</v>
      </c>
      <c r="C60" s="146">
        <v>2371</v>
      </c>
      <c r="D60" s="11">
        <v>18.316240394320655</v>
      </c>
      <c r="E60" s="3">
        <f t="shared" si="2"/>
        <v>43427.80597493427</v>
      </c>
      <c r="G60" s="19">
        <f>Inputs!C73</f>
        <v>2</v>
      </c>
      <c r="I60" s="23">
        <f t="shared" si="3"/>
        <v>14.634127533497445</v>
      </c>
      <c r="J60" s="23">
        <f t="shared" si="4"/>
        <v>3.68211286082321</v>
      </c>
      <c r="K60" s="24">
        <f t="shared" si="5"/>
        <v>32145.91158913989</v>
      </c>
    </row>
    <row r="61" spans="1:11" ht="12.75">
      <c r="A61">
        <v>50</v>
      </c>
      <c r="B61" s="148" t="s">
        <v>48</v>
      </c>
      <c r="C61" s="146">
        <v>4523</v>
      </c>
      <c r="D61" s="11">
        <v>18.670023634428237</v>
      </c>
      <c r="E61" s="3">
        <f t="shared" si="2"/>
        <v>84444.51689851891</v>
      </c>
      <c r="G61" s="19">
        <f>Inputs!C74</f>
        <v>2</v>
      </c>
      <c r="I61" s="23">
        <f t="shared" si="3"/>
        <v>14.634127533497445</v>
      </c>
      <c r="J61" s="23">
        <f t="shared" si="4"/>
        <v>4.035896100930792</v>
      </c>
      <c r="K61" s="24">
        <f t="shared" si="5"/>
        <v>73672.69253755035</v>
      </c>
    </row>
    <row r="62" spans="1:11" ht="12.75">
      <c r="A62">
        <v>51</v>
      </c>
      <c r="B62" s="145" t="s">
        <v>45</v>
      </c>
      <c r="C62" s="146">
        <v>7072</v>
      </c>
      <c r="D62" s="11">
        <v>19.487827340725737</v>
      </c>
      <c r="E62" s="3">
        <f t="shared" si="2"/>
        <v>137817.9149536124</v>
      </c>
      <c r="G62" s="19">
        <f>Inputs!C75</f>
        <v>2</v>
      </c>
      <c r="I62" s="23">
        <f t="shared" si="3"/>
        <v>14.634127533497445</v>
      </c>
      <c r="J62" s="23">
        <f t="shared" si="4"/>
        <v>4.853699807228292</v>
      </c>
      <c r="K62" s="24">
        <f t="shared" si="5"/>
        <v>166605.01766176123</v>
      </c>
    </row>
    <row r="63" spans="1:11" ht="12.75">
      <c r="A63">
        <v>52</v>
      </c>
      <c r="B63" s="145" t="s">
        <v>56</v>
      </c>
      <c r="C63" s="146">
        <v>6311</v>
      </c>
      <c r="D63" s="11">
        <v>19.68067343865162</v>
      </c>
      <c r="E63" s="3">
        <f t="shared" si="2"/>
        <v>124204.73007133037</v>
      </c>
      <c r="G63" s="19">
        <f>Inputs!C76</f>
        <v>2</v>
      </c>
      <c r="I63" s="23">
        <f t="shared" si="3"/>
        <v>14.634127533497445</v>
      </c>
      <c r="J63" s="23">
        <f t="shared" si="4"/>
        <v>5.046545905154176</v>
      </c>
      <c r="K63" s="24">
        <f t="shared" si="5"/>
        <v>160726.1849901199</v>
      </c>
    </row>
    <row r="64" spans="1:11" ht="12.75">
      <c r="A64">
        <v>53</v>
      </c>
      <c r="B64" s="145" t="s">
        <v>60</v>
      </c>
      <c r="C64" s="146">
        <v>1676</v>
      </c>
      <c r="D64" s="11">
        <v>21.44271488891788</v>
      </c>
      <c r="E64" s="3">
        <f t="shared" si="2"/>
        <v>35937.990153826366</v>
      </c>
      <c r="G64" s="19">
        <f>Inputs!C77</f>
        <v>2</v>
      </c>
      <c r="I64" s="23">
        <f t="shared" si="3"/>
        <v>14.634127533497445</v>
      </c>
      <c r="J64" s="23">
        <f t="shared" si="4"/>
        <v>6.8085873554204355</v>
      </c>
      <c r="K64" s="24">
        <f t="shared" si="5"/>
        <v>77694.10033723139</v>
      </c>
    </row>
    <row r="65" spans="1:11" ht="12.75">
      <c r="A65">
        <v>54</v>
      </c>
      <c r="B65" s="145" t="s">
        <v>62</v>
      </c>
      <c r="C65" s="146">
        <v>2777</v>
      </c>
      <c r="D65" s="11">
        <v>21.86533801595969</v>
      </c>
      <c r="E65" s="3">
        <f t="shared" si="2"/>
        <v>60720.04367032006</v>
      </c>
      <c r="G65" s="19">
        <f>Inputs!C78</f>
        <v>3</v>
      </c>
      <c r="I65" s="23">
        <f t="shared" si="3"/>
        <v>28.548123017084862</v>
      </c>
      <c r="J65" s="23">
        <f t="shared" si="4"/>
        <v>-6.682785001125172</v>
      </c>
      <c r="K65" s="24">
        <f t="shared" si="5"/>
        <v>124019.7518859989</v>
      </c>
    </row>
    <row r="66" spans="1:11" ht="12.75">
      <c r="A66">
        <v>55</v>
      </c>
      <c r="B66" s="145" t="s">
        <v>58</v>
      </c>
      <c r="C66" s="146">
        <v>1530</v>
      </c>
      <c r="D66" s="11">
        <v>22.633498569568374</v>
      </c>
      <c r="E66" s="3">
        <f t="shared" si="2"/>
        <v>34629.25281143961</v>
      </c>
      <c r="G66" s="19">
        <f>Inputs!C79</f>
        <v>3</v>
      </c>
      <c r="I66" s="23">
        <f t="shared" si="3"/>
        <v>28.548123017084862</v>
      </c>
      <c r="J66" s="23">
        <f t="shared" si="4"/>
        <v>-5.914624447516488</v>
      </c>
      <c r="K66" s="24">
        <f t="shared" si="5"/>
        <v>53523.65700339437</v>
      </c>
    </row>
    <row r="67" spans="1:11" ht="12.75">
      <c r="A67">
        <v>56</v>
      </c>
      <c r="B67" s="145" t="s">
        <v>55</v>
      </c>
      <c r="C67" s="146">
        <v>1331</v>
      </c>
      <c r="D67" s="11">
        <v>23.369829091759144</v>
      </c>
      <c r="E67" s="3">
        <f t="shared" si="2"/>
        <v>31105.24252113142</v>
      </c>
      <c r="G67" s="19">
        <f>Inputs!C80</f>
        <v>3</v>
      </c>
      <c r="I67" s="23">
        <f t="shared" si="3"/>
        <v>28.548123017084862</v>
      </c>
      <c r="J67" s="23">
        <f t="shared" si="4"/>
        <v>-5.178293925325718</v>
      </c>
      <c r="K67" s="24">
        <f t="shared" si="5"/>
        <v>35690.40293747383</v>
      </c>
    </row>
    <row r="68" spans="1:11" ht="12.75">
      <c r="A68">
        <v>57</v>
      </c>
      <c r="B68" s="145" t="s">
        <v>59</v>
      </c>
      <c r="C68" s="146">
        <v>1560</v>
      </c>
      <c r="D68" s="11">
        <v>23.78747988896846</v>
      </c>
      <c r="E68" s="3">
        <f t="shared" si="2"/>
        <v>37108.4686267908</v>
      </c>
      <c r="G68" s="19">
        <f>Inputs!C81</f>
        <v>3</v>
      </c>
      <c r="I68" s="23">
        <f t="shared" si="3"/>
        <v>28.548123017084862</v>
      </c>
      <c r="J68" s="23">
        <f t="shared" si="4"/>
        <v>-4.760643128116403</v>
      </c>
      <c r="K68" s="24">
        <f t="shared" si="5"/>
        <v>35355.40786951981</v>
      </c>
    </row>
    <row r="69" spans="1:11" ht="12.75">
      <c r="A69">
        <v>58</v>
      </c>
      <c r="B69" s="145" t="s">
        <v>51</v>
      </c>
      <c r="C69" s="146">
        <v>3483</v>
      </c>
      <c r="D69" s="11">
        <v>25.598516197000738</v>
      </c>
      <c r="E69" s="3">
        <f t="shared" si="2"/>
        <v>89159.63191415356</v>
      </c>
      <c r="G69" s="19">
        <f>Inputs!C82</f>
        <v>3</v>
      </c>
      <c r="I69" s="23">
        <f t="shared" si="3"/>
        <v>28.548123017084862</v>
      </c>
      <c r="J69" s="23">
        <f t="shared" si="4"/>
        <v>-2.9496068200841243</v>
      </c>
      <c r="K69" s="24">
        <f t="shared" si="5"/>
        <v>30302.728309121256</v>
      </c>
    </row>
    <row r="70" spans="1:11" ht="12.75">
      <c r="A70">
        <v>59</v>
      </c>
      <c r="B70" s="145" t="s">
        <v>47</v>
      </c>
      <c r="C70" s="146">
        <v>4823</v>
      </c>
      <c r="D70" s="11">
        <v>25.668142922714438</v>
      </c>
      <c r="E70" s="3">
        <f t="shared" si="2"/>
        <v>123797.45331625173</v>
      </c>
      <c r="G70" s="19">
        <f>Inputs!C83</f>
        <v>3</v>
      </c>
      <c r="I70" s="23">
        <f t="shared" si="3"/>
        <v>28.548123017084862</v>
      </c>
      <c r="J70" s="23">
        <f t="shared" si="4"/>
        <v>-2.879980094370424</v>
      </c>
      <c r="K70" s="24">
        <f t="shared" si="5"/>
        <v>40003.338213966716</v>
      </c>
    </row>
    <row r="71" spans="1:11" ht="12.75">
      <c r="A71">
        <v>60</v>
      </c>
      <c r="B71" s="144" t="s">
        <v>65</v>
      </c>
      <c r="C71" s="149">
        <v>1579</v>
      </c>
      <c r="D71" s="11">
        <v>25.717295676024204</v>
      </c>
      <c r="E71" s="3">
        <f t="shared" si="2"/>
        <v>40607.60987244222</v>
      </c>
      <c r="G71" s="19">
        <f>Inputs!C84</f>
        <v>3</v>
      </c>
      <c r="I71" s="23">
        <f t="shared" si="3"/>
        <v>28.548123017084862</v>
      </c>
      <c r="J71" s="23">
        <f t="shared" si="4"/>
        <v>-2.830827341060658</v>
      </c>
      <c r="K71" s="24">
        <f t="shared" si="5"/>
        <v>12653.44824370166</v>
      </c>
    </row>
    <row r="72" spans="1:11" ht="12.75">
      <c r="A72">
        <v>61</v>
      </c>
      <c r="B72" s="145" t="s">
        <v>54</v>
      </c>
      <c r="C72" s="146">
        <v>1205</v>
      </c>
      <c r="D72" s="11">
        <v>26.01586014336417</v>
      </c>
      <c r="E72" s="3">
        <f t="shared" si="2"/>
        <v>31349.111472753822</v>
      </c>
      <c r="G72" s="19">
        <f>Inputs!C85</f>
        <v>3</v>
      </c>
      <c r="I72" s="23">
        <f t="shared" si="3"/>
        <v>28.548123017084862</v>
      </c>
      <c r="J72" s="23">
        <f t="shared" si="4"/>
        <v>-2.5322628737206934</v>
      </c>
      <c r="K72" s="24">
        <f t="shared" si="5"/>
        <v>7726.888090257142</v>
      </c>
    </row>
    <row r="73" spans="1:11" ht="12.75">
      <c r="A73">
        <v>62</v>
      </c>
      <c r="B73" s="145" t="s">
        <v>50</v>
      </c>
      <c r="C73" s="146">
        <v>2108</v>
      </c>
      <c r="D73" s="11">
        <v>27.486517623325387</v>
      </c>
      <c r="E73" s="3">
        <f t="shared" si="2"/>
        <v>57941.57914996992</v>
      </c>
      <c r="G73" s="19">
        <f>Inputs!C86</f>
        <v>3</v>
      </c>
      <c r="I73" s="23">
        <f t="shared" si="3"/>
        <v>28.548123017084862</v>
      </c>
      <c r="J73" s="23">
        <f t="shared" si="4"/>
        <v>-1.061605393759475</v>
      </c>
      <c r="K73" s="24">
        <f t="shared" si="5"/>
        <v>2375.728673420814</v>
      </c>
    </row>
    <row r="74" spans="1:11" ht="12.75">
      <c r="A74">
        <v>63</v>
      </c>
      <c r="B74" s="145" t="s">
        <v>73</v>
      </c>
      <c r="C74" s="146">
        <v>1513</v>
      </c>
      <c r="D74" s="11">
        <v>28.41149970069348</v>
      </c>
      <c r="E74" s="3">
        <f t="shared" si="2"/>
        <v>42986.59904714923</v>
      </c>
      <c r="G74" s="19">
        <f>Inputs!C87</f>
        <v>3</v>
      </c>
      <c r="I74" s="23">
        <f t="shared" si="3"/>
        <v>28.548123017084862</v>
      </c>
      <c r="J74" s="23">
        <f t="shared" si="4"/>
        <v>-0.1366233163913826</v>
      </c>
      <c r="K74" s="24">
        <f t="shared" si="5"/>
        <v>28.24155297023288</v>
      </c>
    </row>
    <row r="75" spans="1:11" ht="12.75">
      <c r="A75">
        <v>64</v>
      </c>
      <c r="B75" s="148" t="s">
        <v>71</v>
      </c>
      <c r="C75" s="146">
        <v>2208</v>
      </c>
      <c r="D75" s="11">
        <v>28.509898551455663</v>
      </c>
      <c r="E75" s="3">
        <f t="shared" si="2"/>
        <v>62949.856001614105</v>
      </c>
      <c r="G75" s="19">
        <f>Inputs!C88</f>
        <v>3</v>
      </c>
      <c r="I75" s="23">
        <f t="shared" si="3"/>
        <v>28.548123017084862</v>
      </c>
      <c r="J75" s="23">
        <f t="shared" si="4"/>
        <v>-0.03822446562919879</v>
      </c>
      <c r="K75" s="24">
        <f t="shared" si="5"/>
        <v>3.2261303779842616</v>
      </c>
    </row>
    <row r="76" spans="1:11" ht="12.75">
      <c r="A76">
        <v>65</v>
      </c>
      <c r="B76" s="145" t="s">
        <v>66</v>
      </c>
      <c r="C76" s="146">
        <v>2206</v>
      </c>
      <c r="D76" s="11">
        <v>29.681740253732332</v>
      </c>
      <c r="E76" s="3">
        <f t="shared" si="2"/>
        <v>65477.91899973353</v>
      </c>
      <c r="G76" s="19">
        <f>Inputs!C89</f>
        <v>3</v>
      </c>
      <c r="I76" s="23">
        <f t="shared" si="3"/>
        <v>28.548123017084862</v>
      </c>
      <c r="J76" s="23">
        <f aca="true" t="shared" si="6" ref="J76:J107">(D76-I76)</f>
        <v>1.1336172366474706</v>
      </c>
      <c r="K76" s="24">
        <f aca="true" t="shared" si="7" ref="K76:K107">J76*J76*C76</f>
        <v>2834.90421452869</v>
      </c>
    </row>
    <row r="77" spans="1:11" ht="12.75">
      <c r="A77">
        <v>66</v>
      </c>
      <c r="B77" s="145" t="s">
        <v>52</v>
      </c>
      <c r="C77" s="146">
        <v>5132</v>
      </c>
      <c r="D77" s="11">
        <v>29.83745195965511</v>
      </c>
      <c r="E77" s="3">
        <f aca="true" t="shared" si="8" ref="E77:E110">C77*D77</f>
        <v>153125.80345695003</v>
      </c>
      <c r="G77" s="19">
        <f>Inputs!C90</f>
        <v>3</v>
      </c>
      <c r="I77" s="23">
        <f aca="true" t="shared" si="9" ref="I77:I110">CHOOSE(G77,$G$125,$G$126,$G$127,$G$128,$G$129)</f>
        <v>28.548123017084862</v>
      </c>
      <c r="J77" s="23">
        <f t="shared" si="6"/>
        <v>1.289328942570247</v>
      </c>
      <c r="K77" s="24">
        <f t="shared" si="7"/>
        <v>8531.278334870265</v>
      </c>
    </row>
    <row r="78" spans="1:11" ht="12.75">
      <c r="A78">
        <v>67</v>
      </c>
      <c r="B78" s="145" t="s">
        <v>70</v>
      </c>
      <c r="C78" s="146">
        <v>1678</v>
      </c>
      <c r="D78" s="11">
        <v>30.422377545206885</v>
      </c>
      <c r="E78" s="3">
        <f t="shared" si="8"/>
        <v>51048.749520857156</v>
      </c>
      <c r="G78" s="19">
        <f>Inputs!C91</f>
        <v>3</v>
      </c>
      <c r="I78" s="23">
        <f t="shared" si="9"/>
        <v>28.548123017084862</v>
      </c>
      <c r="J78" s="23">
        <f t="shared" si="6"/>
        <v>1.874254528122023</v>
      </c>
      <c r="K78" s="24">
        <f t="shared" si="7"/>
        <v>5894.528800719952</v>
      </c>
    </row>
    <row r="79" spans="1:11" ht="12.75">
      <c r="A79">
        <v>68</v>
      </c>
      <c r="B79" s="145" t="s">
        <v>77</v>
      </c>
      <c r="C79" s="146">
        <v>1934</v>
      </c>
      <c r="D79" s="11">
        <v>30.574068988868543</v>
      </c>
      <c r="E79" s="3">
        <f t="shared" si="8"/>
        <v>59130.24942447176</v>
      </c>
      <c r="G79" s="19">
        <f>Inputs!C92</f>
        <v>3</v>
      </c>
      <c r="I79" s="23">
        <f t="shared" si="9"/>
        <v>28.548123017084862</v>
      </c>
      <c r="J79" s="23">
        <f t="shared" si="6"/>
        <v>2.025945971783681</v>
      </c>
      <c r="K79" s="24">
        <f t="shared" si="7"/>
        <v>7938.019993854337</v>
      </c>
    </row>
    <row r="80" spans="1:11" ht="12.75">
      <c r="A80">
        <v>69</v>
      </c>
      <c r="B80" s="145" t="s">
        <v>90</v>
      </c>
      <c r="C80" s="146">
        <v>542</v>
      </c>
      <c r="D80" s="11">
        <v>30.668676134184796</v>
      </c>
      <c r="E80" s="3">
        <f t="shared" si="8"/>
        <v>16622.42246472816</v>
      </c>
      <c r="G80" s="19">
        <f>Inputs!C93</f>
        <v>3</v>
      </c>
      <c r="I80" s="23">
        <f t="shared" si="9"/>
        <v>28.548123017084862</v>
      </c>
      <c r="J80" s="23">
        <f t="shared" si="6"/>
        <v>2.1205531170999343</v>
      </c>
      <c r="K80" s="24">
        <f t="shared" si="7"/>
        <v>2437.236073163698</v>
      </c>
    </row>
    <row r="81" spans="1:11" ht="12.75">
      <c r="A81">
        <v>70</v>
      </c>
      <c r="B81" s="145" t="s">
        <v>64</v>
      </c>
      <c r="C81" s="146">
        <v>5282</v>
      </c>
      <c r="D81" s="11">
        <v>30.721341526641012</v>
      </c>
      <c r="E81" s="3">
        <f t="shared" si="8"/>
        <v>162270.12594371784</v>
      </c>
      <c r="G81" s="19">
        <f>Inputs!C94</f>
        <v>3</v>
      </c>
      <c r="I81" s="23">
        <f t="shared" si="9"/>
        <v>28.548123017084862</v>
      </c>
      <c r="J81" s="23">
        <f t="shared" si="6"/>
        <v>2.1732185095561505</v>
      </c>
      <c r="K81" s="24">
        <f t="shared" si="7"/>
        <v>24946.245242045523</v>
      </c>
    </row>
    <row r="82" spans="1:11" ht="12.75">
      <c r="A82">
        <v>71</v>
      </c>
      <c r="B82" s="145" t="s">
        <v>67</v>
      </c>
      <c r="C82" s="146">
        <v>6036</v>
      </c>
      <c r="D82" s="11">
        <v>31.059738608031015</v>
      </c>
      <c r="E82" s="3">
        <f t="shared" si="8"/>
        <v>187476.5822380752</v>
      </c>
      <c r="G82" s="19">
        <f>Inputs!C95</f>
        <v>3</v>
      </c>
      <c r="I82" s="23">
        <f t="shared" si="9"/>
        <v>28.548123017084862</v>
      </c>
      <c r="J82" s="23">
        <f t="shared" si="6"/>
        <v>2.5116155909461533</v>
      </c>
      <c r="K82" s="24">
        <f t="shared" si="7"/>
        <v>38076.37292366339</v>
      </c>
    </row>
    <row r="83" spans="1:11" ht="12.75">
      <c r="A83">
        <v>72</v>
      </c>
      <c r="B83" s="145" t="s">
        <v>72</v>
      </c>
      <c r="C83" s="146">
        <v>2192</v>
      </c>
      <c r="D83" s="11">
        <v>33.879976539163394</v>
      </c>
      <c r="E83" s="3">
        <f t="shared" si="8"/>
        <v>74264.90857384616</v>
      </c>
      <c r="G83" s="19">
        <f>Inputs!C96</f>
        <v>3</v>
      </c>
      <c r="I83" s="23">
        <f t="shared" si="9"/>
        <v>28.548123017084862</v>
      </c>
      <c r="J83" s="23">
        <f t="shared" si="6"/>
        <v>5.331853522078532</v>
      </c>
      <c r="K83" s="24">
        <f t="shared" si="7"/>
        <v>62315.62706213554</v>
      </c>
    </row>
    <row r="84" spans="1:11" ht="12.75">
      <c r="A84">
        <v>73</v>
      </c>
      <c r="B84" s="145" t="s">
        <v>68</v>
      </c>
      <c r="C84" s="146">
        <v>2015</v>
      </c>
      <c r="D84" s="11">
        <v>35.816419336256864</v>
      </c>
      <c r="E84" s="3">
        <f t="shared" si="8"/>
        <v>72170.08496255758</v>
      </c>
      <c r="G84" s="19">
        <f>Inputs!C97</f>
        <v>3</v>
      </c>
      <c r="I84" s="23">
        <f t="shared" si="9"/>
        <v>28.548123017084862</v>
      </c>
      <c r="J84" s="23">
        <f t="shared" si="6"/>
        <v>7.268296319172002</v>
      </c>
      <c r="K84" s="24">
        <f t="shared" si="7"/>
        <v>106448.68473732789</v>
      </c>
    </row>
    <row r="85" spans="1:11" ht="12.75">
      <c r="A85">
        <v>74</v>
      </c>
      <c r="B85" s="145" t="s">
        <v>78</v>
      </c>
      <c r="C85" s="146">
        <v>736</v>
      </c>
      <c r="D85" s="11">
        <v>36.4802267761391</v>
      </c>
      <c r="E85" s="3">
        <f t="shared" si="8"/>
        <v>26849.446907238376</v>
      </c>
      <c r="G85" s="19">
        <f>Inputs!C98</f>
        <v>3</v>
      </c>
      <c r="I85" s="23">
        <f t="shared" si="9"/>
        <v>28.548123017084862</v>
      </c>
      <c r="J85" s="23">
        <f t="shared" si="6"/>
        <v>7.932103759054236</v>
      </c>
      <c r="K85" s="24">
        <f t="shared" si="7"/>
        <v>46307.846752680125</v>
      </c>
    </row>
    <row r="86" spans="1:11" ht="12.75">
      <c r="A86">
        <v>75</v>
      </c>
      <c r="B86" s="145" t="s">
        <v>76</v>
      </c>
      <c r="C86" s="146">
        <v>837</v>
      </c>
      <c r="D86" s="11">
        <v>41.06031561242964</v>
      </c>
      <c r="E86" s="3">
        <f t="shared" si="8"/>
        <v>34367.48416760361</v>
      </c>
      <c r="G86" s="19">
        <f>Inputs!C99</f>
        <v>4</v>
      </c>
      <c r="I86" s="23">
        <f t="shared" si="9"/>
        <v>48.989615759515814</v>
      </c>
      <c r="J86" s="23">
        <f t="shared" si="6"/>
        <v>-7.929300147086174</v>
      </c>
      <c r="K86" s="24">
        <f t="shared" si="7"/>
        <v>52625.371288500144</v>
      </c>
    </row>
    <row r="87" spans="1:11" ht="12.75">
      <c r="A87">
        <v>76</v>
      </c>
      <c r="B87" s="145" t="s">
        <v>63</v>
      </c>
      <c r="C87" s="146">
        <v>1595</v>
      </c>
      <c r="D87" s="11">
        <v>42.3714320296164</v>
      </c>
      <c r="E87" s="3">
        <f t="shared" si="8"/>
        <v>67582.43408723816</v>
      </c>
      <c r="G87" s="19">
        <f>Inputs!C100</f>
        <v>4</v>
      </c>
      <c r="I87" s="23">
        <f t="shared" si="9"/>
        <v>48.989615759515814</v>
      </c>
      <c r="J87" s="23">
        <f t="shared" si="6"/>
        <v>-6.618183729899414</v>
      </c>
      <c r="K87" s="24">
        <f t="shared" si="7"/>
        <v>69861.56763291499</v>
      </c>
    </row>
    <row r="88" spans="1:11" ht="12.75">
      <c r="A88">
        <v>77</v>
      </c>
      <c r="B88" s="145" t="s">
        <v>80</v>
      </c>
      <c r="C88" s="146">
        <v>2008</v>
      </c>
      <c r="D88" s="11">
        <v>42.53349260234197</v>
      </c>
      <c r="E88" s="3">
        <f t="shared" si="8"/>
        <v>85407.25314550268</v>
      </c>
      <c r="G88" s="19">
        <f>Inputs!C101</f>
        <v>4</v>
      </c>
      <c r="I88" s="23">
        <f t="shared" si="9"/>
        <v>48.989615759515814</v>
      </c>
      <c r="J88" s="23">
        <f t="shared" si="6"/>
        <v>-6.456123157173842</v>
      </c>
      <c r="K88" s="24">
        <f t="shared" si="7"/>
        <v>83696.50465095743</v>
      </c>
    </row>
    <row r="89" spans="1:11" ht="12.75">
      <c r="A89">
        <v>78</v>
      </c>
      <c r="B89" s="145" t="s">
        <v>61</v>
      </c>
      <c r="C89" s="146">
        <v>2020</v>
      </c>
      <c r="D89" s="11">
        <v>43.32677409070285</v>
      </c>
      <c r="E89" s="3">
        <f t="shared" si="8"/>
        <v>87520.08366321976</v>
      </c>
      <c r="G89" s="19">
        <f>Inputs!C102</f>
        <v>4</v>
      </c>
      <c r="I89" s="23">
        <f t="shared" si="9"/>
        <v>48.989615759515814</v>
      </c>
      <c r="J89" s="23">
        <f t="shared" si="6"/>
        <v>-5.662841668812966</v>
      </c>
      <c r="K89" s="24">
        <f t="shared" si="7"/>
        <v>64776.90704740973</v>
      </c>
    </row>
    <row r="90" spans="1:11" ht="12.75">
      <c r="A90">
        <v>79</v>
      </c>
      <c r="B90" s="145" t="s">
        <v>69</v>
      </c>
      <c r="C90" s="146">
        <v>1046</v>
      </c>
      <c r="D90" s="11">
        <v>44.03762451234809</v>
      </c>
      <c r="E90" s="3">
        <f t="shared" si="8"/>
        <v>46063.3552399161</v>
      </c>
      <c r="G90" s="19">
        <f>Inputs!C103</f>
        <v>4</v>
      </c>
      <c r="I90" s="23">
        <f t="shared" si="9"/>
        <v>48.989615759515814</v>
      </c>
      <c r="J90" s="23">
        <f t="shared" si="6"/>
        <v>-4.951991247167726</v>
      </c>
      <c r="K90" s="24">
        <f t="shared" si="7"/>
        <v>25650.239308378954</v>
      </c>
    </row>
    <row r="91" spans="1:11" ht="12.75">
      <c r="A91">
        <v>80</v>
      </c>
      <c r="B91" s="145" t="s">
        <v>79</v>
      </c>
      <c r="C91" s="146">
        <v>2134</v>
      </c>
      <c r="D91" s="11">
        <v>49.75587804428364</v>
      </c>
      <c r="E91" s="3">
        <f t="shared" si="8"/>
        <v>106179.0437465013</v>
      </c>
      <c r="G91" s="19">
        <f>Inputs!C104</f>
        <v>4</v>
      </c>
      <c r="I91" s="23">
        <f t="shared" si="9"/>
        <v>48.989615759515814</v>
      </c>
      <c r="J91" s="23">
        <f t="shared" si="6"/>
        <v>0.7662622847678264</v>
      </c>
      <c r="K91" s="24">
        <f t="shared" si="7"/>
        <v>1252.9949352489389</v>
      </c>
    </row>
    <row r="92" spans="1:11" ht="12.75">
      <c r="A92">
        <v>81</v>
      </c>
      <c r="B92" s="145" t="s">
        <v>98</v>
      </c>
      <c r="C92" s="146">
        <v>135</v>
      </c>
      <c r="D92" s="11">
        <v>51.86840454806764</v>
      </c>
      <c r="E92" s="3">
        <f t="shared" si="8"/>
        <v>7002.2346139891315</v>
      </c>
      <c r="G92" s="19">
        <f>Inputs!C105</f>
        <v>4</v>
      </c>
      <c r="I92" s="23">
        <f t="shared" si="9"/>
        <v>48.989615759515814</v>
      </c>
      <c r="J92" s="23">
        <f t="shared" si="6"/>
        <v>2.878788788551823</v>
      </c>
      <c r="K92" s="24">
        <f t="shared" si="7"/>
        <v>1118.802360027376</v>
      </c>
    </row>
    <row r="93" spans="1:11" ht="12.75">
      <c r="A93">
        <v>82</v>
      </c>
      <c r="B93" s="145" t="s">
        <v>82</v>
      </c>
      <c r="C93" s="146">
        <v>1312</v>
      </c>
      <c r="D93" s="11">
        <v>52.98188912162191</v>
      </c>
      <c r="E93" s="3">
        <f t="shared" si="8"/>
        <v>69512.23852756794</v>
      </c>
      <c r="G93" s="19">
        <f>Inputs!C106</f>
        <v>4</v>
      </c>
      <c r="I93" s="23">
        <f t="shared" si="9"/>
        <v>48.989615759515814</v>
      </c>
      <c r="J93" s="23">
        <f t="shared" si="6"/>
        <v>3.992273362106097</v>
      </c>
      <c r="K93" s="24">
        <f t="shared" si="7"/>
        <v>20910.979536289877</v>
      </c>
    </row>
    <row r="94" spans="1:11" ht="12.75">
      <c r="A94">
        <v>83</v>
      </c>
      <c r="B94" s="145" t="s">
        <v>87</v>
      </c>
      <c r="C94" s="146">
        <v>183</v>
      </c>
      <c r="D94" s="11">
        <v>53.77538805095688</v>
      </c>
      <c r="E94" s="3">
        <f t="shared" si="8"/>
        <v>9840.89601332511</v>
      </c>
      <c r="G94" s="19">
        <f>Inputs!C107</f>
        <v>4</v>
      </c>
      <c r="I94" s="23">
        <f t="shared" si="9"/>
        <v>48.989615759515814</v>
      </c>
      <c r="J94" s="23">
        <f t="shared" si="6"/>
        <v>4.785772291441063</v>
      </c>
      <c r="K94" s="24">
        <f t="shared" si="7"/>
        <v>4191.361805871083</v>
      </c>
    </row>
    <row r="95" spans="1:11" ht="12.75">
      <c r="A95">
        <v>84</v>
      </c>
      <c r="B95" s="145" t="s">
        <v>74</v>
      </c>
      <c r="C95" s="146">
        <v>1417</v>
      </c>
      <c r="D95" s="11">
        <v>55.644866359068224</v>
      </c>
      <c r="E95" s="3">
        <f t="shared" si="8"/>
        <v>78848.77563079968</v>
      </c>
      <c r="G95" s="19">
        <f>Inputs!C108</f>
        <v>4</v>
      </c>
      <c r="I95" s="23">
        <f t="shared" si="9"/>
        <v>48.989615759515814</v>
      </c>
      <c r="J95" s="23">
        <f t="shared" si="6"/>
        <v>6.65525059955241</v>
      </c>
      <c r="K95" s="24">
        <f t="shared" si="7"/>
        <v>62762.27488920813</v>
      </c>
    </row>
    <row r="96" spans="1:11" ht="12.75">
      <c r="A96">
        <v>85</v>
      </c>
      <c r="B96" s="145" t="s">
        <v>75</v>
      </c>
      <c r="C96" s="146">
        <v>833</v>
      </c>
      <c r="D96" s="11">
        <v>57.34483664690165</v>
      </c>
      <c r="E96" s="3">
        <f t="shared" si="8"/>
        <v>47768.24892686907</v>
      </c>
      <c r="G96" s="19">
        <f>Inputs!C109</f>
        <v>4</v>
      </c>
      <c r="I96" s="23">
        <f t="shared" si="9"/>
        <v>48.989615759515814</v>
      </c>
      <c r="J96" s="23">
        <f t="shared" si="6"/>
        <v>8.355220887385833</v>
      </c>
      <c r="K96" s="24">
        <f t="shared" si="7"/>
        <v>58151.493492148096</v>
      </c>
    </row>
    <row r="97" spans="1:11" ht="12.75">
      <c r="A97">
        <v>86</v>
      </c>
      <c r="B97" s="145" t="s">
        <v>81</v>
      </c>
      <c r="C97" s="146">
        <v>667</v>
      </c>
      <c r="D97" s="11">
        <v>60.485087023723445</v>
      </c>
      <c r="E97" s="3">
        <f t="shared" si="8"/>
        <v>40343.55304482354</v>
      </c>
      <c r="G97" s="19">
        <f>Inputs!C110</f>
        <v>4</v>
      </c>
      <c r="I97" s="23">
        <f t="shared" si="9"/>
        <v>48.989615759515814</v>
      </c>
      <c r="J97" s="23">
        <f t="shared" si="6"/>
        <v>11.49547126420763</v>
      </c>
      <c r="K97" s="24">
        <f t="shared" si="7"/>
        <v>88141.28834401099</v>
      </c>
    </row>
    <row r="98" spans="1:11" ht="12.75">
      <c r="A98">
        <v>87</v>
      </c>
      <c r="B98" s="145" t="s">
        <v>89</v>
      </c>
      <c r="C98" s="146">
        <v>159</v>
      </c>
      <c r="D98" s="11">
        <v>61.06018949196861</v>
      </c>
      <c r="E98" s="3">
        <f t="shared" si="8"/>
        <v>9708.570129223008</v>
      </c>
      <c r="G98" s="19">
        <f>Inputs!C111</f>
        <v>4</v>
      </c>
      <c r="I98" s="23">
        <f t="shared" si="9"/>
        <v>48.989615759515814</v>
      </c>
      <c r="J98" s="23">
        <f t="shared" si="6"/>
        <v>12.070573732452793</v>
      </c>
      <c r="K98" s="24">
        <f t="shared" si="7"/>
        <v>23166.101286662117</v>
      </c>
    </row>
    <row r="99" spans="1:11" ht="12.75">
      <c r="A99">
        <v>88</v>
      </c>
      <c r="B99" s="145" t="s">
        <v>85</v>
      </c>
      <c r="C99" s="146">
        <v>503</v>
      </c>
      <c r="D99" s="11">
        <v>62.32683836436474</v>
      </c>
      <c r="E99" s="3">
        <f t="shared" si="8"/>
        <v>31350.399697275465</v>
      </c>
      <c r="G99" s="19">
        <f>Inputs!C112</f>
        <v>4</v>
      </c>
      <c r="I99" s="23">
        <f t="shared" si="9"/>
        <v>48.989615759515814</v>
      </c>
      <c r="J99" s="23">
        <f t="shared" si="6"/>
        <v>13.337222604848925</v>
      </c>
      <c r="K99" s="24">
        <f t="shared" si="7"/>
        <v>89474.39792608045</v>
      </c>
    </row>
    <row r="100" spans="1:11" ht="12.75">
      <c r="A100">
        <v>89</v>
      </c>
      <c r="B100" s="145" t="s">
        <v>97</v>
      </c>
      <c r="C100" s="146">
        <v>426</v>
      </c>
      <c r="D100" s="11">
        <v>62.96199552288593</v>
      </c>
      <c r="E100" s="3">
        <f t="shared" si="8"/>
        <v>26821.810092749405</v>
      </c>
      <c r="G100" s="19">
        <f>Inputs!C113</f>
        <v>4</v>
      </c>
      <c r="I100" s="23">
        <f t="shared" si="9"/>
        <v>48.989615759515814</v>
      </c>
      <c r="J100" s="23">
        <f t="shared" si="6"/>
        <v>13.972379763370114</v>
      </c>
      <c r="K100" s="24">
        <f t="shared" si="7"/>
        <v>83166.87080328158</v>
      </c>
    </row>
    <row r="101" spans="1:11" ht="12.75">
      <c r="A101">
        <v>90</v>
      </c>
      <c r="B101" s="145" t="s">
        <v>91</v>
      </c>
      <c r="C101" s="146">
        <v>207</v>
      </c>
      <c r="D101" s="11">
        <v>67.45556067064011</v>
      </c>
      <c r="E101" s="3">
        <f t="shared" si="8"/>
        <v>13963.301058822502</v>
      </c>
      <c r="G101" s="19">
        <f>Inputs!C114</f>
        <v>5</v>
      </c>
      <c r="I101" s="23">
        <f t="shared" si="9"/>
        <v>82.82979215946077</v>
      </c>
      <c r="J101" s="23">
        <f t="shared" si="6"/>
        <v>-15.374231488820655</v>
      </c>
      <c r="K101" s="24">
        <f t="shared" si="7"/>
        <v>48927.96773147183</v>
      </c>
    </row>
    <row r="102" spans="1:11" ht="12.75">
      <c r="A102">
        <v>91</v>
      </c>
      <c r="B102" s="145" t="s">
        <v>86</v>
      </c>
      <c r="C102" s="146">
        <v>2824</v>
      </c>
      <c r="D102" s="11">
        <v>70.88175594897136</v>
      </c>
      <c r="E102" s="3">
        <f t="shared" si="8"/>
        <v>200170.07879989513</v>
      </c>
      <c r="G102" s="19">
        <f>Inputs!C115</f>
        <v>5</v>
      </c>
      <c r="I102" s="23">
        <f t="shared" si="9"/>
        <v>82.82979215946077</v>
      </c>
      <c r="J102" s="23">
        <f t="shared" si="6"/>
        <v>-11.948036210489406</v>
      </c>
      <c r="K102" s="24">
        <f t="shared" si="7"/>
        <v>403141.72766695684</v>
      </c>
    </row>
    <row r="103" spans="1:11" ht="12.75">
      <c r="A103">
        <v>92</v>
      </c>
      <c r="B103" s="145" t="s">
        <v>83</v>
      </c>
      <c r="C103" s="146">
        <v>414</v>
      </c>
      <c r="D103" s="11">
        <v>72.40068691487663</v>
      </c>
      <c r="E103" s="3">
        <f t="shared" si="8"/>
        <v>29973.884382758926</v>
      </c>
      <c r="G103" s="19">
        <f>Inputs!C116</f>
        <v>5</v>
      </c>
      <c r="I103" s="23">
        <f t="shared" si="9"/>
        <v>82.82979215946077</v>
      </c>
      <c r="J103" s="23">
        <f t="shared" si="6"/>
        <v>-10.429105244584136</v>
      </c>
      <c r="K103" s="24">
        <f t="shared" si="7"/>
        <v>45029.221787881506</v>
      </c>
    </row>
    <row r="104" spans="1:11" ht="12.75">
      <c r="A104">
        <v>93</v>
      </c>
      <c r="B104" s="145" t="s">
        <v>84</v>
      </c>
      <c r="C104" s="146">
        <v>1003</v>
      </c>
      <c r="D104" s="11">
        <v>80.58771668793302</v>
      </c>
      <c r="E104" s="3">
        <f t="shared" si="8"/>
        <v>80829.47983799683</v>
      </c>
      <c r="G104" s="19">
        <f>Inputs!C117</f>
        <v>5</v>
      </c>
      <c r="I104" s="23">
        <f t="shared" si="9"/>
        <v>82.82979215946077</v>
      </c>
      <c r="J104" s="23">
        <f t="shared" si="6"/>
        <v>-2.242075471527741</v>
      </c>
      <c r="K104" s="24">
        <f t="shared" si="7"/>
        <v>5041.983127286421</v>
      </c>
    </row>
    <row r="105" spans="1:11" ht="12.75">
      <c r="A105">
        <v>94</v>
      </c>
      <c r="B105" s="145" t="s">
        <v>88</v>
      </c>
      <c r="C105" s="146">
        <v>682</v>
      </c>
      <c r="D105" s="11">
        <v>84.25178197005928</v>
      </c>
      <c r="E105" s="3">
        <f t="shared" si="8"/>
        <v>57459.71530358043</v>
      </c>
      <c r="G105" s="19">
        <f>Inputs!C118</f>
        <v>5</v>
      </c>
      <c r="I105" s="23">
        <f t="shared" si="9"/>
        <v>82.82979215946077</v>
      </c>
      <c r="J105" s="23">
        <f t="shared" si="6"/>
        <v>1.421989810598518</v>
      </c>
      <c r="K105" s="24">
        <f t="shared" si="7"/>
        <v>1379.0415246261784</v>
      </c>
    </row>
    <row r="106" spans="1:11" ht="12.75">
      <c r="A106">
        <v>95</v>
      </c>
      <c r="B106" s="145" t="s">
        <v>93</v>
      </c>
      <c r="C106" s="146">
        <v>837</v>
      </c>
      <c r="D106" s="11">
        <v>85.78152280687875</v>
      </c>
      <c r="E106" s="3">
        <f t="shared" si="8"/>
        <v>71799.13458935752</v>
      </c>
      <c r="G106" s="19">
        <f>Inputs!C119</f>
        <v>5</v>
      </c>
      <c r="I106" s="23">
        <f t="shared" si="9"/>
        <v>82.82979215946077</v>
      </c>
      <c r="J106" s="23">
        <f t="shared" si="6"/>
        <v>2.951730647417989</v>
      </c>
      <c r="K106" s="24">
        <f t="shared" si="7"/>
        <v>7292.54146307684</v>
      </c>
    </row>
    <row r="107" spans="1:11" ht="12.75">
      <c r="A107">
        <v>96</v>
      </c>
      <c r="B107" s="145" t="s">
        <v>96</v>
      </c>
      <c r="C107" s="146">
        <v>308</v>
      </c>
      <c r="D107" s="11">
        <v>90.12480007461528</v>
      </c>
      <c r="E107" s="3">
        <f t="shared" si="8"/>
        <v>27758.438422981508</v>
      </c>
      <c r="G107" s="19">
        <f>Inputs!C120</f>
        <v>5</v>
      </c>
      <c r="I107" s="23">
        <f t="shared" si="9"/>
        <v>82.82979215946077</v>
      </c>
      <c r="J107" s="23">
        <f t="shared" si="6"/>
        <v>7.295007915154514</v>
      </c>
      <c r="K107" s="24">
        <f t="shared" si="7"/>
        <v>16390.87926850744</v>
      </c>
    </row>
    <row r="108" spans="1:11" ht="12.75">
      <c r="A108">
        <v>97</v>
      </c>
      <c r="B108" s="145" t="s">
        <v>94</v>
      </c>
      <c r="C108" s="146">
        <v>355</v>
      </c>
      <c r="D108" s="11">
        <v>101.76710973907848</v>
      </c>
      <c r="E108" s="3">
        <f t="shared" si="8"/>
        <v>36127.32395737286</v>
      </c>
      <c r="G108" s="19">
        <f>Inputs!C121</f>
        <v>5</v>
      </c>
      <c r="I108" s="23">
        <f t="shared" si="9"/>
        <v>82.82979215946077</v>
      </c>
      <c r="J108" s="23">
        <f>(D108-I108)</f>
        <v>18.937317579617712</v>
      </c>
      <c r="K108" s="24">
        <f>J108*J108*C108</f>
        <v>127310.80897451082</v>
      </c>
    </row>
    <row r="109" spans="1:11" ht="12.75">
      <c r="A109">
        <v>98</v>
      </c>
      <c r="B109" s="145" t="s">
        <v>92</v>
      </c>
      <c r="C109" s="146">
        <v>116</v>
      </c>
      <c r="D109" s="11">
        <v>136.60479724165774</v>
      </c>
      <c r="E109" s="3">
        <f t="shared" si="8"/>
        <v>15846.156480032298</v>
      </c>
      <c r="G109" s="19">
        <f>Inputs!C122</f>
        <v>5</v>
      </c>
      <c r="I109" s="23">
        <f t="shared" si="9"/>
        <v>82.82979215946077</v>
      </c>
      <c r="J109" s="23">
        <f>(D109-I109)</f>
        <v>53.77500508219697</v>
      </c>
      <c r="K109" s="24">
        <f>J109*J109*C109</f>
        <v>335443.13590447593</v>
      </c>
    </row>
    <row r="110" spans="1:11" ht="12.75">
      <c r="A110">
        <v>99</v>
      </c>
      <c r="B110" s="145" t="s">
        <v>95</v>
      </c>
      <c r="C110" s="146">
        <v>416</v>
      </c>
      <c r="D110" s="11">
        <v>142.5467755126442</v>
      </c>
      <c r="E110" s="3">
        <f t="shared" si="8"/>
        <v>59299.45861325998</v>
      </c>
      <c r="G110" s="19">
        <f>Inputs!C123</f>
        <v>5</v>
      </c>
      <c r="I110" s="23">
        <f t="shared" si="9"/>
        <v>82.82979215946077</v>
      </c>
      <c r="J110" s="23">
        <f>(D110-I110)</f>
        <v>59.71698335318342</v>
      </c>
      <c r="K110" s="24">
        <f>J110*J110*C110</f>
        <v>1483505.1299346245</v>
      </c>
    </row>
    <row r="112" spans="3:11" ht="12.75">
      <c r="C112" s="7">
        <f>SUM(C12:C110)</f>
        <v>1000929</v>
      </c>
      <c r="E112" s="3">
        <f>SUM(E12:E110)/C112</f>
        <v>12.10868287384129</v>
      </c>
      <c r="K112" s="74">
        <f>(SUM(K12:K110)/$C$112)^0.5</f>
        <v>2.489717661467283</v>
      </c>
    </row>
    <row r="115" ht="13.5" thickBot="1"/>
    <row r="116" spans="5:11" ht="12.75">
      <c r="E116" s="27" t="s">
        <v>0</v>
      </c>
      <c r="F116" s="28"/>
      <c r="G116" s="29"/>
      <c r="H116" s="30"/>
      <c r="I116" s="26"/>
      <c r="J116" s="27" t="s">
        <v>291</v>
      </c>
      <c r="K116" s="30"/>
    </row>
    <row r="117" spans="5:11" ht="12.75">
      <c r="E117" s="32" t="s">
        <v>216</v>
      </c>
      <c r="F117" s="12"/>
      <c r="G117" s="33">
        <f>SUMIF(G$12:G$110,"=1",C$12:C$110)</f>
        <v>700447</v>
      </c>
      <c r="H117" s="34"/>
      <c r="I117" s="33"/>
      <c r="J117" s="37"/>
      <c r="K117" s="31"/>
    </row>
    <row r="118" spans="5:11" ht="12.75">
      <c r="E118" s="32" t="s">
        <v>217</v>
      </c>
      <c r="F118" s="12"/>
      <c r="G118" s="33">
        <f>SUMIF(G$12:G$110,"=2",C$12:C$110)</f>
        <v>226175</v>
      </c>
      <c r="H118" s="34"/>
      <c r="I118" s="33"/>
      <c r="J118" s="37"/>
      <c r="K118" s="31"/>
    </row>
    <row r="119" spans="5:11" ht="12.75">
      <c r="E119" s="32" t="s">
        <v>218</v>
      </c>
      <c r="F119" s="12"/>
      <c r="G119" s="33">
        <f>SUMIF(G$12:G$110,"=3",C$12:C$110)</f>
        <v>51870</v>
      </c>
      <c r="H119" s="34"/>
      <c r="I119" s="33"/>
      <c r="J119" s="37"/>
      <c r="K119" s="73" t="s">
        <v>281</v>
      </c>
    </row>
    <row r="120" spans="5:11" ht="12.75">
      <c r="E120" s="32" t="s">
        <v>219</v>
      </c>
      <c r="F120" s="12"/>
      <c r="G120" s="33">
        <f>SUMIF(G$12:G$110,"=4",C$12:C$110)</f>
        <v>15275</v>
      </c>
      <c r="H120" s="34"/>
      <c r="I120" s="33"/>
      <c r="J120" s="32" t="s">
        <v>216</v>
      </c>
      <c r="K120" s="36">
        <f>IF($G117&gt;0,(SUMIF($G12:$G110,"=1",K12:K110)/$G117)^0.5,0)</f>
        <v>1.4249166866358698</v>
      </c>
    </row>
    <row r="121" spans="5:11" ht="12.75">
      <c r="E121" s="32" t="s">
        <v>220</v>
      </c>
      <c r="F121" s="12"/>
      <c r="G121" s="33">
        <f>SUMIF(G$12:G$110,"=5",C$12:C$110)</f>
        <v>7162</v>
      </c>
      <c r="H121" s="34"/>
      <c r="I121" s="33"/>
      <c r="J121" s="32" t="s">
        <v>217</v>
      </c>
      <c r="K121" s="36">
        <f>IF($G118&gt;0,(SUMIF($G13:$G111,"=2",K13:K111)/$G118)^0.5,0)</f>
        <v>2.03044211939208</v>
      </c>
    </row>
    <row r="122" spans="5:11" ht="12.75">
      <c r="E122" s="37"/>
      <c r="F122" s="12"/>
      <c r="G122" s="26"/>
      <c r="H122" s="31"/>
      <c r="I122" s="26"/>
      <c r="J122" s="32" t="s">
        <v>218</v>
      </c>
      <c r="K122" s="36">
        <f>IF($G119&gt;0,(SUMIF($G14:$G112,"=3",K14:K112)/$G119)^0.5,0)</f>
        <v>3.5329116163604617</v>
      </c>
    </row>
    <row r="123" spans="5:14" ht="12.75">
      <c r="E123" s="37"/>
      <c r="F123" s="12"/>
      <c r="G123" s="33">
        <f>SUM(G117:G121)</f>
        <v>1000929</v>
      </c>
      <c r="H123" s="34"/>
      <c r="I123" s="33"/>
      <c r="J123" s="32" t="s">
        <v>219</v>
      </c>
      <c r="K123" s="36">
        <f>IF($G120&gt;0,(SUMIF($G15:$G113,"=4",K15:K113)/$G120)^0.5,0)</f>
        <v>6.908080874031494</v>
      </c>
      <c r="N123" s="35"/>
    </row>
    <row r="124" spans="5:11" ht="12.75">
      <c r="E124" s="25" t="s">
        <v>209</v>
      </c>
      <c r="F124" s="12"/>
      <c r="G124" s="26"/>
      <c r="H124" s="31"/>
      <c r="I124" s="26"/>
      <c r="J124" s="32" t="s">
        <v>220</v>
      </c>
      <c r="K124" s="36">
        <f>IF($G121&gt;0,(SUMIF($G16:$G114,"=5",K16:K114)/$G121)^0.5,0)</f>
        <v>18.58384186961719</v>
      </c>
    </row>
    <row r="125" spans="5:15" ht="12.75">
      <c r="E125" s="32" t="s">
        <v>216</v>
      </c>
      <c r="F125" s="12"/>
      <c r="G125" s="38">
        <f>IF(G117&gt;0,SUMIF(G$12:G$110,"=1",E$12:E$110)/G117,0)</f>
        <v>8.54843200452489</v>
      </c>
      <c r="H125" s="39"/>
      <c r="I125" s="38"/>
      <c r="J125" s="37"/>
      <c r="K125" s="31"/>
      <c r="O125" s="77" t="s">
        <v>239</v>
      </c>
    </row>
    <row r="126" spans="5:15" ht="12.75">
      <c r="E126" s="32" t="s">
        <v>217</v>
      </c>
      <c r="F126" s="12"/>
      <c r="G126" s="38">
        <f>IF(G118&gt;0,SUMIF(G$12:G$110,"=2",E$12:E$110)/G118,0)</f>
        <v>14.634127533497445</v>
      </c>
      <c r="H126" s="39"/>
      <c r="I126" s="38"/>
      <c r="J126" s="37"/>
      <c r="K126" s="36">
        <f>((K120*K120*G117+K121*K121*G118+K122*K122*G119+K123*K123*G120+K124*K124*G121)/G123)^0.5</f>
        <v>2.489717661467283</v>
      </c>
      <c r="O126" s="79">
        <f>K126-K112</f>
        <v>0</v>
      </c>
    </row>
    <row r="127" spans="5:15" ht="13.5" thickBot="1">
      <c r="E127" s="32" t="s">
        <v>218</v>
      </c>
      <c r="F127" s="12"/>
      <c r="G127" s="38">
        <f>IF(G119&gt;0,SUMIF(G$12:G$110,"=3",E$12:E$110)/G119,0)</f>
        <v>28.548123017084862</v>
      </c>
      <c r="H127" s="39"/>
      <c r="I127" s="38"/>
      <c r="J127" s="40"/>
      <c r="K127" s="42"/>
      <c r="M127" s="17"/>
      <c r="O127" s="78" t="s">
        <v>281</v>
      </c>
    </row>
    <row r="128" spans="5:14" ht="12.75">
      <c r="E128" s="32" t="s">
        <v>219</v>
      </c>
      <c r="F128" s="12"/>
      <c r="G128" s="38">
        <f>IF(G120&gt;0,SUMIF(G$12:G$110,"=4",E$12:E$110)/G120,0)</f>
        <v>48.989615759515814</v>
      </c>
      <c r="H128" s="39"/>
      <c r="I128" s="38"/>
      <c r="J128" s="17"/>
      <c r="K128" s="17"/>
      <c r="M128" s="17"/>
      <c r="N128" s="17"/>
    </row>
    <row r="129" spans="5:14" ht="12.75">
      <c r="E129" s="32" t="s">
        <v>220</v>
      </c>
      <c r="F129" s="12"/>
      <c r="G129" s="38">
        <f>IF(G121&gt;0,SUMIF(G$12:G$110,"=5",E$12:E$110)/G121,0)</f>
        <v>82.82979215946077</v>
      </c>
      <c r="H129" s="39"/>
      <c r="I129" s="38"/>
      <c r="J129" s="17"/>
      <c r="K129" s="17"/>
      <c r="N129" s="17"/>
    </row>
    <row r="130" spans="5:11" ht="12.75">
      <c r="E130" s="37"/>
      <c r="F130" s="12"/>
      <c r="G130" s="26"/>
      <c r="H130" s="31"/>
      <c r="I130" s="26"/>
      <c r="K130" s="17"/>
    </row>
    <row r="131" spans="5:9" ht="13.5" thickBot="1">
      <c r="E131" s="40"/>
      <c r="F131" s="16"/>
      <c r="G131" s="41">
        <f>SUMPRODUCT(G117:G121,G125:G129)/G123</f>
        <v>12.108682873841285</v>
      </c>
      <c r="H131" s="42"/>
      <c r="I131" s="38"/>
    </row>
    <row r="132" ht="12.75">
      <c r="K132" s="76" t="s">
        <v>238</v>
      </c>
    </row>
    <row r="133" ht="64.5" thickBot="1">
      <c r="K133" s="75" t="s">
        <v>302</v>
      </c>
    </row>
  </sheetData>
  <conditionalFormatting sqref="O125 K120:K124 K126 K12:K110 N12:N110 M12:M124 I12:J12 H13:J110">
    <cfRule type="cellIs" priority="1" dxfId="3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G12:G110">
    <cfRule type="cellIs" priority="4" dxfId="0" operator="equal" stopIfTrue="1">
      <formula>4</formula>
    </cfRule>
    <cfRule type="cellIs" priority="5" dxfId="1" operator="equal" stopIfTrue="1">
      <formula>3</formula>
    </cfRule>
    <cfRule type="cellIs" priority="6" dxfId="2" operator="equal" stopIfTrue="1">
      <formula>2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X121"/>
  <sheetViews>
    <sheetView workbookViewId="0" topLeftCell="A1">
      <selection activeCell="A6" sqref="A6"/>
    </sheetView>
  </sheetViews>
  <sheetFormatPr defaultColWidth="9.140625" defaultRowHeight="12.75"/>
  <cols>
    <col min="1" max="1" width="5.421875" style="0" customWidth="1"/>
    <col min="3" max="3" width="12.421875" style="0" bestFit="1" customWidth="1"/>
    <col min="4" max="4" width="48.7109375" style="0" customWidth="1"/>
    <col min="5" max="5" width="9.7109375" style="5" customWidth="1"/>
    <col min="6" max="6" width="9.421875" style="0" customWidth="1"/>
    <col min="7" max="7" width="9.28125" style="0" customWidth="1"/>
    <col min="8" max="8" width="10.28125" style="0" customWidth="1"/>
    <col min="9" max="9" width="9.8515625" style="0" customWidth="1"/>
    <col min="10" max="10" width="11.8515625" style="0" customWidth="1"/>
    <col min="12" max="12" width="26.421875" style="0" customWidth="1"/>
    <col min="18" max="18" width="26.421875" style="0" customWidth="1"/>
    <col min="40" max="40" width="4.421875" style="0" customWidth="1"/>
  </cols>
  <sheetData>
    <row r="1" spans="1:18" ht="13.5" thickTop="1">
      <c r="A1" s="1" t="s">
        <v>287</v>
      </c>
      <c r="F1" s="127" t="s">
        <v>309</v>
      </c>
      <c r="G1" s="128"/>
      <c r="H1" s="128"/>
      <c r="I1" s="128"/>
      <c r="J1" s="63"/>
      <c r="L1" s="43" t="s">
        <v>285</v>
      </c>
      <c r="R1" s="43" t="s">
        <v>285</v>
      </c>
    </row>
    <row r="2" spans="1:18" ht="12.75">
      <c r="A2" s="1" t="s">
        <v>330</v>
      </c>
      <c r="F2" s="124" t="s">
        <v>307</v>
      </c>
      <c r="G2" s="47"/>
      <c r="H2" s="47"/>
      <c r="I2" s="47"/>
      <c r="J2" s="65"/>
      <c r="L2" s="97">
        <v>56</v>
      </c>
      <c r="R2" s="97">
        <v>35760</v>
      </c>
    </row>
    <row r="3" spans="1:18" ht="13.5" thickBot="1">
      <c r="A3" s="1" t="s">
        <v>286</v>
      </c>
      <c r="F3" s="125" t="s">
        <v>308</v>
      </c>
      <c r="G3" s="126"/>
      <c r="H3" s="126"/>
      <c r="I3" s="126"/>
      <c r="J3" s="69"/>
      <c r="L3" s="47" t="s">
        <v>284</v>
      </c>
      <c r="R3" s="47" t="s">
        <v>283</v>
      </c>
    </row>
    <row r="4" spans="2:18" ht="13.5" thickTop="1">
      <c r="B4" s="1"/>
      <c r="L4" s="4" t="s">
        <v>260</v>
      </c>
      <c r="R4" s="4" t="s">
        <v>262</v>
      </c>
    </row>
    <row r="5" spans="6:18" ht="12.75">
      <c r="F5" s="2" t="s">
        <v>278</v>
      </c>
      <c r="L5" s="4" t="s">
        <v>264</v>
      </c>
      <c r="R5" s="4" t="s">
        <v>264</v>
      </c>
    </row>
    <row r="6" spans="2:24" ht="12.75">
      <c r="B6" s="4" t="s">
        <v>275</v>
      </c>
      <c r="E6" s="4" t="s">
        <v>277</v>
      </c>
      <c r="F6" s="2" t="s">
        <v>279</v>
      </c>
      <c r="J6" s="2" t="s">
        <v>100</v>
      </c>
      <c r="L6" s="4" t="s">
        <v>263</v>
      </c>
      <c r="M6" s="4" t="s">
        <v>99</v>
      </c>
      <c r="N6" s="4"/>
      <c r="O6" s="4"/>
      <c r="P6" s="4"/>
      <c r="R6" s="4" t="s">
        <v>263</v>
      </c>
      <c r="S6" s="4" t="s">
        <v>99</v>
      </c>
      <c r="T6" s="4"/>
      <c r="U6" s="4"/>
      <c r="V6" s="4"/>
      <c r="W6" s="4"/>
      <c r="X6" s="4"/>
    </row>
    <row r="7" spans="2:24" ht="12.75">
      <c r="B7" s="4" t="s">
        <v>276</v>
      </c>
      <c r="C7" s="4" t="s">
        <v>204</v>
      </c>
      <c r="D7" s="4" t="s">
        <v>273</v>
      </c>
      <c r="E7" s="4" t="s">
        <v>99</v>
      </c>
      <c r="F7" s="2" t="s">
        <v>280</v>
      </c>
      <c r="G7" s="2" t="s">
        <v>0</v>
      </c>
      <c r="H7" s="2" t="s">
        <v>1</v>
      </c>
      <c r="I7" s="2"/>
      <c r="J7" s="2" t="s">
        <v>1</v>
      </c>
      <c r="L7" s="4" t="s">
        <v>271</v>
      </c>
      <c r="M7" s="4" t="s">
        <v>105</v>
      </c>
      <c r="N7" s="4"/>
      <c r="O7" s="4"/>
      <c r="P7" s="4"/>
      <c r="R7" s="4" t="s">
        <v>271</v>
      </c>
      <c r="S7" s="4" t="s">
        <v>105</v>
      </c>
      <c r="T7" s="4"/>
      <c r="U7" s="4"/>
      <c r="V7" s="4"/>
      <c r="W7" s="4"/>
      <c r="X7" s="4"/>
    </row>
    <row r="8" spans="1:24" ht="12.75">
      <c r="A8" s="4">
        <v>1</v>
      </c>
      <c r="B8" t="s">
        <v>274</v>
      </c>
      <c r="C8" t="s">
        <v>2</v>
      </c>
      <c r="D8" t="s">
        <v>106</v>
      </c>
      <c r="E8" s="5">
        <v>1</v>
      </c>
      <c r="F8" s="3">
        <v>14.96</v>
      </c>
      <c r="G8" s="15">
        <v>37246</v>
      </c>
      <c r="H8" s="3">
        <v>16.47485579005125</v>
      </c>
      <c r="I8" s="3"/>
      <c r="J8" s="6">
        <f>G8*H8</f>
        <v>613622.4787562488</v>
      </c>
      <c r="K8" s="93"/>
      <c r="L8" s="114">
        <v>1</v>
      </c>
      <c r="M8" s="93">
        <f aca="true" t="shared" si="0" ref="M8:M39">IF(L8=1,$N$111,IF(L8=2,$N$112,IF(L8=3,$N$113,IF(L8=4,$N$114,IF(L8=5,$N$115,"Error")))))</f>
        <v>28.762671548562892</v>
      </c>
      <c r="N8" s="93"/>
      <c r="O8" s="93"/>
      <c r="P8" s="93"/>
      <c r="Q8" s="93"/>
      <c r="R8" s="114">
        <v>1</v>
      </c>
      <c r="S8" s="93">
        <f>IF(R8=1,$T$111,IF(R8=2,$T$112,IF(R8=3,$T$113,IF(R8=4,$T$114,IF(R8=5,$T$115,"Error")))))</f>
        <v>22.947209070445627</v>
      </c>
      <c r="T8" s="93"/>
      <c r="U8" s="93"/>
      <c r="V8" s="93"/>
      <c r="W8" s="93"/>
      <c r="X8" s="93"/>
    </row>
    <row r="9" spans="1:24" ht="12.75">
      <c r="A9" s="4">
        <v>2</v>
      </c>
      <c r="B9" t="s">
        <v>274</v>
      </c>
      <c r="C9" t="s">
        <v>6</v>
      </c>
      <c r="D9" t="s">
        <v>108</v>
      </c>
      <c r="E9" s="5">
        <v>1</v>
      </c>
      <c r="F9" s="3">
        <v>14.96</v>
      </c>
      <c r="G9" s="15">
        <v>18454</v>
      </c>
      <c r="H9" s="3">
        <v>18.22756513598447</v>
      </c>
      <c r="I9" s="3" t="b">
        <f>(H9&gt;=H8)</f>
        <v>1</v>
      </c>
      <c r="J9" s="6">
        <f aca="true" t="shared" si="1" ref="J9:J72">G9*H9</f>
        <v>336371.4870194574</v>
      </c>
      <c r="K9" s="93"/>
      <c r="L9" s="114">
        <v>1</v>
      </c>
      <c r="M9" s="93">
        <f t="shared" si="0"/>
        <v>28.762671548562892</v>
      </c>
      <c r="N9" s="93"/>
      <c r="O9" s="93"/>
      <c r="P9" s="93"/>
      <c r="Q9" s="93"/>
      <c r="R9" s="114">
        <v>1</v>
      </c>
      <c r="S9" s="93">
        <f aca="true" t="shared" si="2" ref="S9:S72">IF(R9=1,$T$111,IF(R9=2,$T$112,IF(R9=3,$T$113,IF(R9=4,$T$114,IF(R9=5,$T$115,"Error")))))</f>
        <v>22.947209070445627</v>
      </c>
      <c r="T9" s="93"/>
      <c r="U9" s="93"/>
      <c r="V9" s="93"/>
      <c r="W9" s="93"/>
      <c r="X9" s="93"/>
    </row>
    <row r="10" spans="1:24" ht="12.75">
      <c r="A10" s="4">
        <v>3</v>
      </c>
      <c r="B10" t="s">
        <v>274</v>
      </c>
      <c r="C10" t="s">
        <v>8</v>
      </c>
      <c r="D10" t="s">
        <v>107</v>
      </c>
      <c r="E10" s="5">
        <v>1</v>
      </c>
      <c r="F10" s="3">
        <v>14.96</v>
      </c>
      <c r="G10" s="15">
        <v>35881</v>
      </c>
      <c r="H10" s="3">
        <v>19.488323268638027</v>
      </c>
      <c r="I10" s="3" t="b">
        <f aca="true" t="shared" si="3" ref="I10:I73">(H10&gt;=H9)</f>
        <v>1</v>
      </c>
      <c r="J10" s="6">
        <f t="shared" si="1"/>
        <v>699260.5272020011</v>
      </c>
      <c r="K10" s="93"/>
      <c r="L10" s="114">
        <v>1</v>
      </c>
      <c r="M10" s="93">
        <f t="shared" si="0"/>
        <v>28.762671548562892</v>
      </c>
      <c r="N10" s="93"/>
      <c r="O10" s="93"/>
      <c r="P10" s="93"/>
      <c r="Q10" s="93"/>
      <c r="R10" s="114">
        <v>1</v>
      </c>
      <c r="S10" s="93">
        <f t="shared" si="2"/>
        <v>22.947209070445627</v>
      </c>
      <c r="T10" s="93"/>
      <c r="U10" s="93"/>
      <c r="V10" s="93"/>
      <c r="W10" s="93"/>
      <c r="X10" s="93"/>
    </row>
    <row r="11" spans="1:24" ht="12.75">
      <c r="A11" s="4">
        <v>4</v>
      </c>
      <c r="B11" t="s">
        <v>274</v>
      </c>
      <c r="C11" t="s">
        <v>11</v>
      </c>
      <c r="D11" t="s">
        <v>113</v>
      </c>
      <c r="E11" s="5">
        <v>2</v>
      </c>
      <c r="F11" s="3">
        <v>16.74</v>
      </c>
      <c r="G11" s="15">
        <v>70626</v>
      </c>
      <c r="H11" s="3">
        <v>20.737672200679057</v>
      </c>
      <c r="I11" s="3" t="b">
        <f t="shared" si="3"/>
        <v>1</v>
      </c>
      <c r="J11" s="6">
        <f t="shared" si="1"/>
        <v>1464618.836845159</v>
      </c>
      <c r="K11" s="93"/>
      <c r="L11" s="114">
        <v>1</v>
      </c>
      <c r="M11" s="93">
        <f t="shared" si="0"/>
        <v>28.762671548562892</v>
      </c>
      <c r="N11" s="93"/>
      <c r="O11" s="93"/>
      <c r="P11" s="93"/>
      <c r="Q11" s="93"/>
      <c r="R11" s="114">
        <v>1</v>
      </c>
      <c r="S11" s="93">
        <f t="shared" si="2"/>
        <v>22.947209070445627</v>
      </c>
      <c r="T11" s="93"/>
      <c r="U11" s="93"/>
      <c r="V11" s="93"/>
      <c r="W11" s="93"/>
      <c r="X11" s="93"/>
    </row>
    <row r="12" spans="1:24" ht="12.75">
      <c r="A12" s="4">
        <v>5</v>
      </c>
      <c r="B12" t="s">
        <v>274</v>
      </c>
      <c r="C12" t="s">
        <v>12</v>
      </c>
      <c r="D12" t="s">
        <v>115</v>
      </c>
      <c r="E12" s="5">
        <v>5</v>
      </c>
      <c r="F12" s="3">
        <v>49.85</v>
      </c>
      <c r="G12" s="15">
        <v>33806</v>
      </c>
      <c r="H12" s="3">
        <v>21.1716475510305</v>
      </c>
      <c r="I12" s="3" t="b">
        <f t="shared" si="3"/>
        <v>1</v>
      </c>
      <c r="J12" s="6">
        <f t="shared" si="1"/>
        <v>715728.7171101371</v>
      </c>
      <c r="K12" s="93"/>
      <c r="L12" s="114">
        <v>1</v>
      </c>
      <c r="M12" s="93">
        <f t="shared" si="0"/>
        <v>28.762671548562892</v>
      </c>
      <c r="N12" s="93"/>
      <c r="O12" s="93"/>
      <c r="P12" s="93"/>
      <c r="Q12" s="93"/>
      <c r="R12" s="114">
        <v>1</v>
      </c>
      <c r="S12" s="93">
        <f t="shared" si="2"/>
        <v>22.947209070445627</v>
      </c>
      <c r="T12" s="93"/>
      <c r="U12" s="93"/>
      <c r="V12" s="93"/>
      <c r="W12" s="93"/>
      <c r="X12" s="93"/>
    </row>
    <row r="13" spans="1:24" ht="12.75">
      <c r="A13" s="4">
        <v>6</v>
      </c>
      <c r="B13" t="s">
        <v>274</v>
      </c>
      <c r="C13" t="s">
        <v>10</v>
      </c>
      <c r="D13" t="s">
        <v>112</v>
      </c>
      <c r="E13" s="5">
        <v>2</v>
      </c>
      <c r="F13" s="3">
        <v>16.74</v>
      </c>
      <c r="G13" s="15">
        <v>71404</v>
      </c>
      <c r="H13" s="3">
        <v>21.63932977378414</v>
      </c>
      <c r="I13" s="3" t="b">
        <f t="shared" si="3"/>
        <v>1</v>
      </c>
      <c r="J13" s="6">
        <f t="shared" si="1"/>
        <v>1545134.7031672827</v>
      </c>
      <c r="K13" s="93"/>
      <c r="L13" s="114">
        <v>1</v>
      </c>
      <c r="M13" s="93">
        <f t="shared" si="0"/>
        <v>28.762671548562892</v>
      </c>
      <c r="N13" s="93"/>
      <c r="O13" s="93"/>
      <c r="P13" s="93"/>
      <c r="Q13" s="93"/>
      <c r="R13" s="114">
        <v>1</v>
      </c>
      <c r="S13" s="93">
        <f t="shared" si="2"/>
        <v>22.947209070445627</v>
      </c>
      <c r="T13" s="93"/>
      <c r="U13" s="93"/>
      <c r="V13" s="93"/>
      <c r="W13" s="93"/>
      <c r="X13" s="93"/>
    </row>
    <row r="14" spans="1:24" ht="12.75">
      <c r="A14" s="4">
        <v>7</v>
      </c>
      <c r="B14" t="s">
        <v>274</v>
      </c>
      <c r="C14" t="s">
        <v>3</v>
      </c>
      <c r="D14" t="s">
        <v>109</v>
      </c>
      <c r="E14" s="5">
        <v>1</v>
      </c>
      <c r="F14" s="3">
        <v>14.96</v>
      </c>
      <c r="G14" s="15">
        <v>16883</v>
      </c>
      <c r="H14" s="3">
        <v>21.670671964808598</v>
      </c>
      <c r="I14" s="3" t="b">
        <f t="shared" si="3"/>
        <v>1</v>
      </c>
      <c r="J14" s="6">
        <f t="shared" si="1"/>
        <v>365865.95478186355</v>
      </c>
      <c r="K14" s="93"/>
      <c r="L14" s="114">
        <v>1</v>
      </c>
      <c r="M14" s="93">
        <f t="shared" si="0"/>
        <v>28.762671548562892</v>
      </c>
      <c r="N14" s="93"/>
      <c r="O14" s="93"/>
      <c r="P14" s="93"/>
      <c r="Q14" s="93"/>
      <c r="R14" s="114">
        <v>1</v>
      </c>
      <c r="S14" s="93">
        <f t="shared" si="2"/>
        <v>22.947209070445627</v>
      </c>
      <c r="T14" s="93"/>
      <c r="U14" s="93"/>
      <c r="V14" s="93"/>
      <c r="W14" s="93"/>
      <c r="X14" s="93"/>
    </row>
    <row r="15" spans="1:24" ht="12.75">
      <c r="A15" s="4">
        <v>8</v>
      </c>
      <c r="B15" t="s">
        <v>274</v>
      </c>
      <c r="C15" t="s">
        <v>5</v>
      </c>
      <c r="D15" t="s">
        <v>110</v>
      </c>
      <c r="E15" s="5">
        <v>1</v>
      </c>
      <c r="F15" s="3">
        <v>14.96</v>
      </c>
      <c r="G15" s="15">
        <v>37871</v>
      </c>
      <c r="H15" s="3">
        <v>21.70566571210507</v>
      </c>
      <c r="I15" s="3" t="b">
        <f t="shared" si="3"/>
        <v>1</v>
      </c>
      <c r="J15" s="6">
        <f t="shared" si="1"/>
        <v>822015.2661831311</v>
      </c>
      <c r="K15" s="93"/>
      <c r="L15" s="114">
        <v>1</v>
      </c>
      <c r="M15" s="93">
        <f t="shared" si="0"/>
        <v>28.762671548562892</v>
      </c>
      <c r="N15" s="93"/>
      <c r="O15" s="93"/>
      <c r="P15" s="93"/>
      <c r="Q15" s="93"/>
      <c r="R15" s="114">
        <v>1</v>
      </c>
      <c r="S15" s="93">
        <f t="shared" si="2"/>
        <v>22.947209070445627</v>
      </c>
      <c r="T15" s="93"/>
      <c r="U15" s="93"/>
      <c r="V15" s="93"/>
      <c r="W15" s="93"/>
      <c r="X15" s="93"/>
    </row>
    <row r="16" spans="1:24" ht="12.75">
      <c r="A16" s="4">
        <v>9</v>
      </c>
      <c r="B16" t="s">
        <v>274</v>
      </c>
      <c r="C16" t="s">
        <v>21</v>
      </c>
      <c r="D16" t="s">
        <v>118</v>
      </c>
      <c r="E16" s="5">
        <v>2</v>
      </c>
      <c r="F16" s="3">
        <v>16.74</v>
      </c>
      <c r="G16" s="15">
        <v>23573</v>
      </c>
      <c r="H16" s="3">
        <v>24.871064955089288</v>
      </c>
      <c r="I16" s="3" t="b">
        <f t="shared" si="3"/>
        <v>1</v>
      </c>
      <c r="J16" s="6">
        <f t="shared" si="1"/>
        <v>586285.6141863198</v>
      </c>
      <c r="K16" s="93"/>
      <c r="L16" s="114">
        <v>1</v>
      </c>
      <c r="M16" s="93">
        <f t="shared" si="0"/>
        <v>28.762671548562892</v>
      </c>
      <c r="N16" s="93"/>
      <c r="O16" s="93"/>
      <c r="P16" s="93"/>
      <c r="Q16" s="93"/>
      <c r="R16" s="114">
        <v>1</v>
      </c>
      <c r="S16" s="93">
        <f t="shared" si="2"/>
        <v>22.947209070445627</v>
      </c>
      <c r="T16" s="93"/>
      <c r="U16" s="93"/>
      <c r="V16" s="93"/>
      <c r="W16" s="93"/>
      <c r="X16" s="93"/>
    </row>
    <row r="17" spans="1:24" ht="12.75">
      <c r="A17" s="4">
        <v>10</v>
      </c>
      <c r="B17" s="4">
        <v>10</v>
      </c>
      <c r="C17" t="s">
        <v>7</v>
      </c>
      <c r="D17" t="s">
        <v>111</v>
      </c>
      <c r="E17" s="5">
        <v>1</v>
      </c>
      <c r="F17" s="3">
        <v>14.96</v>
      </c>
      <c r="G17" s="15">
        <v>65915</v>
      </c>
      <c r="H17" s="3">
        <v>25.46394230403292</v>
      </c>
      <c r="I17" s="3" t="b">
        <f t="shared" si="3"/>
        <v>1</v>
      </c>
      <c r="J17" s="6">
        <f t="shared" si="1"/>
        <v>1678455.75697033</v>
      </c>
      <c r="K17" s="93"/>
      <c r="L17" s="114">
        <v>1</v>
      </c>
      <c r="M17" s="93">
        <f t="shared" si="0"/>
        <v>28.762671548562892</v>
      </c>
      <c r="N17" s="93"/>
      <c r="O17" s="93"/>
      <c r="P17" s="93"/>
      <c r="Q17" s="93"/>
      <c r="R17" s="114">
        <v>1</v>
      </c>
      <c r="S17" s="93">
        <f t="shared" si="2"/>
        <v>22.947209070445627</v>
      </c>
      <c r="T17" s="93"/>
      <c r="U17" s="93"/>
      <c r="V17" s="93"/>
      <c r="W17" s="93"/>
      <c r="X17" s="93"/>
    </row>
    <row r="18" spans="1:24" ht="12.75">
      <c r="A18" s="4">
        <v>11</v>
      </c>
      <c r="B18" t="s">
        <v>274</v>
      </c>
      <c r="C18" t="s">
        <v>15</v>
      </c>
      <c r="D18" t="s">
        <v>138</v>
      </c>
      <c r="E18" s="5">
        <v>4</v>
      </c>
      <c r="F18" s="3">
        <v>23.36</v>
      </c>
      <c r="G18" s="15">
        <v>2464</v>
      </c>
      <c r="H18" s="3">
        <v>25.47788048323789</v>
      </c>
      <c r="I18" s="3" t="b">
        <f t="shared" si="3"/>
        <v>1</v>
      </c>
      <c r="J18" s="6">
        <f t="shared" si="1"/>
        <v>62777.49751069816</v>
      </c>
      <c r="K18" s="93"/>
      <c r="L18" s="114">
        <v>1</v>
      </c>
      <c r="M18" s="93">
        <f t="shared" si="0"/>
        <v>28.762671548562892</v>
      </c>
      <c r="N18" s="93"/>
      <c r="O18" s="93"/>
      <c r="P18" s="93"/>
      <c r="Q18" s="93"/>
      <c r="R18" s="114">
        <v>1</v>
      </c>
      <c r="S18" s="93">
        <f t="shared" si="2"/>
        <v>22.947209070445627</v>
      </c>
      <c r="T18" s="93"/>
      <c r="U18" s="93"/>
      <c r="V18" s="93"/>
      <c r="W18" s="93"/>
      <c r="X18" s="93"/>
    </row>
    <row r="19" spans="1:24" ht="12.75">
      <c r="A19" s="4">
        <v>12</v>
      </c>
      <c r="B19" t="s">
        <v>274</v>
      </c>
      <c r="C19" t="s">
        <v>9</v>
      </c>
      <c r="D19" t="s">
        <v>116</v>
      </c>
      <c r="E19" s="5">
        <v>2</v>
      </c>
      <c r="F19" s="3">
        <v>16.74</v>
      </c>
      <c r="G19" s="15">
        <v>31181</v>
      </c>
      <c r="H19" s="3">
        <v>25.57909676102505</v>
      </c>
      <c r="I19" s="3" t="b">
        <f t="shared" si="3"/>
        <v>1</v>
      </c>
      <c r="J19" s="6">
        <f t="shared" si="1"/>
        <v>797581.8161055221</v>
      </c>
      <c r="K19" s="93"/>
      <c r="L19" s="114">
        <v>1</v>
      </c>
      <c r="M19" s="93">
        <f t="shared" si="0"/>
        <v>28.762671548562892</v>
      </c>
      <c r="N19" s="93"/>
      <c r="O19" s="93"/>
      <c r="P19" s="93"/>
      <c r="Q19" s="93"/>
      <c r="R19" s="114">
        <v>1</v>
      </c>
      <c r="S19" s="93">
        <f t="shared" si="2"/>
        <v>22.947209070445627</v>
      </c>
      <c r="T19" s="93"/>
      <c r="U19" s="93"/>
      <c r="V19" s="93"/>
      <c r="W19" s="93"/>
      <c r="X19" s="93"/>
    </row>
    <row r="20" spans="1:24" ht="12.75">
      <c r="A20" s="4">
        <v>13</v>
      </c>
      <c r="B20" t="s">
        <v>274</v>
      </c>
      <c r="C20" t="s">
        <v>17</v>
      </c>
      <c r="D20" t="s">
        <v>114</v>
      </c>
      <c r="E20" s="5">
        <v>1</v>
      </c>
      <c r="F20" s="3">
        <v>14.96</v>
      </c>
      <c r="G20" s="15">
        <v>84545</v>
      </c>
      <c r="H20" s="3">
        <v>26.89973463253923</v>
      </c>
      <c r="I20" s="3" t="b">
        <f t="shared" si="3"/>
        <v>1</v>
      </c>
      <c r="J20" s="6">
        <f t="shared" si="1"/>
        <v>2274238.0645080293</v>
      </c>
      <c r="K20" s="93"/>
      <c r="L20" s="114">
        <v>1</v>
      </c>
      <c r="M20" s="93">
        <f t="shared" si="0"/>
        <v>28.762671548562892</v>
      </c>
      <c r="N20" s="93"/>
      <c r="O20" s="93"/>
      <c r="P20" s="93"/>
      <c r="Q20" s="93"/>
      <c r="R20" s="114">
        <v>1</v>
      </c>
      <c r="S20" s="93">
        <f t="shared" si="2"/>
        <v>22.947209070445627</v>
      </c>
      <c r="T20" s="93"/>
      <c r="U20" s="93"/>
      <c r="V20" s="93"/>
      <c r="W20" s="93"/>
      <c r="X20" s="93"/>
    </row>
    <row r="21" spans="1:24" ht="12.75">
      <c r="A21" s="4">
        <v>14</v>
      </c>
      <c r="B21" t="s">
        <v>274</v>
      </c>
      <c r="C21" t="s">
        <v>14</v>
      </c>
      <c r="D21" t="s">
        <v>121</v>
      </c>
      <c r="E21" s="5">
        <v>4</v>
      </c>
      <c r="F21" s="3">
        <v>23.36</v>
      </c>
      <c r="G21" s="15">
        <v>35762</v>
      </c>
      <c r="H21" s="3">
        <v>28.444638140977602</v>
      </c>
      <c r="I21" s="3" t="b">
        <f t="shared" si="3"/>
        <v>1</v>
      </c>
      <c r="J21" s="6">
        <f t="shared" si="1"/>
        <v>1017237.1491976411</v>
      </c>
      <c r="K21" s="93"/>
      <c r="L21" s="114">
        <v>1</v>
      </c>
      <c r="M21" s="93">
        <f t="shared" si="0"/>
        <v>28.762671548562892</v>
      </c>
      <c r="N21" s="93"/>
      <c r="O21" s="93"/>
      <c r="P21" s="93"/>
      <c r="Q21" s="93"/>
      <c r="R21" s="114">
        <v>1</v>
      </c>
      <c r="S21" s="93">
        <f t="shared" si="2"/>
        <v>22.947209070445627</v>
      </c>
      <c r="T21" s="93"/>
      <c r="U21" s="93"/>
      <c r="V21" s="93"/>
      <c r="W21" s="93"/>
      <c r="X21" s="93"/>
    </row>
    <row r="22" spans="1:24" ht="12.75">
      <c r="A22" s="4">
        <v>15</v>
      </c>
      <c r="B22" t="s">
        <v>274</v>
      </c>
      <c r="C22" t="s">
        <v>25</v>
      </c>
      <c r="D22" t="s">
        <v>125</v>
      </c>
      <c r="E22" s="5">
        <v>4</v>
      </c>
      <c r="F22" s="3">
        <v>23.36</v>
      </c>
      <c r="G22" s="15">
        <v>21106</v>
      </c>
      <c r="H22" s="3">
        <v>29.05078382312628</v>
      </c>
      <c r="I22" s="3" t="b">
        <f t="shared" si="3"/>
        <v>1</v>
      </c>
      <c r="J22" s="6">
        <f t="shared" si="1"/>
        <v>613145.8433709033</v>
      </c>
      <c r="K22" s="93"/>
      <c r="L22" s="114">
        <v>1</v>
      </c>
      <c r="M22" s="93">
        <f t="shared" si="0"/>
        <v>28.762671548562892</v>
      </c>
      <c r="N22" s="93"/>
      <c r="O22" s="93"/>
      <c r="P22" s="93"/>
      <c r="Q22" s="93"/>
      <c r="R22" s="114">
        <v>2</v>
      </c>
      <c r="S22" s="93">
        <f t="shared" si="2"/>
        <v>34.73173880038133</v>
      </c>
      <c r="T22" s="93"/>
      <c r="U22" s="93"/>
      <c r="V22" s="93"/>
      <c r="W22" s="93"/>
      <c r="X22" s="93"/>
    </row>
    <row r="23" spans="1:24" ht="12.75">
      <c r="A23" s="4">
        <v>16</v>
      </c>
      <c r="B23" t="s">
        <v>274</v>
      </c>
      <c r="C23" t="s">
        <v>30</v>
      </c>
      <c r="D23" t="s">
        <v>126</v>
      </c>
      <c r="E23" s="5">
        <v>4</v>
      </c>
      <c r="F23" s="3">
        <v>23.36</v>
      </c>
      <c r="G23" s="15">
        <v>12577</v>
      </c>
      <c r="H23" s="3">
        <v>29.838187742158432</v>
      </c>
      <c r="I23" s="3" t="b">
        <f t="shared" si="3"/>
        <v>1</v>
      </c>
      <c r="J23" s="6">
        <f t="shared" si="1"/>
        <v>375274.8872331266</v>
      </c>
      <c r="K23" s="93"/>
      <c r="L23" s="114">
        <v>1</v>
      </c>
      <c r="M23" s="93">
        <f t="shared" si="0"/>
        <v>28.762671548562892</v>
      </c>
      <c r="N23" s="93"/>
      <c r="O23" s="93"/>
      <c r="P23" s="93"/>
      <c r="Q23" s="93"/>
      <c r="R23" s="114">
        <v>2</v>
      </c>
      <c r="S23" s="93">
        <f t="shared" si="2"/>
        <v>34.73173880038133</v>
      </c>
      <c r="T23" s="93"/>
      <c r="U23" s="93"/>
      <c r="V23" s="93"/>
      <c r="W23" s="93"/>
      <c r="X23" s="93"/>
    </row>
    <row r="24" spans="1:24" ht="12.75">
      <c r="A24" s="4">
        <v>17</v>
      </c>
      <c r="B24" t="s">
        <v>274</v>
      </c>
      <c r="C24" t="s">
        <v>13</v>
      </c>
      <c r="D24" t="s">
        <v>124</v>
      </c>
      <c r="E24" s="5">
        <v>5</v>
      </c>
      <c r="F24" s="3">
        <v>49.85</v>
      </c>
      <c r="G24" s="15">
        <v>24454</v>
      </c>
      <c r="H24" s="3">
        <v>29.95986630113672</v>
      </c>
      <c r="I24" s="3" t="b">
        <f t="shared" si="3"/>
        <v>1</v>
      </c>
      <c r="J24" s="6">
        <f t="shared" si="1"/>
        <v>732638.5705279973</v>
      </c>
      <c r="K24" s="93"/>
      <c r="L24" s="114">
        <v>1</v>
      </c>
      <c r="M24" s="93">
        <f t="shared" si="0"/>
        <v>28.762671548562892</v>
      </c>
      <c r="N24" s="93"/>
      <c r="O24" s="93"/>
      <c r="P24" s="93"/>
      <c r="Q24" s="93"/>
      <c r="R24" s="114">
        <v>2</v>
      </c>
      <c r="S24" s="93">
        <f t="shared" si="2"/>
        <v>34.73173880038133</v>
      </c>
      <c r="T24" s="93"/>
      <c r="U24" s="93"/>
      <c r="V24" s="93"/>
      <c r="W24" s="93"/>
      <c r="X24" s="93"/>
    </row>
    <row r="25" spans="1:24" ht="12.75">
      <c r="A25" s="4">
        <v>18</v>
      </c>
      <c r="B25" t="s">
        <v>274</v>
      </c>
      <c r="C25" t="s">
        <v>4</v>
      </c>
      <c r="D25" t="s">
        <v>119</v>
      </c>
      <c r="E25" s="5">
        <v>3</v>
      </c>
      <c r="F25" s="3">
        <v>20.11</v>
      </c>
      <c r="G25" s="15">
        <v>5554</v>
      </c>
      <c r="H25" s="3">
        <v>30.06642317587024</v>
      </c>
      <c r="I25" s="3" t="b">
        <f t="shared" si="3"/>
        <v>1</v>
      </c>
      <c r="J25" s="6">
        <f t="shared" si="1"/>
        <v>166988.91431878333</v>
      </c>
      <c r="K25" s="93"/>
      <c r="L25" s="114">
        <v>1</v>
      </c>
      <c r="M25" s="93">
        <f t="shared" si="0"/>
        <v>28.762671548562892</v>
      </c>
      <c r="N25" s="93"/>
      <c r="O25" s="93"/>
      <c r="P25" s="93"/>
      <c r="Q25" s="93"/>
      <c r="R25" s="114">
        <v>2</v>
      </c>
      <c r="S25" s="93">
        <f t="shared" si="2"/>
        <v>34.73173880038133</v>
      </c>
      <c r="T25" s="93"/>
      <c r="U25" s="93"/>
      <c r="V25" s="93"/>
      <c r="W25" s="93"/>
      <c r="X25" s="93"/>
    </row>
    <row r="26" spans="1:24" ht="12.75">
      <c r="A26" s="4">
        <v>19</v>
      </c>
      <c r="B26" t="s">
        <v>274</v>
      </c>
      <c r="C26" t="s">
        <v>206</v>
      </c>
      <c r="D26" t="s">
        <v>120</v>
      </c>
      <c r="E26" s="5">
        <v>3</v>
      </c>
      <c r="F26" s="3">
        <v>20.11</v>
      </c>
      <c r="G26" s="15">
        <v>10648</v>
      </c>
      <c r="H26" s="3">
        <v>30.57853078977631</v>
      </c>
      <c r="I26" s="3" t="b">
        <f t="shared" si="3"/>
        <v>1</v>
      </c>
      <c r="J26" s="6">
        <f t="shared" si="1"/>
        <v>325600.19584953814</v>
      </c>
      <c r="K26" s="93"/>
      <c r="L26" s="114">
        <v>1</v>
      </c>
      <c r="M26" s="93">
        <f t="shared" si="0"/>
        <v>28.762671548562892</v>
      </c>
      <c r="N26" s="93"/>
      <c r="O26" s="93"/>
      <c r="P26" s="93"/>
      <c r="Q26" s="93"/>
      <c r="R26" s="114">
        <v>2</v>
      </c>
      <c r="S26" s="93">
        <f t="shared" si="2"/>
        <v>34.73173880038133</v>
      </c>
      <c r="T26" s="93"/>
      <c r="U26" s="93"/>
      <c r="V26" s="93"/>
      <c r="W26" s="93"/>
      <c r="X26" s="93"/>
    </row>
    <row r="27" spans="1:24" s="12" customFormat="1" ht="12.75">
      <c r="A27" s="4">
        <v>0</v>
      </c>
      <c r="B27" s="4">
        <v>20</v>
      </c>
      <c r="C27" t="s">
        <v>24</v>
      </c>
      <c r="D27" t="s">
        <v>142</v>
      </c>
      <c r="E27" s="5">
        <v>5</v>
      </c>
      <c r="F27" s="3">
        <v>49.85</v>
      </c>
      <c r="G27" s="15">
        <v>15666</v>
      </c>
      <c r="H27" s="3">
        <v>30.78699049042135</v>
      </c>
      <c r="I27" s="3" t="b">
        <f t="shared" si="3"/>
        <v>1</v>
      </c>
      <c r="J27" s="6">
        <f t="shared" si="1"/>
        <v>482308.9930229409</v>
      </c>
      <c r="K27" s="93"/>
      <c r="L27" s="114">
        <v>1</v>
      </c>
      <c r="M27" s="93">
        <f t="shared" si="0"/>
        <v>28.762671548562892</v>
      </c>
      <c r="N27" s="93"/>
      <c r="O27" s="93"/>
      <c r="P27" s="93"/>
      <c r="Q27" s="93"/>
      <c r="R27" s="114">
        <v>2</v>
      </c>
      <c r="S27" s="93">
        <f t="shared" si="2"/>
        <v>34.73173880038133</v>
      </c>
      <c r="T27" s="93"/>
      <c r="U27" s="93"/>
      <c r="V27" s="93"/>
      <c r="W27" s="93"/>
      <c r="X27" s="93"/>
    </row>
    <row r="28" spans="1:24" ht="12.75">
      <c r="A28" s="4">
        <v>21</v>
      </c>
      <c r="B28" t="s">
        <v>274</v>
      </c>
      <c r="C28" t="s">
        <v>207</v>
      </c>
      <c r="D28" t="s">
        <v>127</v>
      </c>
      <c r="E28" s="5">
        <v>2</v>
      </c>
      <c r="F28" s="3">
        <v>16.74</v>
      </c>
      <c r="G28" s="15">
        <v>11135</v>
      </c>
      <c r="H28" s="3">
        <v>31.181996231952777</v>
      </c>
      <c r="I28" s="3" t="b">
        <f t="shared" si="3"/>
        <v>1</v>
      </c>
      <c r="J28" s="6">
        <f t="shared" si="1"/>
        <v>347211.52804279415</v>
      </c>
      <c r="K28" s="93"/>
      <c r="L28" s="114">
        <v>1</v>
      </c>
      <c r="M28" s="93">
        <f t="shared" si="0"/>
        <v>28.762671548562892</v>
      </c>
      <c r="N28" s="93"/>
      <c r="O28" s="93"/>
      <c r="P28" s="93"/>
      <c r="Q28" s="93"/>
      <c r="R28" s="114">
        <v>2</v>
      </c>
      <c r="S28" s="93">
        <f t="shared" si="2"/>
        <v>34.73173880038133</v>
      </c>
      <c r="T28" s="93"/>
      <c r="U28" s="93"/>
      <c r="V28" s="93"/>
      <c r="W28" s="93"/>
      <c r="X28" s="93"/>
    </row>
    <row r="29" spans="1:24" ht="12.75">
      <c r="A29" s="4">
        <v>22</v>
      </c>
      <c r="B29" t="s">
        <v>274</v>
      </c>
      <c r="C29" t="s">
        <v>19</v>
      </c>
      <c r="D29" t="s">
        <v>128</v>
      </c>
      <c r="E29" s="5">
        <v>4</v>
      </c>
      <c r="F29" s="3">
        <v>23.36</v>
      </c>
      <c r="G29" s="15">
        <v>14284</v>
      </c>
      <c r="H29" s="3">
        <v>31.99834203526781</v>
      </c>
      <c r="I29" s="3" t="b">
        <f t="shared" si="3"/>
        <v>1</v>
      </c>
      <c r="J29" s="6">
        <f t="shared" si="1"/>
        <v>457064.3176317654</v>
      </c>
      <c r="K29" s="93"/>
      <c r="L29" s="114">
        <v>1</v>
      </c>
      <c r="M29" s="93">
        <f t="shared" si="0"/>
        <v>28.762671548562892</v>
      </c>
      <c r="N29" s="93"/>
      <c r="O29" s="93"/>
      <c r="P29" s="93"/>
      <c r="Q29" s="93"/>
      <c r="R29" s="114">
        <v>2</v>
      </c>
      <c r="S29" s="93">
        <f t="shared" si="2"/>
        <v>34.73173880038133</v>
      </c>
      <c r="T29" s="93"/>
      <c r="U29" s="93"/>
      <c r="V29" s="93"/>
      <c r="W29" s="93"/>
      <c r="X29" s="93"/>
    </row>
    <row r="30" spans="1:24" ht="12.75">
      <c r="A30" s="4">
        <v>23</v>
      </c>
      <c r="B30" t="s">
        <v>274</v>
      </c>
      <c r="C30" t="s">
        <v>20</v>
      </c>
      <c r="D30" t="s">
        <v>117</v>
      </c>
      <c r="E30" s="5">
        <v>4</v>
      </c>
      <c r="F30" s="3">
        <v>23.36</v>
      </c>
      <c r="G30" s="15">
        <v>21765</v>
      </c>
      <c r="H30" s="3">
        <v>32.072205176139605</v>
      </c>
      <c r="I30" s="3" t="b">
        <f t="shared" si="3"/>
        <v>1</v>
      </c>
      <c r="J30" s="6">
        <f t="shared" si="1"/>
        <v>698051.5456586785</v>
      </c>
      <c r="K30" s="93"/>
      <c r="L30" s="114">
        <v>1</v>
      </c>
      <c r="M30" s="93">
        <f t="shared" si="0"/>
        <v>28.762671548562892</v>
      </c>
      <c r="N30" s="93"/>
      <c r="O30" s="93"/>
      <c r="P30" s="93"/>
      <c r="Q30" s="93"/>
      <c r="R30" s="114">
        <v>2</v>
      </c>
      <c r="S30" s="93">
        <f t="shared" si="2"/>
        <v>34.73173880038133</v>
      </c>
      <c r="T30" s="93"/>
      <c r="U30" s="93"/>
      <c r="V30" s="93"/>
      <c r="W30" s="93"/>
      <c r="X30" s="93"/>
    </row>
    <row r="31" spans="1:24" ht="12.75">
      <c r="A31" s="4">
        <v>24</v>
      </c>
      <c r="B31" t="s">
        <v>274</v>
      </c>
      <c r="C31" t="s">
        <v>36</v>
      </c>
      <c r="D31" t="s">
        <v>141</v>
      </c>
      <c r="E31" s="5">
        <v>4</v>
      </c>
      <c r="F31" s="3">
        <v>23.36</v>
      </c>
      <c r="G31" s="15">
        <v>8433</v>
      </c>
      <c r="H31" s="3">
        <v>32.838539856139</v>
      </c>
      <c r="I31" s="3" t="b">
        <f t="shared" si="3"/>
        <v>1</v>
      </c>
      <c r="J31" s="6">
        <f t="shared" si="1"/>
        <v>276927.4066068202</v>
      </c>
      <c r="K31" s="93"/>
      <c r="L31" s="114">
        <v>1</v>
      </c>
      <c r="M31" s="93">
        <f t="shared" si="0"/>
        <v>28.762671548562892</v>
      </c>
      <c r="N31" s="93"/>
      <c r="O31" s="93"/>
      <c r="P31" s="93"/>
      <c r="Q31" s="93"/>
      <c r="R31" s="114">
        <v>2</v>
      </c>
      <c r="S31" s="93">
        <f t="shared" si="2"/>
        <v>34.73173880038133</v>
      </c>
      <c r="T31" s="93"/>
      <c r="U31" s="93"/>
      <c r="V31" s="93"/>
      <c r="W31" s="93"/>
      <c r="X31" s="93"/>
    </row>
    <row r="32" spans="1:24" ht="12.75">
      <c r="A32" s="4">
        <v>25</v>
      </c>
      <c r="B32" t="s">
        <v>274</v>
      </c>
      <c r="C32" t="s">
        <v>34</v>
      </c>
      <c r="D32" t="s">
        <v>139</v>
      </c>
      <c r="E32" s="5">
        <v>5</v>
      </c>
      <c r="F32" s="3">
        <v>49.85</v>
      </c>
      <c r="G32" s="15">
        <v>3955</v>
      </c>
      <c r="H32" s="3">
        <v>33.41642632974886</v>
      </c>
      <c r="I32" s="3" t="b">
        <f t="shared" si="3"/>
        <v>1</v>
      </c>
      <c r="J32" s="6">
        <f t="shared" si="1"/>
        <v>132161.96613415674</v>
      </c>
      <c r="K32" s="93"/>
      <c r="L32" s="114">
        <v>1</v>
      </c>
      <c r="M32" s="93">
        <f t="shared" si="0"/>
        <v>28.762671548562892</v>
      </c>
      <c r="N32" s="93"/>
      <c r="O32" s="93"/>
      <c r="P32" s="93"/>
      <c r="Q32" s="93"/>
      <c r="R32" s="114">
        <v>2</v>
      </c>
      <c r="S32" s="93">
        <f t="shared" si="2"/>
        <v>34.73173880038133</v>
      </c>
      <c r="T32" s="93"/>
      <c r="U32" s="93"/>
      <c r="V32" s="93"/>
      <c r="W32" s="93"/>
      <c r="X32" s="93"/>
    </row>
    <row r="33" spans="1:24" ht="12.75">
      <c r="A33" s="4">
        <v>26</v>
      </c>
      <c r="B33" t="s">
        <v>274</v>
      </c>
      <c r="C33" t="s">
        <v>43</v>
      </c>
      <c r="D33" t="s">
        <v>129</v>
      </c>
      <c r="E33" s="5">
        <v>5</v>
      </c>
      <c r="F33" s="3">
        <v>49.85</v>
      </c>
      <c r="G33" s="15">
        <v>9614</v>
      </c>
      <c r="H33" s="3">
        <v>33.93066503910764</v>
      </c>
      <c r="I33" s="3" t="b">
        <f t="shared" si="3"/>
        <v>1</v>
      </c>
      <c r="J33" s="6">
        <f t="shared" si="1"/>
        <v>326209.41368598083</v>
      </c>
      <c r="K33" s="93"/>
      <c r="L33" s="114">
        <v>1</v>
      </c>
      <c r="M33" s="93">
        <f t="shared" si="0"/>
        <v>28.762671548562892</v>
      </c>
      <c r="N33" s="93"/>
      <c r="O33" s="93"/>
      <c r="P33" s="93"/>
      <c r="Q33" s="93"/>
      <c r="R33" s="114">
        <v>2</v>
      </c>
      <c r="S33" s="93">
        <f t="shared" si="2"/>
        <v>34.73173880038133</v>
      </c>
      <c r="T33" s="93"/>
      <c r="U33" s="93"/>
      <c r="V33" s="93"/>
      <c r="W33" s="93"/>
      <c r="X33" s="93"/>
    </row>
    <row r="34" spans="1:24" ht="12.75">
      <c r="A34" s="4">
        <v>27</v>
      </c>
      <c r="B34" t="s">
        <v>274</v>
      </c>
      <c r="C34" t="s">
        <v>23</v>
      </c>
      <c r="D34" t="s">
        <v>130</v>
      </c>
      <c r="E34" s="5">
        <v>5</v>
      </c>
      <c r="F34" s="3">
        <v>49.85</v>
      </c>
      <c r="G34" s="15">
        <v>21087</v>
      </c>
      <c r="H34" s="3">
        <v>33.9826546464385</v>
      </c>
      <c r="I34" s="3" t="b">
        <f t="shared" si="3"/>
        <v>1</v>
      </c>
      <c r="J34" s="6">
        <f t="shared" si="1"/>
        <v>716592.2385294486</v>
      </c>
      <c r="K34" s="93"/>
      <c r="L34" s="114">
        <v>1</v>
      </c>
      <c r="M34" s="93">
        <f t="shared" si="0"/>
        <v>28.762671548562892</v>
      </c>
      <c r="N34" s="93"/>
      <c r="O34" s="93"/>
      <c r="P34" s="93"/>
      <c r="Q34" s="93"/>
      <c r="R34" s="114">
        <v>2</v>
      </c>
      <c r="S34" s="93">
        <f t="shared" si="2"/>
        <v>34.73173880038133</v>
      </c>
      <c r="T34" s="93"/>
      <c r="U34" s="93"/>
      <c r="V34" s="93"/>
      <c r="W34" s="93"/>
      <c r="X34" s="93"/>
    </row>
    <row r="35" spans="1:24" ht="12.75">
      <c r="A35" s="4">
        <v>28</v>
      </c>
      <c r="B35" t="s">
        <v>274</v>
      </c>
      <c r="C35" t="s">
        <v>27</v>
      </c>
      <c r="D35" t="s">
        <v>122</v>
      </c>
      <c r="E35" s="5">
        <v>3</v>
      </c>
      <c r="F35" s="3">
        <v>20.11</v>
      </c>
      <c r="G35" s="15">
        <v>16446</v>
      </c>
      <c r="H35" s="3">
        <v>34.02950885398476</v>
      </c>
      <c r="I35" s="3" t="b">
        <f t="shared" si="3"/>
        <v>1</v>
      </c>
      <c r="J35" s="6">
        <f t="shared" si="1"/>
        <v>559649.3026126333</v>
      </c>
      <c r="K35" s="93"/>
      <c r="L35" s="114">
        <v>1</v>
      </c>
      <c r="M35" s="93">
        <f t="shared" si="0"/>
        <v>28.762671548562892</v>
      </c>
      <c r="N35" s="93"/>
      <c r="O35" s="93"/>
      <c r="P35" s="93"/>
      <c r="Q35" s="93"/>
      <c r="R35" s="114">
        <v>2</v>
      </c>
      <c r="S35" s="93">
        <f t="shared" si="2"/>
        <v>34.73173880038133</v>
      </c>
      <c r="T35" s="93"/>
      <c r="U35" s="93"/>
      <c r="V35" s="93"/>
      <c r="W35" s="93"/>
      <c r="X35" s="93"/>
    </row>
    <row r="36" spans="1:24" ht="12.75">
      <c r="A36" s="4">
        <v>29</v>
      </c>
      <c r="B36" t="s">
        <v>274</v>
      </c>
      <c r="C36" t="s">
        <v>29</v>
      </c>
      <c r="D36" t="s">
        <v>148</v>
      </c>
      <c r="E36" s="5">
        <v>5</v>
      </c>
      <c r="F36" s="3">
        <v>49.85</v>
      </c>
      <c r="G36" s="15">
        <v>12757</v>
      </c>
      <c r="H36" s="3">
        <v>36.40437805525147</v>
      </c>
      <c r="I36" s="3" t="b">
        <f t="shared" si="3"/>
        <v>1</v>
      </c>
      <c r="J36" s="6">
        <f t="shared" si="1"/>
        <v>464410.650850843</v>
      </c>
      <c r="K36" s="93"/>
      <c r="L36" s="114">
        <v>1</v>
      </c>
      <c r="M36" s="93">
        <f t="shared" si="0"/>
        <v>28.762671548562892</v>
      </c>
      <c r="N36" s="93"/>
      <c r="O36" s="93"/>
      <c r="P36" s="93"/>
      <c r="Q36" s="93"/>
      <c r="R36" s="114">
        <v>2</v>
      </c>
      <c r="S36" s="93">
        <f t="shared" si="2"/>
        <v>34.73173880038133</v>
      </c>
      <c r="T36" s="93"/>
      <c r="U36" s="93"/>
      <c r="V36" s="93"/>
      <c r="W36" s="93"/>
      <c r="X36" s="93"/>
    </row>
    <row r="37" spans="1:24" ht="12.75">
      <c r="A37" s="4">
        <v>30</v>
      </c>
      <c r="B37" s="4">
        <v>30</v>
      </c>
      <c r="C37" t="s">
        <v>45</v>
      </c>
      <c r="D37" t="s">
        <v>146</v>
      </c>
      <c r="E37" s="5">
        <v>5</v>
      </c>
      <c r="F37" s="3">
        <v>49.85</v>
      </c>
      <c r="G37" s="15">
        <v>6557</v>
      </c>
      <c r="H37" s="3">
        <v>36.446837580738496</v>
      </c>
      <c r="I37" s="3" t="b">
        <f t="shared" si="3"/>
        <v>1</v>
      </c>
      <c r="J37" s="6">
        <f t="shared" si="1"/>
        <v>238981.91401690233</v>
      </c>
      <c r="K37" s="93"/>
      <c r="L37" s="114">
        <v>1</v>
      </c>
      <c r="M37" s="93">
        <f t="shared" si="0"/>
        <v>28.762671548562892</v>
      </c>
      <c r="N37" s="93"/>
      <c r="O37" s="93"/>
      <c r="P37" s="93"/>
      <c r="Q37" s="93"/>
      <c r="R37" s="114">
        <v>2</v>
      </c>
      <c r="S37" s="93">
        <f t="shared" si="2"/>
        <v>34.73173880038133</v>
      </c>
      <c r="T37" s="93"/>
      <c r="U37" s="93"/>
      <c r="V37" s="93"/>
      <c r="W37" s="93"/>
      <c r="X37" s="93"/>
    </row>
    <row r="38" spans="1:24" ht="12.75">
      <c r="A38" s="4">
        <v>31</v>
      </c>
      <c r="B38" t="s">
        <v>274</v>
      </c>
      <c r="C38" t="s">
        <v>35</v>
      </c>
      <c r="D38" t="s">
        <v>132</v>
      </c>
      <c r="E38" s="5">
        <v>3</v>
      </c>
      <c r="F38" s="3">
        <v>20.11</v>
      </c>
      <c r="G38" s="15">
        <v>6444</v>
      </c>
      <c r="H38" s="3">
        <v>36.990014182434024</v>
      </c>
      <c r="I38" s="3" t="b">
        <f t="shared" si="3"/>
        <v>1</v>
      </c>
      <c r="J38" s="6">
        <f t="shared" si="1"/>
        <v>238363.65139160486</v>
      </c>
      <c r="K38" s="93"/>
      <c r="L38" s="114">
        <v>1</v>
      </c>
      <c r="M38" s="93">
        <f t="shared" si="0"/>
        <v>28.762671548562892</v>
      </c>
      <c r="N38" s="93"/>
      <c r="O38" s="93"/>
      <c r="P38" s="93"/>
      <c r="Q38" s="93"/>
      <c r="R38" s="114">
        <v>2</v>
      </c>
      <c r="S38" s="93">
        <f t="shared" si="2"/>
        <v>34.73173880038133</v>
      </c>
      <c r="T38" s="93"/>
      <c r="U38" s="93"/>
      <c r="V38" s="93"/>
      <c r="W38" s="93"/>
      <c r="X38" s="93"/>
    </row>
    <row r="39" spans="1:24" ht="12.75">
      <c r="A39" s="4">
        <v>32</v>
      </c>
      <c r="B39" t="s">
        <v>274</v>
      </c>
      <c r="C39" t="s">
        <v>41</v>
      </c>
      <c r="D39" t="s">
        <v>150</v>
      </c>
      <c r="E39" s="5">
        <v>5</v>
      </c>
      <c r="F39" s="3">
        <v>49.85</v>
      </c>
      <c r="G39" s="15">
        <v>3477</v>
      </c>
      <c r="H39" s="3">
        <v>37.5700872455501</v>
      </c>
      <c r="I39" s="3" t="b">
        <f t="shared" si="3"/>
        <v>1</v>
      </c>
      <c r="J39" s="6">
        <f t="shared" si="1"/>
        <v>130631.19335277769</v>
      </c>
      <c r="K39" s="93"/>
      <c r="L39" s="114">
        <v>1</v>
      </c>
      <c r="M39" s="93">
        <f t="shared" si="0"/>
        <v>28.762671548562892</v>
      </c>
      <c r="N39" s="93"/>
      <c r="O39" s="93"/>
      <c r="P39" s="93"/>
      <c r="Q39" s="93"/>
      <c r="R39" s="114">
        <v>2</v>
      </c>
      <c r="S39" s="93">
        <f t="shared" si="2"/>
        <v>34.73173880038133</v>
      </c>
      <c r="T39" s="93"/>
      <c r="U39" s="93"/>
      <c r="V39" s="93"/>
      <c r="W39" s="93"/>
      <c r="X39" s="93"/>
    </row>
    <row r="40" spans="1:24" ht="12.75">
      <c r="A40" s="4">
        <v>33</v>
      </c>
      <c r="B40" t="s">
        <v>274</v>
      </c>
      <c r="C40" t="s">
        <v>38</v>
      </c>
      <c r="D40" t="s">
        <v>143</v>
      </c>
      <c r="E40" s="5">
        <v>5</v>
      </c>
      <c r="F40" s="3">
        <v>49.85</v>
      </c>
      <c r="G40" s="15">
        <v>9327</v>
      </c>
      <c r="H40" s="3">
        <v>38.78164182388683</v>
      </c>
      <c r="I40" s="3" t="b">
        <f t="shared" si="3"/>
        <v>1</v>
      </c>
      <c r="J40" s="6">
        <f t="shared" si="1"/>
        <v>361716.37329139246</v>
      </c>
      <c r="K40" s="93"/>
      <c r="L40" s="114">
        <v>1</v>
      </c>
      <c r="M40" s="93">
        <f aca="true" t="shared" si="4" ref="M40:M71">IF(L40=1,$N$111,IF(L40=2,$N$112,IF(L40=3,$N$113,IF(L40=4,$N$114,IF(L40=5,$N$115,"Error")))))</f>
        <v>28.762671548562892</v>
      </c>
      <c r="N40" s="93"/>
      <c r="O40" s="93"/>
      <c r="P40" s="93"/>
      <c r="Q40" s="93"/>
      <c r="R40" s="114">
        <v>2</v>
      </c>
      <c r="S40" s="93">
        <f t="shared" si="2"/>
        <v>34.73173880038133</v>
      </c>
      <c r="T40" s="93"/>
      <c r="U40" s="93"/>
      <c r="V40" s="93"/>
      <c r="W40" s="93"/>
      <c r="X40" s="93"/>
    </row>
    <row r="41" spans="1:24" ht="12.75">
      <c r="A41" s="4">
        <v>34</v>
      </c>
      <c r="B41" t="s">
        <v>274</v>
      </c>
      <c r="C41" t="s">
        <v>32</v>
      </c>
      <c r="D41" t="s">
        <v>135</v>
      </c>
      <c r="E41" s="5">
        <v>5</v>
      </c>
      <c r="F41" s="3">
        <v>49.85</v>
      </c>
      <c r="G41" s="15">
        <v>8057</v>
      </c>
      <c r="H41" s="3">
        <v>38.9896618605224</v>
      </c>
      <c r="I41" s="3" t="b">
        <f t="shared" si="3"/>
        <v>1</v>
      </c>
      <c r="J41" s="6">
        <f t="shared" si="1"/>
        <v>314139.705610229</v>
      </c>
      <c r="K41" s="93"/>
      <c r="L41" s="114">
        <v>1</v>
      </c>
      <c r="M41" s="93">
        <f t="shared" si="4"/>
        <v>28.762671548562892</v>
      </c>
      <c r="N41" s="93"/>
      <c r="O41" s="93"/>
      <c r="P41" s="93"/>
      <c r="Q41" s="93"/>
      <c r="R41" s="114">
        <v>2</v>
      </c>
      <c r="S41" s="93">
        <f t="shared" si="2"/>
        <v>34.73173880038133</v>
      </c>
      <c r="T41" s="93"/>
      <c r="U41" s="93"/>
      <c r="V41" s="93"/>
      <c r="W41" s="93"/>
      <c r="X41" s="93"/>
    </row>
    <row r="42" spans="1:24" ht="12.75">
      <c r="A42" s="4">
        <v>35</v>
      </c>
      <c r="B42" t="s">
        <v>274</v>
      </c>
      <c r="C42" t="s">
        <v>16</v>
      </c>
      <c r="D42" t="s">
        <v>123</v>
      </c>
      <c r="E42" s="5">
        <v>4</v>
      </c>
      <c r="F42" s="3">
        <v>23.36</v>
      </c>
      <c r="G42" s="15">
        <v>29271</v>
      </c>
      <c r="H42" s="3">
        <v>39.2484894889525</v>
      </c>
      <c r="I42" s="3" t="b">
        <f t="shared" si="3"/>
        <v>1</v>
      </c>
      <c r="J42" s="6">
        <f t="shared" si="1"/>
        <v>1148842.5358311287</v>
      </c>
      <c r="K42" s="93"/>
      <c r="L42" s="114">
        <v>1</v>
      </c>
      <c r="M42" s="93">
        <f t="shared" si="4"/>
        <v>28.762671548562892</v>
      </c>
      <c r="N42" s="93"/>
      <c r="O42" s="93"/>
      <c r="P42" s="93"/>
      <c r="Q42" s="93"/>
      <c r="R42" s="114">
        <v>2</v>
      </c>
      <c r="S42" s="93">
        <f t="shared" si="2"/>
        <v>34.73173880038133</v>
      </c>
      <c r="T42" s="93"/>
      <c r="U42" s="93"/>
      <c r="V42" s="93"/>
      <c r="W42" s="93"/>
      <c r="X42" s="93"/>
    </row>
    <row r="43" spans="1:24" ht="12.75">
      <c r="A43" s="4">
        <v>36</v>
      </c>
      <c r="B43" t="s">
        <v>274</v>
      </c>
      <c r="C43" t="s">
        <v>18</v>
      </c>
      <c r="D43" t="s">
        <v>134</v>
      </c>
      <c r="E43" s="5">
        <v>4</v>
      </c>
      <c r="F43" s="3">
        <v>23.36</v>
      </c>
      <c r="G43" s="15">
        <v>8970</v>
      </c>
      <c r="H43" s="3">
        <v>39.27186873298749</v>
      </c>
      <c r="I43" s="3" t="b">
        <f t="shared" si="3"/>
        <v>1</v>
      </c>
      <c r="J43" s="6">
        <f t="shared" si="1"/>
        <v>352268.6625348978</v>
      </c>
      <c r="K43" s="93"/>
      <c r="L43" s="114">
        <v>1</v>
      </c>
      <c r="M43" s="93">
        <f t="shared" si="4"/>
        <v>28.762671548562892</v>
      </c>
      <c r="N43" s="93"/>
      <c r="O43" s="93"/>
      <c r="P43" s="93"/>
      <c r="Q43" s="93"/>
      <c r="R43" s="114">
        <v>2</v>
      </c>
      <c r="S43" s="93">
        <f t="shared" si="2"/>
        <v>34.73173880038133</v>
      </c>
      <c r="T43" s="93"/>
      <c r="U43" s="93"/>
      <c r="V43" s="93"/>
      <c r="W43" s="93"/>
      <c r="X43" s="93"/>
    </row>
    <row r="44" spans="1:24" ht="12.75">
      <c r="A44" s="4">
        <v>37</v>
      </c>
      <c r="B44" t="s">
        <v>274</v>
      </c>
      <c r="C44" t="s">
        <v>22</v>
      </c>
      <c r="D44" t="s">
        <v>272</v>
      </c>
      <c r="E44" s="5">
        <v>4</v>
      </c>
      <c r="F44" s="3">
        <v>23.36</v>
      </c>
      <c r="G44" s="15">
        <v>9444</v>
      </c>
      <c r="H44" s="3">
        <v>39.41375807955686</v>
      </c>
      <c r="I44" s="3" t="b">
        <f t="shared" si="3"/>
        <v>1</v>
      </c>
      <c r="J44" s="6">
        <f t="shared" si="1"/>
        <v>372223.531303335</v>
      </c>
      <c r="K44" s="93"/>
      <c r="L44" s="114">
        <v>1</v>
      </c>
      <c r="M44" s="93">
        <f t="shared" si="4"/>
        <v>28.762671548562892</v>
      </c>
      <c r="N44" s="93"/>
      <c r="O44" s="93"/>
      <c r="P44" s="93"/>
      <c r="Q44" s="93"/>
      <c r="R44" s="114">
        <v>2</v>
      </c>
      <c r="S44" s="93">
        <f t="shared" si="2"/>
        <v>34.73173880038133</v>
      </c>
      <c r="T44" s="93"/>
      <c r="U44" s="93"/>
      <c r="V44" s="93"/>
      <c r="W44" s="93"/>
      <c r="X44" s="93"/>
    </row>
    <row r="45" spans="1:24" s="12" customFormat="1" ht="12.75">
      <c r="A45" s="4">
        <v>38</v>
      </c>
      <c r="B45" t="s">
        <v>274</v>
      </c>
      <c r="C45" t="s">
        <v>39</v>
      </c>
      <c r="D45" t="s">
        <v>140</v>
      </c>
      <c r="E45" s="5">
        <v>4</v>
      </c>
      <c r="F45" s="3">
        <v>23.36</v>
      </c>
      <c r="G45" s="15">
        <v>14708</v>
      </c>
      <c r="H45" s="3">
        <v>40.08795406032867</v>
      </c>
      <c r="I45" s="3" t="b">
        <f t="shared" si="3"/>
        <v>1</v>
      </c>
      <c r="J45" s="6">
        <f t="shared" si="1"/>
        <v>589613.6283193141</v>
      </c>
      <c r="K45" s="93"/>
      <c r="L45" s="114">
        <v>1</v>
      </c>
      <c r="M45" s="93">
        <f t="shared" si="4"/>
        <v>28.762671548562892</v>
      </c>
      <c r="N45" s="93"/>
      <c r="O45" s="93"/>
      <c r="P45" s="93"/>
      <c r="Q45" s="93"/>
      <c r="R45" s="114">
        <v>2</v>
      </c>
      <c r="S45" s="93">
        <f t="shared" si="2"/>
        <v>34.73173880038133</v>
      </c>
      <c r="T45" s="93"/>
      <c r="U45" s="93"/>
      <c r="V45" s="93"/>
      <c r="W45" s="93"/>
      <c r="X45" s="93"/>
    </row>
    <row r="46" spans="1:24" ht="12.75">
      <c r="A46" s="4">
        <v>39</v>
      </c>
      <c r="B46" t="s">
        <v>274</v>
      </c>
      <c r="C46" t="s">
        <v>57</v>
      </c>
      <c r="D46" t="s">
        <v>149</v>
      </c>
      <c r="E46" s="5">
        <v>5</v>
      </c>
      <c r="F46" s="3">
        <v>49.85</v>
      </c>
      <c r="G46" s="15">
        <v>1563</v>
      </c>
      <c r="H46" s="3">
        <v>40.28076084264284</v>
      </c>
      <c r="I46" s="3" t="b">
        <f t="shared" si="3"/>
        <v>1</v>
      </c>
      <c r="J46" s="6">
        <f t="shared" si="1"/>
        <v>62958.82919705076</v>
      </c>
      <c r="K46" s="93"/>
      <c r="L46" s="114">
        <v>1</v>
      </c>
      <c r="M46" s="93">
        <f t="shared" si="4"/>
        <v>28.762671548562892</v>
      </c>
      <c r="N46" s="93"/>
      <c r="O46" s="93"/>
      <c r="P46" s="93"/>
      <c r="Q46" s="93"/>
      <c r="R46" s="114">
        <v>2</v>
      </c>
      <c r="S46" s="93">
        <f t="shared" si="2"/>
        <v>34.73173880038133</v>
      </c>
      <c r="T46" s="93"/>
      <c r="U46" s="93"/>
      <c r="V46" s="93"/>
      <c r="W46" s="93"/>
      <c r="X46" s="93"/>
    </row>
    <row r="47" spans="1:24" ht="12.75">
      <c r="A47" s="4">
        <v>40</v>
      </c>
      <c r="B47" s="4">
        <v>40</v>
      </c>
      <c r="C47" t="s">
        <v>56</v>
      </c>
      <c r="D47" t="s">
        <v>147</v>
      </c>
      <c r="E47" s="5">
        <v>5</v>
      </c>
      <c r="F47" s="3">
        <v>49.85</v>
      </c>
      <c r="G47" s="15">
        <v>6222</v>
      </c>
      <c r="H47" s="3">
        <v>40.302968493016074</v>
      </c>
      <c r="I47" s="3" t="b">
        <f t="shared" si="3"/>
        <v>1</v>
      </c>
      <c r="J47" s="6">
        <f t="shared" si="1"/>
        <v>250765.069963546</v>
      </c>
      <c r="K47" s="93"/>
      <c r="L47" s="114">
        <v>1</v>
      </c>
      <c r="M47" s="93">
        <f t="shared" si="4"/>
        <v>28.762671548562892</v>
      </c>
      <c r="N47" s="93"/>
      <c r="O47" s="93"/>
      <c r="P47" s="93"/>
      <c r="Q47" s="93"/>
      <c r="R47" s="114">
        <v>2</v>
      </c>
      <c r="S47" s="93">
        <f t="shared" si="2"/>
        <v>34.73173880038133</v>
      </c>
      <c r="T47" s="93"/>
      <c r="U47" s="93"/>
      <c r="V47" s="93"/>
      <c r="W47" s="93"/>
      <c r="X47" s="93"/>
    </row>
    <row r="48" spans="1:24" ht="12.75">
      <c r="A48" s="4">
        <v>41</v>
      </c>
      <c r="B48" t="s">
        <v>274</v>
      </c>
      <c r="C48" t="s">
        <v>70</v>
      </c>
      <c r="D48" t="s">
        <v>145</v>
      </c>
      <c r="E48" s="5">
        <v>4</v>
      </c>
      <c r="F48" s="3">
        <v>23.36</v>
      </c>
      <c r="G48" s="15">
        <v>1556</v>
      </c>
      <c r="H48" s="3">
        <v>40.79676096062718</v>
      </c>
      <c r="I48" s="3" t="b">
        <f t="shared" si="3"/>
        <v>1</v>
      </c>
      <c r="J48" s="6">
        <f t="shared" si="1"/>
        <v>63479.760054735896</v>
      </c>
      <c r="K48" s="93"/>
      <c r="L48" s="114">
        <v>1</v>
      </c>
      <c r="M48" s="93">
        <f t="shared" si="4"/>
        <v>28.762671548562892</v>
      </c>
      <c r="N48" s="93"/>
      <c r="O48" s="93"/>
      <c r="P48" s="93"/>
      <c r="Q48" s="93"/>
      <c r="R48" s="114">
        <v>2</v>
      </c>
      <c r="S48" s="93">
        <f t="shared" si="2"/>
        <v>34.73173880038133</v>
      </c>
      <c r="T48" s="93"/>
      <c r="U48" s="93"/>
      <c r="V48" s="93"/>
      <c r="W48" s="93"/>
      <c r="X48" s="93"/>
    </row>
    <row r="49" spans="1:24" ht="12.75">
      <c r="A49" s="4">
        <v>42</v>
      </c>
      <c r="B49" t="s">
        <v>274</v>
      </c>
      <c r="C49" t="s">
        <v>42</v>
      </c>
      <c r="D49" t="s">
        <v>144</v>
      </c>
      <c r="E49" s="5">
        <v>2</v>
      </c>
      <c r="F49" s="3">
        <v>16.74</v>
      </c>
      <c r="G49" s="15">
        <v>6813</v>
      </c>
      <c r="H49" s="3">
        <v>41.439108602882726</v>
      </c>
      <c r="I49" s="3" t="b">
        <f t="shared" si="3"/>
        <v>1</v>
      </c>
      <c r="J49" s="6">
        <f t="shared" si="1"/>
        <v>282324.64691144</v>
      </c>
      <c r="K49" s="93"/>
      <c r="L49" s="114">
        <v>1</v>
      </c>
      <c r="M49" s="93">
        <f t="shared" si="4"/>
        <v>28.762671548562892</v>
      </c>
      <c r="N49" s="93"/>
      <c r="O49" s="93"/>
      <c r="P49" s="93"/>
      <c r="Q49" s="93"/>
      <c r="R49" s="114">
        <v>2</v>
      </c>
      <c r="S49" s="93">
        <f t="shared" si="2"/>
        <v>34.73173880038133</v>
      </c>
      <c r="T49" s="93"/>
      <c r="U49" s="93"/>
      <c r="V49" s="93"/>
      <c r="W49" s="93"/>
      <c r="X49" s="93"/>
    </row>
    <row r="50" spans="1:24" ht="12.75">
      <c r="A50" s="4">
        <v>43</v>
      </c>
      <c r="B50" t="s">
        <v>274</v>
      </c>
      <c r="C50" t="s">
        <v>37</v>
      </c>
      <c r="D50" t="s">
        <v>133</v>
      </c>
      <c r="E50" s="5">
        <v>3</v>
      </c>
      <c r="F50" s="3">
        <v>20.11</v>
      </c>
      <c r="G50" s="15">
        <v>4130</v>
      </c>
      <c r="H50" s="3">
        <v>41.84343745135447</v>
      </c>
      <c r="I50" s="3" t="b">
        <f t="shared" si="3"/>
        <v>1</v>
      </c>
      <c r="J50" s="6">
        <f t="shared" si="1"/>
        <v>172813.39667409396</v>
      </c>
      <c r="K50" s="93"/>
      <c r="L50" s="114">
        <v>1</v>
      </c>
      <c r="M50" s="93">
        <f t="shared" si="4"/>
        <v>28.762671548562892</v>
      </c>
      <c r="N50" s="93"/>
      <c r="O50" s="93"/>
      <c r="P50" s="93"/>
      <c r="Q50" s="93"/>
      <c r="R50" s="114">
        <v>2</v>
      </c>
      <c r="S50" s="93">
        <f t="shared" si="2"/>
        <v>34.73173880038133</v>
      </c>
      <c r="T50" s="93"/>
      <c r="U50" s="93"/>
      <c r="V50" s="93"/>
      <c r="W50" s="93"/>
      <c r="X50" s="93"/>
    </row>
    <row r="51" spans="1:24" ht="12.75">
      <c r="A51" s="4">
        <v>44</v>
      </c>
      <c r="B51" t="s">
        <v>274</v>
      </c>
      <c r="C51" t="s">
        <v>33</v>
      </c>
      <c r="D51" t="s">
        <v>131</v>
      </c>
      <c r="E51" s="5">
        <v>5</v>
      </c>
      <c r="F51" s="3">
        <v>49.85</v>
      </c>
      <c r="G51" s="15">
        <v>8674</v>
      </c>
      <c r="H51" s="3">
        <v>42.78832297970569</v>
      </c>
      <c r="I51" s="3" t="b">
        <f t="shared" si="3"/>
        <v>1</v>
      </c>
      <c r="J51" s="6">
        <f t="shared" si="1"/>
        <v>371145.91352596716</v>
      </c>
      <c r="K51" s="93"/>
      <c r="L51" s="114">
        <v>1</v>
      </c>
      <c r="M51" s="93">
        <f t="shared" si="4"/>
        <v>28.762671548562892</v>
      </c>
      <c r="N51" s="93"/>
      <c r="O51" s="93"/>
      <c r="P51" s="93"/>
      <c r="Q51" s="93"/>
      <c r="R51" s="114">
        <v>2</v>
      </c>
      <c r="S51" s="93">
        <f t="shared" si="2"/>
        <v>34.73173880038133</v>
      </c>
      <c r="T51" s="93"/>
      <c r="U51" s="93"/>
      <c r="V51" s="93"/>
      <c r="W51" s="93"/>
      <c r="X51" s="93"/>
    </row>
    <row r="52" spans="1:24" ht="12.75">
      <c r="A52" s="4">
        <v>45</v>
      </c>
      <c r="B52" t="s">
        <v>274</v>
      </c>
      <c r="C52" t="s">
        <v>46</v>
      </c>
      <c r="D52" t="s">
        <v>152</v>
      </c>
      <c r="E52" s="5">
        <v>5</v>
      </c>
      <c r="F52" s="3">
        <v>49.85</v>
      </c>
      <c r="G52" s="15">
        <v>5881</v>
      </c>
      <c r="H52" s="3">
        <v>46.161843780670196</v>
      </c>
      <c r="I52" s="3" t="b">
        <f t="shared" si="3"/>
        <v>1</v>
      </c>
      <c r="J52" s="6">
        <f t="shared" si="1"/>
        <v>271477.8032741214</v>
      </c>
      <c r="K52" s="93"/>
      <c r="L52" s="114">
        <v>1</v>
      </c>
      <c r="M52" s="93">
        <f t="shared" si="4"/>
        <v>28.762671548562892</v>
      </c>
      <c r="N52" s="93"/>
      <c r="O52" s="93"/>
      <c r="P52" s="93"/>
      <c r="Q52" s="93"/>
      <c r="R52" s="114">
        <v>3</v>
      </c>
      <c r="S52" s="93">
        <f t="shared" si="2"/>
        <v>54.45844277657642</v>
      </c>
      <c r="T52" s="93"/>
      <c r="U52" s="93"/>
      <c r="V52" s="93"/>
      <c r="W52" s="93"/>
      <c r="X52" s="93"/>
    </row>
    <row r="53" spans="1:24" ht="12.75">
      <c r="A53" s="4">
        <v>46</v>
      </c>
      <c r="B53" t="s">
        <v>274</v>
      </c>
      <c r="C53" t="s">
        <v>52</v>
      </c>
      <c r="D53" t="s">
        <v>154</v>
      </c>
      <c r="E53" s="5">
        <v>5</v>
      </c>
      <c r="F53" s="3">
        <v>49.85</v>
      </c>
      <c r="G53" s="15">
        <v>4935</v>
      </c>
      <c r="H53" s="3">
        <v>46.493503823563685</v>
      </c>
      <c r="I53" s="3" t="b">
        <f t="shared" si="3"/>
        <v>1</v>
      </c>
      <c r="J53" s="6">
        <f t="shared" si="1"/>
        <v>229445.4413692868</v>
      </c>
      <c r="K53" s="93"/>
      <c r="L53" s="114">
        <v>1</v>
      </c>
      <c r="M53" s="93">
        <f t="shared" si="4"/>
        <v>28.762671548562892</v>
      </c>
      <c r="N53" s="93"/>
      <c r="O53" s="93"/>
      <c r="P53" s="93"/>
      <c r="Q53" s="93"/>
      <c r="R53" s="114">
        <v>3</v>
      </c>
      <c r="S53" s="93">
        <f t="shared" si="2"/>
        <v>54.45844277657642</v>
      </c>
      <c r="T53" s="93"/>
      <c r="U53" s="93"/>
      <c r="V53" s="93"/>
      <c r="W53" s="93"/>
      <c r="X53" s="93"/>
    </row>
    <row r="54" spans="1:24" ht="12.75">
      <c r="A54" s="4">
        <v>47</v>
      </c>
      <c r="B54" t="s">
        <v>274</v>
      </c>
      <c r="C54" t="s">
        <v>26</v>
      </c>
      <c r="D54" t="s">
        <v>151</v>
      </c>
      <c r="E54" s="5">
        <v>5</v>
      </c>
      <c r="F54" s="3">
        <v>49.85</v>
      </c>
      <c r="G54" s="15">
        <v>4442</v>
      </c>
      <c r="H54" s="3">
        <v>46.50615199631643</v>
      </c>
      <c r="I54" s="3" t="b">
        <f t="shared" si="3"/>
        <v>1</v>
      </c>
      <c r="J54" s="6">
        <f t="shared" si="1"/>
        <v>206580.3271676376</v>
      </c>
      <c r="K54" s="93"/>
      <c r="L54" s="114">
        <v>1</v>
      </c>
      <c r="M54" s="93">
        <f t="shared" si="4"/>
        <v>28.762671548562892</v>
      </c>
      <c r="N54" s="93"/>
      <c r="O54" s="93"/>
      <c r="P54" s="93"/>
      <c r="Q54" s="93"/>
      <c r="R54" s="114">
        <v>3</v>
      </c>
      <c r="S54" s="93">
        <f t="shared" si="2"/>
        <v>54.45844277657642</v>
      </c>
      <c r="T54" s="93"/>
      <c r="U54" s="93"/>
      <c r="V54" s="93"/>
      <c r="W54" s="93"/>
      <c r="X54" s="93"/>
    </row>
    <row r="55" spans="1:24" ht="12.75">
      <c r="A55" s="4">
        <v>48</v>
      </c>
      <c r="B55" t="s">
        <v>274</v>
      </c>
      <c r="C55" t="s">
        <v>54</v>
      </c>
      <c r="D55" t="s">
        <v>157</v>
      </c>
      <c r="E55" s="5">
        <v>5</v>
      </c>
      <c r="F55" s="3">
        <v>49.85</v>
      </c>
      <c r="G55" s="15">
        <v>1149</v>
      </c>
      <c r="H55" s="3">
        <v>47.08192095025451</v>
      </c>
      <c r="I55" s="3" t="b">
        <f t="shared" si="3"/>
        <v>1</v>
      </c>
      <c r="J55" s="6">
        <f t="shared" si="1"/>
        <v>54097.12717184244</v>
      </c>
      <c r="K55" s="93"/>
      <c r="L55" s="114">
        <v>1</v>
      </c>
      <c r="M55" s="93">
        <f t="shared" si="4"/>
        <v>28.762671548562892</v>
      </c>
      <c r="N55" s="93"/>
      <c r="O55" s="93"/>
      <c r="P55" s="93"/>
      <c r="Q55" s="93"/>
      <c r="R55" s="114">
        <v>3</v>
      </c>
      <c r="S55" s="93">
        <f t="shared" si="2"/>
        <v>54.45844277657642</v>
      </c>
      <c r="T55" s="93"/>
      <c r="U55" s="93"/>
      <c r="V55" s="93"/>
      <c r="W55" s="93"/>
      <c r="X55" s="93"/>
    </row>
    <row r="56" spans="1:24" ht="12.75">
      <c r="A56" s="4">
        <v>49</v>
      </c>
      <c r="B56" t="s">
        <v>274</v>
      </c>
      <c r="C56" t="s">
        <v>44</v>
      </c>
      <c r="D56" t="s">
        <v>159</v>
      </c>
      <c r="E56" s="5">
        <v>5</v>
      </c>
      <c r="F56" s="3">
        <v>49.85</v>
      </c>
      <c r="G56" s="15">
        <v>2959</v>
      </c>
      <c r="H56" s="3">
        <v>47.90375636390601</v>
      </c>
      <c r="I56" s="3" t="b">
        <f t="shared" si="3"/>
        <v>1</v>
      </c>
      <c r="J56" s="6">
        <f t="shared" si="1"/>
        <v>141747.2150807979</v>
      </c>
      <c r="K56" s="93"/>
      <c r="L56" s="114">
        <v>1</v>
      </c>
      <c r="M56" s="93">
        <f t="shared" si="4"/>
        <v>28.762671548562892</v>
      </c>
      <c r="N56" s="93"/>
      <c r="O56" s="93"/>
      <c r="P56" s="93"/>
      <c r="Q56" s="93"/>
      <c r="R56" s="114">
        <v>3</v>
      </c>
      <c r="S56" s="93">
        <f t="shared" si="2"/>
        <v>54.45844277657642</v>
      </c>
      <c r="T56" s="93"/>
      <c r="U56" s="93"/>
      <c r="V56" s="93"/>
      <c r="W56" s="93"/>
      <c r="X56" s="93"/>
    </row>
    <row r="57" spans="1:24" ht="12.75">
      <c r="A57" s="4">
        <v>50</v>
      </c>
      <c r="B57" s="4">
        <v>50</v>
      </c>
      <c r="C57" t="s">
        <v>40</v>
      </c>
      <c r="D57" t="s">
        <v>158</v>
      </c>
      <c r="E57" s="5">
        <v>4</v>
      </c>
      <c r="F57" s="3">
        <v>23.36</v>
      </c>
      <c r="G57" s="15">
        <v>6416</v>
      </c>
      <c r="H57" s="3">
        <v>48.69726674550343</v>
      </c>
      <c r="I57" s="3" t="b">
        <f t="shared" si="3"/>
        <v>1</v>
      </c>
      <c r="J57" s="6">
        <f t="shared" si="1"/>
        <v>312441.66343914997</v>
      </c>
      <c r="K57" s="93"/>
      <c r="L57" s="114">
        <v>1</v>
      </c>
      <c r="M57" s="93">
        <f t="shared" si="4"/>
        <v>28.762671548562892</v>
      </c>
      <c r="N57" s="93"/>
      <c r="O57" s="93"/>
      <c r="P57" s="93"/>
      <c r="Q57" s="93"/>
      <c r="R57" s="114">
        <v>3</v>
      </c>
      <c r="S57" s="93">
        <f t="shared" si="2"/>
        <v>54.45844277657642</v>
      </c>
      <c r="T57" s="93"/>
      <c r="U57" s="93"/>
      <c r="V57" s="93"/>
      <c r="W57" s="93"/>
      <c r="X57" s="93"/>
    </row>
    <row r="58" spans="1:24" ht="12.75">
      <c r="A58" s="4">
        <v>51</v>
      </c>
      <c r="B58" t="s">
        <v>274</v>
      </c>
      <c r="C58" t="s">
        <v>65</v>
      </c>
      <c r="D58" t="s">
        <v>164</v>
      </c>
      <c r="E58" s="5">
        <v>5</v>
      </c>
      <c r="F58" s="3">
        <v>49.85</v>
      </c>
      <c r="G58" s="15">
        <v>1476</v>
      </c>
      <c r="H58" s="3">
        <v>49.27497577631284</v>
      </c>
      <c r="I58" s="3" t="b">
        <f t="shared" si="3"/>
        <v>1</v>
      </c>
      <c r="J58" s="6">
        <f t="shared" si="1"/>
        <v>72729.86424583776</v>
      </c>
      <c r="K58" s="93"/>
      <c r="L58" s="114">
        <v>1</v>
      </c>
      <c r="M58" s="93">
        <f t="shared" si="4"/>
        <v>28.762671548562892</v>
      </c>
      <c r="N58" s="93"/>
      <c r="O58" s="93"/>
      <c r="P58" s="93"/>
      <c r="Q58" s="93"/>
      <c r="R58" s="114">
        <v>3</v>
      </c>
      <c r="S58" s="93">
        <f t="shared" si="2"/>
        <v>54.45844277657642</v>
      </c>
      <c r="T58" s="93"/>
      <c r="U58" s="93"/>
      <c r="V58" s="93"/>
      <c r="W58" s="93"/>
      <c r="X58" s="93"/>
    </row>
    <row r="59" spans="1:24" ht="12.75">
      <c r="A59" s="4">
        <v>52</v>
      </c>
      <c r="B59" t="s">
        <v>274</v>
      </c>
      <c r="C59" t="s">
        <v>31</v>
      </c>
      <c r="D59" t="s">
        <v>137</v>
      </c>
      <c r="E59" s="5">
        <v>5</v>
      </c>
      <c r="F59" s="3">
        <v>49.85</v>
      </c>
      <c r="G59" s="15">
        <v>14871</v>
      </c>
      <c r="H59" s="3">
        <v>50.1214031073456</v>
      </c>
      <c r="I59" s="3" t="b">
        <f t="shared" si="3"/>
        <v>1</v>
      </c>
      <c r="J59" s="6">
        <f t="shared" si="1"/>
        <v>745355.3856093364</v>
      </c>
      <c r="K59" s="93"/>
      <c r="L59" s="114">
        <v>1</v>
      </c>
      <c r="M59" s="93">
        <f t="shared" si="4"/>
        <v>28.762671548562892</v>
      </c>
      <c r="N59" s="93"/>
      <c r="O59" s="93"/>
      <c r="P59" s="93"/>
      <c r="Q59" s="93"/>
      <c r="R59" s="114">
        <v>3</v>
      </c>
      <c r="S59" s="93">
        <f t="shared" si="2"/>
        <v>54.45844277657642</v>
      </c>
      <c r="T59" s="93"/>
      <c r="U59" s="93"/>
      <c r="V59" s="93"/>
      <c r="W59" s="93"/>
      <c r="X59" s="93"/>
    </row>
    <row r="60" spans="1:24" ht="12.75">
      <c r="A60" s="4">
        <v>53</v>
      </c>
      <c r="B60" t="s">
        <v>274</v>
      </c>
      <c r="C60" t="s">
        <v>77</v>
      </c>
      <c r="D60" t="s">
        <v>156</v>
      </c>
      <c r="E60" s="5">
        <v>5</v>
      </c>
      <c r="F60" s="3">
        <v>49.85</v>
      </c>
      <c r="G60" s="15">
        <v>1952</v>
      </c>
      <c r="H60" s="3">
        <v>50.182892449143424</v>
      </c>
      <c r="I60" s="3" t="b">
        <f t="shared" si="3"/>
        <v>1</v>
      </c>
      <c r="J60" s="6">
        <f t="shared" si="1"/>
        <v>97957.00606072796</v>
      </c>
      <c r="K60" s="93"/>
      <c r="L60" s="114">
        <v>1</v>
      </c>
      <c r="M60" s="93">
        <f t="shared" si="4"/>
        <v>28.762671548562892</v>
      </c>
      <c r="N60" s="93"/>
      <c r="O60" s="93"/>
      <c r="P60" s="93"/>
      <c r="Q60" s="93"/>
      <c r="R60" s="114">
        <v>3</v>
      </c>
      <c r="S60" s="93">
        <f t="shared" si="2"/>
        <v>54.45844277657642</v>
      </c>
      <c r="T60" s="93"/>
      <c r="U60" s="93"/>
      <c r="V60" s="93"/>
      <c r="W60" s="93"/>
      <c r="X60" s="93"/>
    </row>
    <row r="61" spans="1:24" ht="12.75">
      <c r="A61" s="4">
        <v>54</v>
      </c>
      <c r="B61" t="s">
        <v>274</v>
      </c>
      <c r="C61" t="s">
        <v>61</v>
      </c>
      <c r="D61" t="s">
        <v>163</v>
      </c>
      <c r="E61" s="5">
        <v>5</v>
      </c>
      <c r="F61" s="3">
        <v>49.85</v>
      </c>
      <c r="G61" s="15">
        <v>1903</v>
      </c>
      <c r="H61" s="3">
        <v>51.19276654087844</v>
      </c>
      <c r="I61" s="3" t="b">
        <f t="shared" si="3"/>
        <v>1</v>
      </c>
      <c r="J61" s="6">
        <f t="shared" si="1"/>
        <v>97419.83472729167</v>
      </c>
      <c r="K61" s="93"/>
      <c r="L61" s="114">
        <v>1</v>
      </c>
      <c r="M61" s="93">
        <f t="shared" si="4"/>
        <v>28.762671548562892</v>
      </c>
      <c r="N61" s="93"/>
      <c r="O61" s="93"/>
      <c r="P61" s="93"/>
      <c r="Q61" s="93"/>
      <c r="R61" s="114">
        <v>3</v>
      </c>
      <c r="S61" s="93">
        <f t="shared" si="2"/>
        <v>54.45844277657642</v>
      </c>
      <c r="T61" s="93"/>
      <c r="U61" s="93"/>
      <c r="V61" s="93"/>
      <c r="W61" s="93"/>
      <c r="X61" s="93"/>
    </row>
    <row r="62" spans="1:24" ht="12.75">
      <c r="A62" s="4">
        <v>55</v>
      </c>
      <c r="B62" t="s">
        <v>274</v>
      </c>
      <c r="C62" t="s">
        <v>28</v>
      </c>
      <c r="D62" t="s">
        <v>136</v>
      </c>
      <c r="E62" s="5">
        <v>4</v>
      </c>
      <c r="F62" s="3">
        <v>23.36</v>
      </c>
      <c r="G62" s="15">
        <v>14956</v>
      </c>
      <c r="H62" s="3">
        <v>52.02546543715761</v>
      </c>
      <c r="I62" s="3" t="b">
        <f t="shared" si="3"/>
        <v>1</v>
      </c>
      <c r="J62" s="6">
        <f t="shared" si="1"/>
        <v>778092.8610781291</v>
      </c>
      <c r="K62" s="93"/>
      <c r="L62" s="114">
        <v>1</v>
      </c>
      <c r="M62" s="93">
        <f t="shared" si="4"/>
        <v>28.762671548562892</v>
      </c>
      <c r="N62" s="93"/>
      <c r="O62" s="93"/>
      <c r="P62" s="93"/>
      <c r="Q62" s="93"/>
      <c r="R62" s="114">
        <v>3</v>
      </c>
      <c r="S62" s="93">
        <f t="shared" si="2"/>
        <v>54.45844277657642</v>
      </c>
      <c r="T62" s="93"/>
      <c r="U62" s="93"/>
      <c r="V62" s="93"/>
      <c r="W62" s="93"/>
      <c r="X62" s="93"/>
    </row>
    <row r="63" spans="1:24" ht="12.75">
      <c r="A63" s="4">
        <v>56</v>
      </c>
      <c r="B63" t="s">
        <v>274</v>
      </c>
      <c r="C63" t="s">
        <v>60</v>
      </c>
      <c r="D63" t="s">
        <v>167</v>
      </c>
      <c r="E63" s="5">
        <v>5</v>
      </c>
      <c r="F63" s="3">
        <v>49.85</v>
      </c>
      <c r="G63" s="15">
        <v>1494</v>
      </c>
      <c r="H63" s="3">
        <v>53.48236892174562</v>
      </c>
      <c r="I63" s="3" t="b">
        <f t="shared" si="3"/>
        <v>1</v>
      </c>
      <c r="J63" s="6">
        <f t="shared" si="1"/>
        <v>79902.65916908796</v>
      </c>
      <c r="K63" s="93"/>
      <c r="L63" s="114">
        <v>1</v>
      </c>
      <c r="M63" s="93">
        <f t="shared" si="4"/>
        <v>28.762671548562892</v>
      </c>
      <c r="N63" s="93"/>
      <c r="O63" s="93"/>
      <c r="P63" s="93"/>
      <c r="Q63" s="93"/>
      <c r="R63" s="114">
        <v>3</v>
      </c>
      <c r="S63" s="93">
        <f t="shared" si="2"/>
        <v>54.45844277657642</v>
      </c>
      <c r="T63" s="93"/>
      <c r="U63" s="93"/>
      <c r="V63" s="93"/>
      <c r="W63" s="93"/>
      <c r="X63" s="93"/>
    </row>
    <row r="64" spans="1:24" ht="12.75">
      <c r="A64" s="4">
        <v>57</v>
      </c>
      <c r="B64" t="s">
        <v>274</v>
      </c>
      <c r="C64" t="s">
        <v>53</v>
      </c>
      <c r="D64" t="s">
        <v>166</v>
      </c>
      <c r="E64" s="5">
        <v>5</v>
      </c>
      <c r="F64" s="3">
        <v>49.85</v>
      </c>
      <c r="G64" s="15">
        <v>3279</v>
      </c>
      <c r="H64" s="3">
        <v>55.56377394900173</v>
      </c>
      <c r="I64" s="3" t="b">
        <f t="shared" si="3"/>
        <v>1</v>
      </c>
      <c r="J64" s="6">
        <f t="shared" si="1"/>
        <v>182193.61477877665</v>
      </c>
      <c r="K64" s="93"/>
      <c r="L64" s="114">
        <v>2</v>
      </c>
      <c r="M64" s="93">
        <f t="shared" si="4"/>
        <v>80.84968309376009</v>
      </c>
      <c r="N64" s="93"/>
      <c r="O64" s="93"/>
      <c r="P64" s="93"/>
      <c r="Q64" s="93"/>
      <c r="R64" s="114">
        <v>3</v>
      </c>
      <c r="S64" s="93">
        <f t="shared" si="2"/>
        <v>54.45844277657642</v>
      </c>
      <c r="T64" s="93"/>
      <c r="U64" s="93"/>
      <c r="V64" s="93"/>
      <c r="W64" s="93"/>
      <c r="X64" s="93"/>
    </row>
    <row r="65" spans="1:24" ht="12.75">
      <c r="A65" s="4">
        <v>58</v>
      </c>
      <c r="B65" t="s">
        <v>274</v>
      </c>
      <c r="C65" t="s">
        <v>51</v>
      </c>
      <c r="D65" t="s">
        <v>161</v>
      </c>
      <c r="E65" s="5">
        <v>5</v>
      </c>
      <c r="F65" s="3">
        <v>49.85</v>
      </c>
      <c r="G65" s="15">
        <v>3133</v>
      </c>
      <c r="H65" s="3">
        <v>56.45575895706193</v>
      </c>
      <c r="I65" s="3" t="b">
        <f t="shared" si="3"/>
        <v>1</v>
      </c>
      <c r="J65" s="6">
        <f t="shared" si="1"/>
        <v>176875.89281247504</v>
      </c>
      <c r="K65" s="93"/>
      <c r="L65" s="114">
        <v>2</v>
      </c>
      <c r="M65" s="93">
        <f t="shared" si="4"/>
        <v>80.84968309376009</v>
      </c>
      <c r="N65" s="93"/>
      <c r="O65" s="93"/>
      <c r="P65" s="93"/>
      <c r="Q65" s="93"/>
      <c r="R65" s="114">
        <v>3</v>
      </c>
      <c r="S65" s="93">
        <f t="shared" si="2"/>
        <v>54.45844277657642</v>
      </c>
      <c r="T65" s="93"/>
      <c r="U65" s="93"/>
      <c r="V65" s="93"/>
      <c r="W65" s="93"/>
      <c r="X65" s="93"/>
    </row>
    <row r="66" spans="1:24" ht="12.75">
      <c r="A66" s="4">
        <v>59</v>
      </c>
      <c r="B66" t="s">
        <v>274</v>
      </c>
      <c r="C66" t="s">
        <v>66</v>
      </c>
      <c r="D66" t="s">
        <v>165</v>
      </c>
      <c r="E66" s="5">
        <v>5</v>
      </c>
      <c r="F66" s="3">
        <v>49.85</v>
      </c>
      <c r="G66" s="15">
        <v>2032</v>
      </c>
      <c r="H66" s="3">
        <v>57.85294258622469</v>
      </c>
      <c r="I66" s="3" t="b">
        <f t="shared" si="3"/>
        <v>1</v>
      </c>
      <c r="J66" s="6">
        <f t="shared" si="1"/>
        <v>117557.17933520858</v>
      </c>
      <c r="K66" s="93"/>
      <c r="L66" s="114">
        <v>2</v>
      </c>
      <c r="M66" s="93">
        <f t="shared" si="4"/>
        <v>80.84968309376009</v>
      </c>
      <c r="N66" s="93"/>
      <c r="O66" s="93"/>
      <c r="P66" s="93"/>
      <c r="Q66" s="93"/>
      <c r="R66" s="114">
        <v>3</v>
      </c>
      <c r="S66" s="93">
        <f t="shared" si="2"/>
        <v>54.45844277657642</v>
      </c>
      <c r="T66" s="93"/>
      <c r="U66" s="93"/>
      <c r="V66" s="93"/>
      <c r="W66" s="93"/>
      <c r="X66" s="93"/>
    </row>
    <row r="67" spans="1:24" ht="12.75">
      <c r="A67" s="4">
        <v>60</v>
      </c>
      <c r="B67" s="4">
        <v>60</v>
      </c>
      <c r="C67" t="s">
        <v>71</v>
      </c>
      <c r="D67" t="s">
        <v>160</v>
      </c>
      <c r="E67" s="5">
        <v>5</v>
      </c>
      <c r="F67" s="3">
        <v>49.85</v>
      </c>
      <c r="G67" s="15">
        <v>2160</v>
      </c>
      <c r="H67" s="3">
        <v>57.99985224418301</v>
      </c>
      <c r="I67" s="3" t="b">
        <f t="shared" si="3"/>
        <v>1</v>
      </c>
      <c r="J67" s="6">
        <f t="shared" si="1"/>
        <v>125279.6808474353</v>
      </c>
      <c r="K67" s="93"/>
      <c r="L67" s="114">
        <v>2</v>
      </c>
      <c r="M67" s="93">
        <f t="shared" si="4"/>
        <v>80.84968309376009</v>
      </c>
      <c r="N67" s="93"/>
      <c r="O67" s="93"/>
      <c r="P67" s="93"/>
      <c r="Q67" s="93"/>
      <c r="R67" s="114">
        <v>3</v>
      </c>
      <c r="S67" s="93">
        <f t="shared" si="2"/>
        <v>54.45844277657642</v>
      </c>
      <c r="T67" s="93"/>
      <c r="U67" s="93"/>
      <c r="V67" s="93"/>
      <c r="W67" s="93"/>
      <c r="X67" s="93"/>
    </row>
    <row r="68" spans="1:24" ht="12.75">
      <c r="A68" s="4">
        <v>61</v>
      </c>
      <c r="B68" t="s">
        <v>274</v>
      </c>
      <c r="C68" t="s">
        <v>55</v>
      </c>
      <c r="D68" t="s">
        <v>168</v>
      </c>
      <c r="E68" s="5">
        <v>5</v>
      </c>
      <c r="F68" s="3">
        <v>49.85</v>
      </c>
      <c r="G68" s="15">
        <v>1310</v>
      </c>
      <c r="H68" s="3">
        <v>59.670681480104605</v>
      </c>
      <c r="I68" s="3" t="b">
        <f t="shared" si="3"/>
        <v>1</v>
      </c>
      <c r="J68" s="6">
        <f t="shared" si="1"/>
        <v>78168.59273893703</v>
      </c>
      <c r="K68" s="93"/>
      <c r="L68" s="114">
        <v>2</v>
      </c>
      <c r="M68" s="93">
        <f t="shared" si="4"/>
        <v>80.84968309376009</v>
      </c>
      <c r="N68" s="93"/>
      <c r="O68" s="93"/>
      <c r="P68" s="93"/>
      <c r="Q68" s="93"/>
      <c r="R68" s="114">
        <v>3</v>
      </c>
      <c r="S68" s="93">
        <f t="shared" si="2"/>
        <v>54.45844277657642</v>
      </c>
      <c r="T68" s="93"/>
      <c r="U68" s="93"/>
      <c r="V68" s="93"/>
      <c r="W68" s="93"/>
      <c r="X68" s="93"/>
    </row>
    <row r="69" spans="1:24" ht="12.75">
      <c r="A69" s="4">
        <v>62</v>
      </c>
      <c r="B69" t="s">
        <v>274</v>
      </c>
      <c r="C69" t="s">
        <v>49</v>
      </c>
      <c r="D69" t="s">
        <v>162</v>
      </c>
      <c r="E69" s="5">
        <v>5</v>
      </c>
      <c r="F69" s="3">
        <v>49.85</v>
      </c>
      <c r="G69" s="15">
        <v>2300</v>
      </c>
      <c r="H69" s="3">
        <v>61.981994008050776</v>
      </c>
      <c r="I69" s="3" t="b">
        <f t="shared" si="3"/>
        <v>1</v>
      </c>
      <c r="J69" s="6">
        <f t="shared" si="1"/>
        <v>142558.58621851678</v>
      </c>
      <c r="K69" s="93"/>
      <c r="L69" s="114">
        <v>2</v>
      </c>
      <c r="M69" s="93">
        <f t="shared" si="4"/>
        <v>80.84968309376009</v>
      </c>
      <c r="N69" s="93"/>
      <c r="O69" s="93"/>
      <c r="P69" s="93"/>
      <c r="Q69" s="93"/>
      <c r="R69" s="114">
        <v>3</v>
      </c>
      <c r="S69" s="93">
        <f t="shared" si="2"/>
        <v>54.45844277657642</v>
      </c>
      <c r="T69" s="93"/>
      <c r="U69" s="93"/>
      <c r="V69" s="93"/>
      <c r="W69" s="93"/>
      <c r="X69" s="93"/>
    </row>
    <row r="70" spans="1:24" ht="12.75">
      <c r="A70" s="4">
        <v>63</v>
      </c>
      <c r="B70" t="s">
        <v>274</v>
      </c>
      <c r="C70" t="s">
        <v>74</v>
      </c>
      <c r="D70" t="s">
        <v>170</v>
      </c>
      <c r="E70" s="5">
        <v>5</v>
      </c>
      <c r="F70" s="3">
        <v>49.85</v>
      </c>
      <c r="G70" s="15">
        <v>1374</v>
      </c>
      <c r="H70" s="3">
        <v>66.02227335173579</v>
      </c>
      <c r="I70" s="3" t="b">
        <f t="shared" si="3"/>
        <v>1</v>
      </c>
      <c r="J70" s="6">
        <f t="shared" si="1"/>
        <v>90714.60358528497</v>
      </c>
      <c r="K70" s="93"/>
      <c r="L70" s="114">
        <v>2</v>
      </c>
      <c r="M70" s="93">
        <f t="shared" si="4"/>
        <v>80.84968309376009</v>
      </c>
      <c r="N70" s="93"/>
      <c r="O70" s="93"/>
      <c r="P70" s="93"/>
      <c r="Q70" s="93"/>
      <c r="R70" s="114">
        <v>3</v>
      </c>
      <c r="S70" s="93">
        <f t="shared" si="2"/>
        <v>54.45844277657642</v>
      </c>
      <c r="T70" s="93"/>
      <c r="U70" s="93"/>
      <c r="V70" s="93"/>
      <c r="W70" s="93"/>
      <c r="X70" s="93"/>
    </row>
    <row r="71" spans="1:24" ht="12.75">
      <c r="A71" s="4">
        <v>64</v>
      </c>
      <c r="B71" t="s">
        <v>274</v>
      </c>
      <c r="C71" t="s">
        <v>58</v>
      </c>
      <c r="D71" t="s">
        <v>169</v>
      </c>
      <c r="E71" s="5">
        <v>5</v>
      </c>
      <c r="F71" s="3">
        <v>49.85</v>
      </c>
      <c r="G71" s="15">
        <v>1524</v>
      </c>
      <c r="H71" s="3">
        <v>67.56343293357544</v>
      </c>
      <c r="I71" s="3" t="b">
        <f t="shared" si="3"/>
        <v>1</v>
      </c>
      <c r="J71" s="6">
        <f t="shared" si="1"/>
        <v>102966.67179076897</v>
      </c>
      <c r="K71" s="93"/>
      <c r="L71" s="114">
        <v>2</v>
      </c>
      <c r="M71" s="93">
        <f t="shared" si="4"/>
        <v>80.84968309376009</v>
      </c>
      <c r="N71" s="93"/>
      <c r="O71" s="93"/>
      <c r="P71" s="93"/>
      <c r="Q71" s="93"/>
      <c r="R71" s="114">
        <v>3</v>
      </c>
      <c r="S71" s="93">
        <f t="shared" si="2"/>
        <v>54.45844277657642</v>
      </c>
      <c r="T71" s="93"/>
      <c r="U71" s="93"/>
      <c r="V71" s="93"/>
      <c r="W71" s="93"/>
      <c r="X71" s="93"/>
    </row>
    <row r="72" spans="1:24" ht="12.75">
      <c r="A72" s="4">
        <v>65</v>
      </c>
      <c r="B72" t="s">
        <v>274</v>
      </c>
      <c r="C72" t="s">
        <v>90</v>
      </c>
      <c r="D72" t="s">
        <v>171</v>
      </c>
      <c r="E72" s="5">
        <v>5</v>
      </c>
      <c r="F72" s="3">
        <v>49.85</v>
      </c>
      <c r="G72" s="15">
        <v>641</v>
      </c>
      <c r="H72" s="3">
        <v>68.37272597136261</v>
      </c>
      <c r="I72" s="3" t="b">
        <f t="shared" si="3"/>
        <v>1</v>
      </c>
      <c r="J72" s="6">
        <f t="shared" si="1"/>
        <v>43826.91734764344</v>
      </c>
      <c r="K72" s="93"/>
      <c r="L72" s="114">
        <v>2</v>
      </c>
      <c r="M72" s="93">
        <f aca="true" t="shared" si="5" ref="M72:M103">IF(L72=1,$N$111,IF(L72=2,$N$112,IF(L72=3,$N$113,IF(L72=4,$N$114,IF(L72=5,$N$115,"Error")))))</f>
        <v>80.84968309376009</v>
      </c>
      <c r="N72" s="93"/>
      <c r="O72" s="93"/>
      <c r="P72" s="93"/>
      <c r="Q72" s="93"/>
      <c r="R72" s="114">
        <v>3</v>
      </c>
      <c r="S72" s="93">
        <f t="shared" si="2"/>
        <v>54.45844277657642</v>
      </c>
      <c r="T72" s="93"/>
      <c r="U72" s="93"/>
      <c r="V72" s="93"/>
      <c r="W72" s="93"/>
      <c r="X72" s="93"/>
    </row>
    <row r="73" spans="1:24" ht="12.75">
      <c r="A73" s="4">
        <v>66</v>
      </c>
      <c r="B73" t="s">
        <v>274</v>
      </c>
      <c r="C73" t="s">
        <v>47</v>
      </c>
      <c r="D73" t="s">
        <v>172</v>
      </c>
      <c r="E73" s="5">
        <v>5</v>
      </c>
      <c r="F73" s="3">
        <v>49.85</v>
      </c>
      <c r="G73" s="15">
        <v>4870</v>
      </c>
      <c r="H73" s="3">
        <v>70.26934905362688</v>
      </c>
      <c r="I73" s="3" t="b">
        <f t="shared" si="3"/>
        <v>1</v>
      </c>
      <c r="J73" s="6">
        <f aca="true" t="shared" si="6" ref="J73:J106">G73*H73</f>
        <v>342211.7298911629</v>
      </c>
      <c r="K73" s="93"/>
      <c r="L73" s="114">
        <v>2</v>
      </c>
      <c r="M73" s="93">
        <f t="shared" si="5"/>
        <v>80.84968309376009</v>
      </c>
      <c r="N73" s="93"/>
      <c r="O73" s="93"/>
      <c r="P73" s="93"/>
      <c r="Q73" s="93"/>
      <c r="R73" s="114">
        <v>3</v>
      </c>
      <c r="S73" s="93">
        <f aca="true" t="shared" si="7" ref="S73:S106">IF(R73=1,$T$111,IF(R73=2,$T$112,IF(R73=3,$T$113,IF(R73=4,$T$114,IF(R73=5,$T$115,"Error")))))</f>
        <v>54.45844277657642</v>
      </c>
      <c r="T73" s="93"/>
      <c r="U73" s="93"/>
      <c r="V73" s="93"/>
      <c r="W73" s="93"/>
      <c r="X73" s="93"/>
    </row>
    <row r="74" spans="1:24" ht="12.75">
      <c r="A74" s="4">
        <v>67</v>
      </c>
      <c r="B74" t="s">
        <v>274</v>
      </c>
      <c r="C74" t="s">
        <v>48</v>
      </c>
      <c r="D74" t="s">
        <v>153</v>
      </c>
      <c r="E74" s="5">
        <v>4</v>
      </c>
      <c r="F74" s="3">
        <v>23.36</v>
      </c>
      <c r="G74" s="15">
        <v>4390</v>
      </c>
      <c r="H74" s="3">
        <v>70.88727672697706</v>
      </c>
      <c r="I74" s="3" t="b">
        <f aca="true" t="shared" si="8" ref="I74:I106">(H74&gt;=H73)</f>
        <v>1</v>
      </c>
      <c r="J74" s="6">
        <f t="shared" si="6"/>
        <v>311195.1448314293</v>
      </c>
      <c r="K74" s="93"/>
      <c r="L74" s="114">
        <v>2</v>
      </c>
      <c r="M74" s="93">
        <f t="shared" si="5"/>
        <v>80.84968309376009</v>
      </c>
      <c r="N74" s="93"/>
      <c r="O74" s="93"/>
      <c r="P74" s="93"/>
      <c r="Q74" s="93"/>
      <c r="R74" s="114">
        <v>3</v>
      </c>
      <c r="S74" s="93">
        <f t="shared" si="7"/>
        <v>54.45844277657642</v>
      </c>
      <c r="T74" s="93"/>
      <c r="U74" s="93"/>
      <c r="V74" s="93"/>
      <c r="W74" s="93"/>
      <c r="X74" s="93"/>
    </row>
    <row r="75" spans="1:24" ht="12.75">
      <c r="A75" s="4">
        <v>68</v>
      </c>
      <c r="B75" t="s">
        <v>274</v>
      </c>
      <c r="C75" t="s">
        <v>97</v>
      </c>
      <c r="D75" t="s">
        <v>155</v>
      </c>
      <c r="E75" s="5">
        <v>5</v>
      </c>
      <c r="F75" s="3">
        <v>49.85</v>
      </c>
      <c r="G75" s="15">
        <v>413</v>
      </c>
      <c r="H75" s="3">
        <v>74.11883294489529</v>
      </c>
      <c r="I75" s="3" t="b">
        <f t="shared" si="8"/>
        <v>1</v>
      </c>
      <c r="J75" s="6">
        <f t="shared" si="6"/>
        <v>30611.078006241754</v>
      </c>
      <c r="K75" s="93"/>
      <c r="L75" s="114">
        <v>2</v>
      </c>
      <c r="M75" s="93">
        <f t="shared" si="5"/>
        <v>80.84968309376009</v>
      </c>
      <c r="N75" s="93"/>
      <c r="O75" s="93"/>
      <c r="P75" s="93"/>
      <c r="Q75" s="93"/>
      <c r="R75" s="114">
        <v>3</v>
      </c>
      <c r="S75" s="93">
        <f t="shared" si="7"/>
        <v>54.45844277657642</v>
      </c>
      <c r="T75" s="93"/>
      <c r="U75" s="93"/>
      <c r="V75" s="93"/>
      <c r="W75" s="93"/>
      <c r="X75" s="93"/>
    </row>
    <row r="76" spans="1:24" ht="12.75">
      <c r="A76" s="4">
        <v>69</v>
      </c>
      <c r="B76" t="s">
        <v>274</v>
      </c>
      <c r="C76" t="s">
        <v>59</v>
      </c>
      <c r="D76" t="s">
        <v>175</v>
      </c>
      <c r="E76" s="5">
        <v>5</v>
      </c>
      <c r="F76" s="3">
        <v>49.85</v>
      </c>
      <c r="G76" s="15">
        <v>1495</v>
      </c>
      <c r="H76" s="3">
        <v>74.20207666972384</v>
      </c>
      <c r="I76" s="3" t="b">
        <f t="shared" si="8"/>
        <v>1</v>
      </c>
      <c r="J76" s="6">
        <f t="shared" si="6"/>
        <v>110932.10462123714</v>
      </c>
      <c r="K76" s="93"/>
      <c r="L76" s="114">
        <v>2</v>
      </c>
      <c r="M76" s="93">
        <f t="shared" si="5"/>
        <v>80.84968309376009</v>
      </c>
      <c r="N76" s="93"/>
      <c r="O76" s="93"/>
      <c r="P76" s="93"/>
      <c r="Q76" s="93"/>
      <c r="R76" s="114">
        <v>3</v>
      </c>
      <c r="S76" s="93">
        <f t="shared" si="7"/>
        <v>54.45844277657642</v>
      </c>
      <c r="T76" s="93"/>
      <c r="U76" s="93"/>
      <c r="V76" s="93"/>
      <c r="W76" s="93"/>
      <c r="X76" s="93"/>
    </row>
    <row r="77" spans="1:24" ht="12.75">
      <c r="A77" s="4">
        <v>70</v>
      </c>
      <c r="B77" s="4">
        <v>70</v>
      </c>
      <c r="C77" t="s">
        <v>63</v>
      </c>
      <c r="D77" t="s">
        <v>178</v>
      </c>
      <c r="E77" s="5">
        <v>5</v>
      </c>
      <c r="F77" s="3">
        <v>49.85</v>
      </c>
      <c r="G77" s="15">
        <v>1499</v>
      </c>
      <c r="H77" s="3">
        <v>76.28102760364392</v>
      </c>
      <c r="I77" s="3" t="b">
        <f t="shared" si="8"/>
        <v>1</v>
      </c>
      <c r="J77" s="6">
        <f t="shared" si="6"/>
        <v>114345.26037786224</v>
      </c>
      <c r="K77" s="93"/>
      <c r="L77" s="114">
        <v>2</v>
      </c>
      <c r="M77" s="93">
        <f t="shared" si="5"/>
        <v>80.84968309376009</v>
      </c>
      <c r="N77" s="93"/>
      <c r="O77" s="93"/>
      <c r="P77" s="93"/>
      <c r="Q77" s="93"/>
      <c r="R77" s="114">
        <v>3</v>
      </c>
      <c r="S77" s="93">
        <f t="shared" si="7"/>
        <v>54.45844277657642</v>
      </c>
      <c r="T77" s="93"/>
      <c r="U77" s="93"/>
      <c r="V77" s="93"/>
      <c r="W77" s="93"/>
      <c r="X77" s="93"/>
    </row>
    <row r="78" spans="1:24" ht="12.75">
      <c r="A78" s="4">
        <v>71</v>
      </c>
      <c r="B78" t="s">
        <v>274</v>
      </c>
      <c r="C78" t="s">
        <v>68</v>
      </c>
      <c r="D78" t="s">
        <v>180</v>
      </c>
      <c r="E78" s="5">
        <v>5</v>
      </c>
      <c r="F78" s="3">
        <v>49.85</v>
      </c>
      <c r="G78" s="15">
        <v>1960</v>
      </c>
      <c r="H78" s="3">
        <v>79.46366244289938</v>
      </c>
      <c r="I78" s="3" t="b">
        <f t="shared" si="8"/>
        <v>1</v>
      </c>
      <c r="J78" s="6">
        <f t="shared" si="6"/>
        <v>155748.77838808278</v>
      </c>
      <c r="K78" s="93"/>
      <c r="L78" s="114">
        <v>2</v>
      </c>
      <c r="M78" s="93">
        <f t="shared" si="5"/>
        <v>80.84968309376009</v>
      </c>
      <c r="N78" s="93"/>
      <c r="O78" s="93"/>
      <c r="P78" s="93"/>
      <c r="Q78" s="93"/>
      <c r="R78" s="114">
        <v>4</v>
      </c>
      <c r="S78" s="93">
        <f t="shared" si="7"/>
        <v>100.39848635432033</v>
      </c>
      <c r="T78" s="93"/>
      <c r="U78" s="93"/>
      <c r="V78" s="93"/>
      <c r="W78" s="93"/>
      <c r="X78" s="93"/>
    </row>
    <row r="79" spans="1:24" ht="12.75">
      <c r="A79" s="4">
        <v>72</v>
      </c>
      <c r="B79" t="s">
        <v>274</v>
      </c>
      <c r="C79" t="s">
        <v>73</v>
      </c>
      <c r="D79" t="s">
        <v>176</v>
      </c>
      <c r="E79" s="5">
        <v>5</v>
      </c>
      <c r="F79" s="3">
        <v>49.85</v>
      </c>
      <c r="G79" s="15">
        <v>1378</v>
      </c>
      <c r="H79" s="3">
        <v>79.9641000364903</v>
      </c>
      <c r="I79" s="3" t="b">
        <f t="shared" si="8"/>
        <v>1</v>
      </c>
      <c r="J79" s="6">
        <f t="shared" si="6"/>
        <v>110190.52985028362</v>
      </c>
      <c r="K79" s="93"/>
      <c r="L79" s="114">
        <v>2</v>
      </c>
      <c r="M79" s="93">
        <f t="shared" si="5"/>
        <v>80.84968309376009</v>
      </c>
      <c r="N79" s="93"/>
      <c r="O79" s="93"/>
      <c r="P79" s="93"/>
      <c r="Q79" s="93"/>
      <c r="R79" s="114">
        <v>4</v>
      </c>
      <c r="S79" s="93">
        <f t="shared" si="7"/>
        <v>100.39848635432033</v>
      </c>
      <c r="T79" s="93"/>
      <c r="U79" s="93"/>
      <c r="V79" s="93"/>
      <c r="W79" s="93"/>
      <c r="X79" s="93"/>
    </row>
    <row r="80" spans="1:24" ht="12.75">
      <c r="A80" s="4">
        <v>73</v>
      </c>
      <c r="B80" t="s">
        <v>274</v>
      </c>
      <c r="C80" t="s">
        <v>50</v>
      </c>
      <c r="D80" t="s">
        <v>174</v>
      </c>
      <c r="E80" s="5">
        <v>5</v>
      </c>
      <c r="F80" s="3">
        <v>49.85</v>
      </c>
      <c r="G80" s="15">
        <v>2028</v>
      </c>
      <c r="H80" s="3">
        <v>89.17846010950149</v>
      </c>
      <c r="I80" s="3" t="b">
        <f t="shared" si="8"/>
        <v>1</v>
      </c>
      <c r="J80" s="6">
        <f t="shared" si="6"/>
        <v>180853.917102069</v>
      </c>
      <c r="K80" s="93"/>
      <c r="L80" s="114">
        <v>2</v>
      </c>
      <c r="M80" s="93">
        <f t="shared" si="5"/>
        <v>80.84968309376009</v>
      </c>
      <c r="N80" s="93"/>
      <c r="O80" s="93"/>
      <c r="P80" s="93"/>
      <c r="Q80" s="93"/>
      <c r="R80" s="114">
        <v>4</v>
      </c>
      <c r="S80" s="93">
        <f t="shared" si="7"/>
        <v>100.39848635432033</v>
      </c>
      <c r="T80" s="93"/>
      <c r="U80" s="93"/>
      <c r="V80" s="93"/>
      <c r="W80" s="93"/>
      <c r="X80" s="93"/>
    </row>
    <row r="81" spans="1:24" ht="12.75">
      <c r="A81" s="4">
        <v>74</v>
      </c>
      <c r="B81" t="s">
        <v>274</v>
      </c>
      <c r="C81" t="s">
        <v>62</v>
      </c>
      <c r="D81" t="s">
        <v>173</v>
      </c>
      <c r="E81" s="5">
        <v>5</v>
      </c>
      <c r="F81" s="3">
        <v>49.85</v>
      </c>
      <c r="G81" s="15">
        <v>2735</v>
      </c>
      <c r="H81" s="3">
        <v>90.64489923484908</v>
      </c>
      <c r="I81" s="3" t="b">
        <f t="shared" si="8"/>
        <v>1</v>
      </c>
      <c r="J81" s="6">
        <f t="shared" si="6"/>
        <v>247913.79940731224</v>
      </c>
      <c r="K81" s="93"/>
      <c r="L81" s="114">
        <v>2</v>
      </c>
      <c r="M81" s="93">
        <f t="shared" si="5"/>
        <v>80.84968309376009</v>
      </c>
      <c r="N81" s="93"/>
      <c r="O81" s="93"/>
      <c r="P81" s="93"/>
      <c r="Q81" s="93"/>
      <c r="R81" s="114">
        <v>4</v>
      </c>
      <c r="S81" s="93">
        <f t="shared" si="7"/>
        <v>100.39848635432033</v>
      </c>
      <c r="T81" s="93"/>
      <c r="U81" s="93"/>
      <c r="V81" s="93"/>
      <c r="W81" s="93"/>
      <c r="X81" s="93"/>
    </row>
    <row r="82" spans="1:24" ht="12.75">
      <c r="A82" s="4">
        <v>75</v>
      </c>
      <c r="B82" t="s">
        <v>274</v>
      </c>
      <c r="C82" t="s">
        <v>79</v>
      </c>
      <c r="D82" t="s">
        <v>179</v>
      </c>
      <c r="E82" s="5">
        <v>5</v>
      </c>
      <c r="F82" s="3">
        <v>49.85</v>
      </c>
      <c r="G82" s="15">
        <v>2163</v>
      </c>
      <c r="H82" s="3">
        <v>95.62549939737593</v>
      </c>
      <c r="I82" s="3" t="b">
        <f t="shared" si="8"/>
        <v>1</v>
      </c>
      <c r="J82" s="6">
        <f t="shared" si="6"/>
        <v>206837.95519652416</v>
      </c>
      <c r="K82" s="93"/>
      <c r="L82" s="114">
        <v>2</v>
      </c>
      <c r="M82" s="93">
        <f t="shared" si="5"/>
        <v>80.84968309376009</v>
      </c>
      <c r="N82" s="93"/>
      <c r="O82" s="93"/>
      <c r="P82" s="93"/>
      <c r="Q82" s="93"/>
      <c r="R82" s="114">
        <v>4</v>
      </c>
      <c r="S82" s="93">
        <f t="shared" si="7"/>
        <v>100.39848635432033</v>
      </c>
      <c r="T82" s="93"/>
      <c r="U82" s="93"/>
      <c r="V82" s="93"/>
      <c r="W82" s="93"/>
      <c r="X82" s="93"/>
    </row>
    <row r="83" spans="1:24" ht="12.75">
      <c r="A83" s="4">
        <v>76</v>
      </c>
      <c r="B83" t="s">
        <v>274</v>
      </c>
      <c r="C83" t="s">
        <v>98</v>
      </c>
      <c r="D83" t="s">
        <v>186</v>
      </c>
      <c r="E83" s="5">
        <v>5</v>
      </c>
      <c r="F83" s="3">
        <v>49.85</v>
      </c>
      <c r="G83" s="15">
        <v>134</v>
      </c>
      <c r="H83" s="3">
        <v>107.23855183620836</v>
      </c>
      <c r="I83" s="3" t="b">
        <f t="shared" si="8"/>
        <v>1</v>
      </c>
      <c r="J83" s="6">
        <f t="shared" si="6"/>
        <v>14369.96594605192</v>
      </c>
      <c r="K83" s="93"/>
      <c r="L83" s="114">
        <v>2</v>
      </c>
      <c r="M83" s="93">
        <f t="shared" si="5"/>
        <v>80.84968309376009</v>
      </c>
      <c r="N83" s="93"/>
      <c r="O83" s="93"/>
      <c r="P83" s="93"/>
      <c r="Q83" s="93"/>
      <c r="R83" s="114">
        <v>4</v>
      </c>
      <c r="S83" s="93">
        <f t="shared" si="7"/>
        <v>100.39848635432033</v>
      </c>
      <c r="T83" s="93"/>
      <c r="U83" s="93"/>
      <c r="V83" s="93"/>
      <c r="W83" s="93"/>
      <c r="X83" s="93"/>
    </row>
    <row r="84" spans="1:24" ht="12.75">
      <c r="A84" s="4">
        <v>77</v>
      </c>
      <c r="B84" t="s">
        <v>274</v>
      </c>
      <c r="C84" t="s">
        <v>64</v>
      </c>
      <c r="D84" t="s">
        <v>183</v>
      </c>
      <c r="E84" s="5">
        <v>5</v>
      </c>
      <c r="F84" s="3">
        <v>49.85</v>
      </c>
      <c r="G84" s="15">
        <v>5329</v>
      </c>
      <c r="H84" s="3">
        <v>107.36007953471483</v>
      </c>
      <c r="I84" s="3" t="b">
        <f t="shared" si="8"/>
        <v>1</v>
      </c>
      <c r="J84" s="6">
        <f t="shared" si="6"/>
        <v>572121.8638404954</v>
      </c>
      <c r="K84" s="93"/>
      <c r="L84" s="114">
        <v>2</v>
      </c>
      <c r="M84" s="93">
        <f t="shared" si="5"/>
        <v>80.84968309376009</v>
      </c>
      <c r="N84" s="93"/>
      <c r="O84" s="93"/>
      <c r="P84" s="93"/>
      <c r="Q84" s="93"/>
      <c r="R84" s="114">
        <v>4</v>
      </c>
      <c r="S84" s="93">
        <f t="shared" si="7"/>
        <v>100.39848635432033</v>
      </c>
      <c r="T84" s="93"/>
      <c r="U84" s="93"/>
      <c r="V84" s="93"/>
      <c r="W84" s="93"/>
      <c r="X84" s="93"/>
    </row>
    <row r="85" spans="1:24" ht="12.75">
      <c r="A85" s="4">
        <v>78</v>
      </c>
      <c r="B85" t="s">
        <v>274</v>
      </c>
      <c r="C85" t="s">
        <v>67</v>
      </c>
      <c r="D85" t="s">
        <v>184</v>
      </c>
      <c r="E85" s="5">
        <v>5</v>
      </c>
      <c r="F85" s="3">
        <v>49.85</v>
      </c>
      <c r="G85" s="15">
        <v>5898</v>
      </c>
      <c r="H85" s="3">
        <v>109.03315570322755</v>
      </c>
      <c r="I85" s="3" t="b">
        <f t="shared" si="8"/>
        <v>1</v>
      </c>
      <c r="J85" s="6">
        <f t="shared" si="6"/>
        <v>643077.5523376361</v>
      </c>
      <c r="K85" s="93"/>
      <c r="L85" s="114">
        <v>2</v>
      </c>
      <c r="M85" s="93">
        <f t="shared" si="5"/>
        <v>80.84968309376009</v>
      </c>
      <c r="N85" s="93"/>
      <c r="O85" s="93"/>
      <c r="P85" s="93"/>
      <c r="Q85" s="93"/>
      <c r="R85" s="114">
        <v>4</v>
      </c>
      <c r="S85" s="93">
        <f t="shared" si="7"/>
        <v>100.39848635432033</v>
      </c>
      <c r="T85" s="93"/>
      <c r="U85" s="93"/>
      <c r="V85" s="93"/>
      <c r="W85" s="93"/>
      <c r="X85" s="93"/>
    </row>
    <row r="86" spans="1:24" ht="12.75">
      <c r="A86" s="4">
        <v>79</v>
      </c>
      <c r="B86" t="s">
        <v>274</v>
      </c>
      <c r="C86" t="s">
        <v>78</v>
      </c>
      <c r="D86" t="s">
        <v>185</v>
      </c>
      <c r="E86" s="5">
        <v>5</v>
      </c>
      <c r="F86" s="3">
        <v>49.85</v>
      </c>
      <c r="G86" s="15">
        <v>696</v>
      </c>
      <c r="H86" s="3">
        <v>110.05208279611145</v>
      </c>
      <c r="I86" s="3" t="b">
        <f t="shared" si="8"/>
        <v>1</v>
      </c>
      <c r="J86" s="6">
        <f t="shared" si="6"/>
        <v>76596.24962609357</v>
      </c>
      <c r="K86" s="93"/>
      <c r="L86" s="114">
        <v>2</v>
      </c>
      <c r="M86" s="93">
        <f t="shared" si="5"/>
        <v>80.84968309376009</v>
      </c>
      <c r="N86" s="93"/>
      <c r="O86" s="93"/>
      <c r="P86" s="93"/>
      <c r="Q86" s="93"/>
      <c r="R86" s="114">
        <v>4</v>
      </c>
      <c r="S86" s="93">
        <f t="shared" si="7"/>
        <v>100.39848635432033</v>
      </c>
      <c r="T86" s="93"/>
      <c r="U86" s="93"/>
      <c r="V86" s="93"/>
      <c r="W86" s="93"/>
      <c r="X86" s="93"/>
    </row>
    <row r="87" spans="1:24" ht="12.75">
      <c r="A87" s="4">
        <v>80</v>
      </c>
      <c r="B87" s="4">
        <v>80</v>
      </c>
      <c r="C87" t="s">
        <v>80</v>
      </c>
      <c r="D87" t="s">
        <v>182</v>
      </c>
      <c r="E87" s="5">
        <v>5</v>
      </c>
      <c r="F87" s="3">
        <v>49.85</v>
      </c>
      <c r="G87" s="15">
        <v>1921</v>
      </c>
      <c r="H87" s="3">
        <v>111.9192009443897</v>
      </c>
      <c r="I87" s="3" t="b">
        <f t="shared" si="8"/>
        <v>1</v>
      </c>
      <c r="J87" s="6">
        <f t="shared" si="6"/>
        <v>214996.7850141726</v>
      </c>
      <c r="K87" s="93"/>
      <c r="L87" s="114">
        <v>2</v>
      </c>
      <c r="M87" s="93">
        <f t="shared" si="5"/>
        <v>80.84968309376009</v>
      </c>
      <c r="N87" s="93"/>
      <c r="O87" s="93"/>
      <c r="P87" s="93"/>
      <c r="Q87" s="93"/>
      <c r="R87" s="114">
        <v>4</v>
      </c>
      <c r="S87" s="93">
        <f t="shared" si="7"/>
        <v>100.39848635432033</v>
      </c>
      <c r="T87" s="93"/>
      <c r="U87" s="93"/>
      <c r="V87" s="93"/>
      <c r="W87" s="93"/>
      <c r="X87" s="93"/>
    </row>
    <row r="88" spans="1:24" ht="12.75">
      <c r="A88" s="4">
        <v>81</v>
      </c>
      <c r="B88" t="s">
        <v>274</v>
      </c>
      <c r="C88" t="s">
        <v>76</v>
      </c>
      <c r="D88" t="s">
        <v>181</v>
      </c>
      <c r="E88" s="5">
        <v>5</v>
      </c>
      <c r="F88" s="3">
        <v>49.85</v>
      </c>
      <c r="G88" s="15">
        <v>824</v>
      </c>
      <c r="H88" s="3">
        <v>113.93332797168904</v>
      </c>
      <c r="I88" s="3" t="b">
        <f t="shared" si="8"/>
        <v>1</v>
      </c>
      <c r="J88" s="6">
        <f t="shared" si="6"/>
        <v>93881.06224867176</v>
      </c>
      <c r="K88" s="93"/>
      <c r="L88" s="114">
        <v>2</v>
      </c>
      <c r="M88" s="93">
        <f t="shared" si="5"/>
        <v>80.84968309376009</v>
      </c>
      <c r="N88" s="93"/>
      <c r="O88" s="93"/>
      <c r="P88" s="93"/>
      <c r="Q88" s="93"/>
      <c r="R88" s="114">
        <v>4</v>
      </c>
      <c r="S88" s="93">
        <f t="shared" si="7"/>
        <v>100.39848635432033</v>
      </c>
      <c r="T88" s="93"/>
      <c r="U88" s="93"/>
      <c r="V88" s="93"/>
      <c r="W88" s="93"/>
      <c r="X88" s="93"/>
    </row>
    <row r="89" spans="1:24" ht="12.75">
      <c r="A89" s="4">
        <v>82</v>
      </c>
      <c r="B89" t="s">
        <v>274</v>
      </c>
      <c r="C89" t="s">
        <v>87</v>
      </c>
      <c r="D89" t="s">
        <v>189</v>
      </c>
      <c r="E89" s="5">
        <v>5</v>
      </c>
      <c r="F89" s="3">
        <v>49.85</v>
      </c>
      <c r="G89" s="15">
        <v>156</v>
      </c>
      <c r="H89" s="3">
        <v>134.11233726568275</v>
      </c>
      <c r="I89" s="3" t="b">
        <f t="shared" si="8"/>
        <v>1</v>
      </c>
      <c r="J89" s="6">
        <f t="shared" si="6"/>
        <v>20921.52461344651</v>
      </c>
      <c r="K89" s="93"/>
      <c r="L89" s="115">
        <v>3</v>
      </c>
      <c r="M89" s="93">
        <f t="shared" si="5"/>
        <v>194.34828367440136</v>
      </c>
      <c r="N89" s="93"/>
      <c r="O89" s="93"/>
      <c r="P89" s="93"/>
      <c r="Q89" s="93"/>
      <c r="R89" s="115">
        <v>5</v>
      </c>
      <c r="S89" s="93">
        <f t="shared" si="7"/>
        <v>194.34828367440136</v>
      </c>
      <c r="T89" s="93"/>
      <c r="U89" s="93"/>
      <c r="V89" s="93"/>
      <c r="W89" s="93"/>
      <c r="X89" s="93"/>
    </row>
    <row r="90" spans="1:24" ht="12.75">
      <c r="A90" s="4">
        <v>83</v>
      </c>
      <c r="B90" t="s">
        <v>274</v>
      </c>
      <c r="C90" t="s">
        <v>86</v>
      </c>
      <c r="D90" t="s">
        <v>187</v>
      </c>
      <c r="E90" s="5">
        <v>5</v>
      </c>
      <c r="F90" s="3">
        <v>49.85</v>
      </c>
      <c r="G90" s="15">
        <v>2776</v>
      </c>
      <c r="H90" s="3">
        <v>164.33236783473762</v>
      </c>
      <c r="I90" s="3" t="b">
        <f t="shared" si="8"/>
        <v>1</v>
      </c>
      <c r="J90" s="6">
        <f t="shared" si="6"/>
        <v>456186.6531092317</v>
      </c>
      <c r="K90" s="93"/>
      <c r="L90" s="115">
        <v>3</v>
      </c>
      <c r="M90" s="93">
        <f t="shared" si="5"/>
        <v>194.34828367440136</v>
      </c>
      <c r="N90" s="93"/>
      <c r="O90" s="93"/>
      <c r="P90" s="93"/>
      <c r="Q90" s="93"/>
      <c r="R90" s="115">
        <v>5</v>
      </c>
      <c r="S90" s="93">
        <f t="shared" si="7"/>
        <v>194.34828367440136</v>
      </c>
      <c r="T90" s="93"/>
      <c r="U90" s="93"/>
      <c r="V90" s="93"/>
      <c r="W90" s="93"/>
      <c r="X90" s="93"/>
    </row>
    <row r="91" spans="1:24" ht="12.75">
      <c r="A91" s="4">
        <v>84</v>
      </c>
      <c r="B91" t="s">
        <v>274</v>
      </c>
      <c r="C91" t="s">
        <v>84</v>
      </c>
      <c r="D91" t="s">
        <v>190</v>
      </c>
      <c r="E91" s="5">
        <v>5</v>
      </c>
      <c r="F91" s="3">
        <v>49.85</v>
      </c>
      <c r="G91" s="15">
        <v>993</v>
      </c>
      <c r="H91" s="3">
        <v>167.67411109917288</v>
      </c>
      <c r="I91" s="3" t="b">
        <f t="shared" si="8"/>
        <v>1</v>
      </c>
      <c r="J91" s="6">
        <f t="shared" si="6"/>
        <v>166500.39232147866</v>
      </c>
      <c r="K91" s="93"/>
      <c r="L91" s="115">
        <v>3</v>
      </c>
      <c r="M91" s="93">
        <f t="shared" si="5"/>
        <v>194.34828367440136</v>
      </c>
      <c r="N91" s="93"/>
      <c r="O91" s="93"/>
      <c r="P91" s="93"/>
      <c r="Q91" s="93"/>
      <c r="R91" s="115">
        <v>5</v>
      </c>
      <c r="S91" s="93">
        <f t="shared" si="7"/>
        <v>194.34828367440136</v>
      </c>
      <c r="T91" s="93"/>
      <c r="U91" s="93"/>
      <c r="V91" s="93"/>
      <c r="W91" s="93"/>
      <c r="X91" s="93"/>
    </row>
    <row r="92" spans="1:24" ht="12.75">
      <c r="A92" s="4">
        <v>85</v>
      </c>
      <c r="B92" t="s">
        <v>274</v>
      </c>
      <c r="C92" t="s">
        <v>72</v>
      </c>
      <c r="D92" t="s">
        <v>177</v>
      </c>
      <c r="E92" s="5">
        <v>5</v>
      </c>
      <c r="F92" s="3">
        <v>49.85</v>
      </c>
      <c r="G92" s="15">
        <v>2168</v>
      </c>
      <c r="H92" s="3">
        <v>169.96684948557152</v>
      </c>
      <c r="I92" s="3" t="b">
        <f t="shared" si="8"/>
        <v>1</v>
      </c>
      <c r="J92" s="6">
        <f t="shared" si="6"/>
        <v>368488.129684719</v>
      </c>
      <c r="K92" s="93"/>
      <c r="L92" s="115">
        <v>3</v>
      </c>
      <c r="M92" s="93">
        <f t="shared" si="5"/>
        <v>194.34828367440136</v>
      </c>
      <c r="N92" s="93"/>
      <c r="O92" s="93"/>
      <c r="P92" s="93"/>
      <c r="Q92" s="93"/>
      <c r="R92" s="115">
        <v>5</v>
      </c>
      <c r="S92" s="93">
        <f t="shared" si="7"/>
        <v>194.34828367440136</v>
      </c>
      <c r="T92" s="93"/>
      <c r="U92" s="93"/>
      <c r="V92" s="93"/>
      <c r="W92" s="93"/>
      <c r="X92" s="93"/>
    </row>
    <row r="93" spans="1:24" ht="12.75">
      <c r="A93" s="4">
        <v>86</v>
      </c>
      <c r="B93" t="s">
        <v>274</v>
      </c>
      <c r="C93" t="s">
        <v>93</v>
      </c>
      <c r="D93" t="s">
        <v>191</v>
      </c>
      <c r="E93" s="5">
        <v>5</v>
      </c>
      <c r="F93" s="3">
        <v>49.85</v>
      </c>
      <c r="G93" s="15">
        <v>818</v>
      </c>
      <c r="H93" s="3">
        <v>173.1682424008042</v>
      </c>
      <c r="I93" s="3" t="b">
        <f t="shared" si="8"/>
        <v>1</v>
      </c>
      <c r="J93" s="6">
        <f t="shared" si="6"/>
        <v>141651.62228385784</v>
      </c>
      <c r="K93" s="93"/>
      <c r="L93" s="115">
        <v>3</v>
      </c>
      <c r="M93" s="93">
        <f t="shared" si="5"/>
        <v>194.34828367440136</v>
      </c>
      <c r="N93" s="93"/>
      <c r="O93" s="93"/>
      <c r="P93" s="93"/>
      <c r="Q93" s="93"/>
      <c r="R93" s="115">
        <v>5</v>
      </c>
      <c r="S93" s="93">
        <f t="shared" si="7"/>
        <v>194.34828367440136</v>
      </c>
      <c r="T93" s="93"/>
      <c r="U93" s="93"/>
      <c r="V93" s="93"/>
      <c r="W93" s="93"/>
      <c r="X93" s="93"/>
    </row>
    <row r="94" spans="1:24" ht="12.75">
      <c r="A94" s="4">
        <v>87</v>
      </c>
      <c r="B94" t="s">
        <v>274</v>
      </c>
      <c r="C94" t="s">
        <v>85</v>
      </c>
      <c r="D94" t="s">
        <v>192</v>
      </c>
      <c r="E94" s="5">
        <v>5</v>
      </c>
      <c r="F94" s="3">
        <v>49.85</v>
      </c>
      <c r="G94" s="15">
        <v>478</v>
      </c>
      <c r="H94" s="3">
        <v>173.86098680562822</v>
      </c>
      <c r="I94" s="3" t="b">
        <f t="shared" si="8"/>
        <v>1</v>
      </c>
      <c r="J94" s="6">
        <f t="shared" si="6"/>
        <v>83105.55169309028</v>
      </c>
      <c r="K94" s="93"/>
      <c r="L94" s="115">
        <v>3</v>
      </c>
      <c r="M94" s="93">
        <f t="shared" si="5"/>
        <v>194.34828367440136</v>
      </c>
      <c r="N94" s="93"/>
      <c r="O94" s="93"/>
      <c r="P94" s="93"/>
      <c r="Q94" s="93"/>
      <c r="R94" s="115">
        <v>5</v>
      </c>
      <c r="S94" s="93">
        <f t="shared" si="7"/>
        <v>194.34828367440136</v>
      </c>
      <c r="T94" s="93"/>
      <c r="U94" s="93"/>
      <c r="V94" s="93"/>
      <c r="W94" s="93"/>
      <c r="X94" s="93"/>
    </row>
    <row r="95" spans="1:24" ht="12.75">
      <c r="A95" s="4">
        <v>88</v>
      </c>
      <c r="B95" t="s">
        <v>274</v>
      </c>
      <c r="C95" t="s">
        <v>81</v>
      </c>
      <c r="D95" t="s">
        <v>193</v>
      </c>
      <c r="E95" s="5">
        <v>5</v>
      </c>
      <c r="F95" s="3">
        <v>49.85</v>
      </c>
      <c r="G95" s="15">
        <v>630</v>
      </c>
      <c r="H95" s="3">
        <v>176.2631165067732</v>
      </c>
      <c r="I95" s="3" t="b">
        <f t="shared" si="8"/>
        <v>1</v>
      </c>
      <c r="J95" s="6">
        <f t="shared" si="6"/>
        <v>111045.76339926712</v>
      </c>
      <c r="K95" s="93"/>
      <c r="L95" s="115">
        <v>3</v>
      </c>
      <c r="M95" s="93">
        <f t="shared" si="5"/>
        <v>194.34828367440136</v>
      </c>
      <c r="N95" s="93"/>
      <c r="O95" s="93"/>
      <c r="P95" s="93"/>
      <c r="Q95" s="93"/>
      <c r="R95" s="115">
        <v>5</v>
      </c>
      <c r="S95" s="93">
        <f t="shared" si="7"/>
        <v>194.34828367440136</v>
      </c>
      <c r="T95" s="93"/>
      <c r="U95" s="93"/>
      <c r="V95" s="93"/>
      <c r="W95" s="93"/>
      <c r="X95" s="93"/>
    </row>
    <row r="96" spans="1:24" ht="12.75">
      <c r="A96" s="4">
        <v>89</v>
      </c>
      <c r="B96" t="s">
        <v>274</v>
      </c>
      <c r="C96" t="s">
        <v>83</v>
      </c>
      <c r="D96" t="s">
        <v>194</v>
      </c>
      <c r="E96" s="5">
        <v>5</v>
      </c>
      <c r="F96" s="3">
        <v>49.85</v>
      </c>
      <c r="G96" s="15">
        <v>386</v>
      </c>
      <c r="H96" s="3">
        <v>183.5976909591464</v>
      </c>
      <c r="I96" s="3" t="b">
        <f t="shared" si="8"/>
        <v>1</v>
      </c>
      <c r="J96" s="6">
        <f t="shared" si="6"/>
        <v>70868.70871023051</v>
      </c>
      <c r="K96" s="93"/>
      <c r="L96" s="115">
        <v>3</v>
      </c>
      <c r="M96" s="93">
        <f t="shared" si="5"/>
        <v>194.34828367440136</v>
      </c>
      <c r="N96" s="93"/>
      <c r="O96" s="93"/>
      <c r="P96" s="93"/>
      <c r="Q96" s="93"/>
      <c r="R96" s="115">
        <v>5</v>
      </c>
      <c r="S96" s="93">
        <f t="shared" si="7"/>
        <v>194.34828367440136</v>
      </c>
      <c r="T96" s="93"/>
      <c r="U96" s="93"/>
      <c r="V96" s="93"/>
      <c r="W96" s="93"/>
      <c r="X96" s="93"/>
    </row>
    <row r="97" spans="1:24" ht="12.75">
      <c r="A97" s="4">
        <v>90</v>
      </c>
      <c r="B97" s="4">
        <v>90</v>
      </c>
      <c r="C97" t="s">
        <v>82</v>
      </c>
      <c r="D97" t="s">
        <v>195</v>
      </c>
      <c r="E97" s="5">
        <v>5</v>
      </c>
      <c r="F97" s="3">
        <v>49.85</v>
      </c>
      <c r="G97" s="15">
        <v>1248</v>
      </c>
      <c r="H97" s="3">
        <v>201.5004804489592</v>
      </c>
      <c r="I97" s="3" t="b">
        <f t="shared" si="8"/>
        <v>1</v>
      </c>
      <c r="J97" s="6">
        <f t="shared" si="6"/>
        <v>251472.59960030107</v>
      </c>
      <c r="K97" s="93"/>
      <c r="L97" s="115">
        <v>3</v>
      </c>
      <c r="M97" s="93">
        <f t="shared" si="5"/>
        <v>194.34828367440136</v>
      </c>
      <c r="N97" s="93"/>
      <c r="O97" s="93"/>
      <c r="P97" s="93"/>
      <c r="Q97" s="93"/>
      <c r="R97" s="115">
        <v>5</v>
      </c>
      <c r="S97" s="93">
        <f t="shared" si="7"/>
        <v>194.34828367440136</v>
      </c>
      <c r="T97" s="93"/>
      <c r="U97" s="93"/>
      <c r="V97" s="93"/>
      <c r="W97" s="93"/>
      <c r="X97" s="93"/>
    </row>
    <row r="98" spans="1:24" ht="12.75">
      <c r="A98" s="4">
        <v>91</v>
      </c>
      <c r="B98" t="s">
        <v>274</v>
      </c>
      <c r="C98" t="s">
        <v>69</v>
      </c>
      <c r="D98" t="s">
        <v>196</v>
      </c>
      <c r="E98" s="5">
        <v>5</v>
      </c>
      <c r="F98" s="3">
        <v>49.85</v>
      </c>
      <c r="G98" s="15">
        <v>994</v>
      </c>
      <c r="H98" s="3">
        <v>205.6580769849338</v>
      </c>
      <c r="I98" s="3" t="b">
        <f t="shared" si="8"/>
        <v>1</v>
      </c>
      <c r="J98" s="6">
        <f t="shared" si="6"/>
        <v>204424.1285230242</v>
      </c>
      <c r="K98" s="93"/>
      <c r="L98" s="115">
        <v>3</v>
      </c>
      <c r="M98" s="93">
        <f t="shared" si="5"/>
        <v>194.34828367440136</v>
      </c>
      <c r="N98" s="93"/>
      <c r="O98" s="93"/>
      <c r="P98" s="93"/>
      <c r="Q98" s="93"/>
      <c r="R98" s="115">
        <v>5</v>
      </c>
      <c r="S98" s="93">
        <f t="shared" si="7"/>
        <v>194.34828367440136</v>
      </c>
      <c r="T98" s="93"/>
      <c r="U98" s="93"/>
      <c r="V98" s="93"/>
      <c r="W98" s="93"/>
      <c r="X98" s="93"/>
    </row>
    <row r="99" spans="1:24" ht="12.75">
      <c r="A99" s="4">
        <v>92</v>
      </c>
      <c r="B99" t="s">
        <v>274</v>
      </c>
      <c r="C99" t="s">
        <v>96</v>
      </c>
      <c r="D99" t="s">
        <v>188</v>
      </c>
      <c r="E99" s="5">
        <v>5</v>
      </c>
      <c r="F99" s="3">
        <v>49.85</v>
      </c>
      <c r="G99" s="15">
        <v>294</v>
      </c>
      <c r="H99" s="3">
        <v>206.80964962892432</v>
      </c>
      <c r="I99" s="3" t="b">
        <f t="shared" si="8"/>
        <v>1</v>
      </c>
      <c r="J99" s="6">
        <f t="shared" si="6"/>
        <v>60802.03699090375</v>
      </c>
      <c r="K99" s="93"/>
      <c r="L99" s="115">
        <v>3</v>
      </c>
      <c r="M99" s="93">
        <f t="shared" si="5"/>
        <v>194.34828367440136</v>
      </c>
      <c r="N99" s="93"/>
      <c r="O99" s="93"/>
      <c r="P99" s="93"/>
      <c r="Q99" s="93"/>
      <c r="R99" s="115">
        <v>5</v>
      </c>
      <c r="S99" s="93">
        <f t="shared" si="7"/>
        <v>194.34828367440136</v>
      </c>
      <c r="T99" s="93"/>
      <c r="U99" s="93"/>
      <c r="V99" s="93"/>
      <c r="W99" s="93"/>
      <c r="X99" s="93"/>
    </row>
    <row r="100" spans="1:24" ht="12.75">
      <c r="A100" s="4">
        <v>93</v>
      </c>
      <c r="B100" t="s">
        <v>274</v>
      </c>
      <c r="C100" t="s">
        <v>91</v>
      </c>
      <c r="D100" t="s">
        <v>197</v>
      </c>
      <c r="E100" s="5">
        <v>5</v>
      </c>
      <c r="F100" s="3">
        <v>49.85</v>
      </c>
      <c r="G100" s="15">
        <v>186</v>
      </c>
      <c r="H100" s="3">
        <v>208.74861782374927</v>
      </c>
      <c r="I100" s="3" t="b">
        <f t="shared" si="8"/>
        <v>1</v>
      </c>
      <c r="J100" s="6">
        <f t="shared" si="6"/>
        <v>38827.242915217364</v>
      </c>
      <c r="K100" s="93"/>
      <c r="L100" s="115">
        <v>3</v>
      </c>
      <c r="M100" s="93">
        <f t="shared" si="5"/>
        <v>194.34828367440136</v>
      </c>
      <c r="N100" s="93"/>
      <c r="O100" s="93"/>
      <c r="P100" s="93"/>
      <c r="Q100" s="93"/>
      <c r="R100" s="115">
        <v>5</v>
      </c>
      <c r="S100" s="93">
        <f t="shared" si="7"/>
        <v>194.34828367440136</v>
      </c>
      <c r="T100" s="93"/>
      <c r="U100" s="93"/>
      <c r="V100" s="93"/>
      <c r="W100" s="93"/>
      <c r="X100" s="93"/>
    </row>
    <row r="101" spans="1:24" ht="12.75">
      <c r="A101" s="4">
        <v>94</v>
      </c>
      <c r="B101" t="s">
        <v>274</v>
      </c>
      <c r="C101" t="s">
        <v>75</v>
      </c>
      <c r="D101" t="s">
        <v>199</v>
      </c>
      <c r="E101" s="5">
        <v>5</v>
      </c>
      <c r="F101" s="3">
        <v>49.85</v>
      </c>
      <c r="G101" s="15">
        <v>773</v>
      </c>
      <c r="H101" s="3">
        <v>227.64820067000568</v>
      </c>
      <c r="I101" s="3" t="b">
        <f t="shared" si="8"/>
        <v>1</v>
      </c>
      <c r="J101" s="6">
        <f t="shared" si="6"/>
        <v>175972.05911791438</v>
      </c>
      <c r="K101" s="93"/>
      <c r="L101" s="115">
        <v>3</v>
      </c>
      <c r="M101" s="93">
        <f t="shared" si="5"/>
        <v>194.34828367440136</v>
      </c>
      <c r="N101" s="93"/>
      <c r="O101" s="93"/>
      <c r="P101" s="93"/>
      <c r="Q101" s="93"/>
      <c r="R101" s="115">
        <v>5</v>
      </c>
      <c r="S101" s="93">
        <f t="shared" si="7"/>
        <v>194.34828367440136</v>
      </c>
      <c r="T101" s="93"/>
      <c r="U101" s="93"/>
      <c r="V101" s="93"/>
      <c r="W101" s="93"/>
      <c r="X101" s="93"/>
    </row>
    <row r="102" spans="1:24" ht="12.75">
      <c r="A102" s="4">
        <v>95</v>
      </c>
      <c r="B102" t="s">
        <v>274</v>
      </c>
      <c r="C102" t="s">
        <v>88</v>
      </c>
      <c r="D102" t="s">
        <v>198</v>
      </c>
      <c r="E102" s="5">
        <v>5</v>
      </c>
      <c r="F102" s="3">
        <v>49.85</v>
      </c>
      <c r="G102" s="15">
        <v>635</v>
      </c>
      <c r="H102" s="3">
        <v>258.7980958624304</v>
      </c>
      <c r="I102" s="3" t="b">
        <f t="shared" si="8"/>
        <v>1</v>
      </c>
      <c r="J102" s="6">
        <f t="shared" si="6"/>
        <v>164336.7908726433</v>
      </c>
      <c r="K102" s="93"/>
      <c r="L102" s="115">
        <v>3</v>
      </c>
      <c r="M102" s="93">
        <f t="shared" si="5"/>
        <v>194.34828367440136</v>
      </c>
      <c r="N102" s="93"/>
      <c r="O102" s="93"/>
      <c r="P102" s="93"/>
      <c r="Q102" s="93"/>
      <c r="R102" s="115">
        <v>5</v>
      </c>
      <c r="S102" s="93">
        <f t="shared" si="7"/>
        <v>194.34828367440136</v>
      </c>
      <c r="T102" s="93"/>
      <c r="U102" s="93"/>
      <c r="V102" s="93"/>
      <c r="W102" s="93"/>
      <c r="X102" s="93"/>
    </row>
    <row r="103" spans="1:24" ht="12.75">
      <c r="A103" s="4">
        <v>96</v>
      </c>
      <c r="B103" t="s">
        <v>274</v>
      </c>
      <c r="C103" t="s">
        <v>94</v>
      </c>
      <c r="D103" t="s">
        <v>200</v>
      </c>
      <c r="E103" s="5">
        <v>5</v>
      </c>
      <c r="F103" s="3">
        <v>49.85</v>
      </c>
      <c r="G103" s="15">
        <v>336</v>
      </c>
      <c r="H103" s="3">
        <v>285.8793119888523</v>
      </c>
      <c r="I103" s="3" t="b">
        <f t="shared" si="8"/>
        <v>1</v>
      </c>
      <c r="J103" s="6">
        <f t="shared" si="6"/>
        <v>96055.44882825438</v>
      </c>
      <c r="K103" s="93"/>
      <c r="L103" s="115">
        <v>3</v>
      </c>
      <c r="M103" s="93">
        <f t="shared" si="5"/>
        <v>194.34828367440136</v>
      </c>
      <c r="N103" s="93"/>
      <c r="O103" s="93"/>
      <c r="P103" s="93"/>
      <c r="Q103" s="93"/>
      <c r="R103" s="115">
        <v>5</v>
      </c>
      <c r="S103" s="93">
        <f t="shared" si="7"/>
        <v>194.34828367440136</v>
      </c>
      <c r="T103" s="93"/>
      <c r="U103" s="93"/>
      <c r="V103" s="93"/>
      <c r="W103" s="93"/>
      <c r="X103" s="93"/>
    </row>
    <row r="104" spans="1:24" ht="12.75">
      <c r="A104" s="4">
        <v>97</v>
      </c>
      <c r="B104" t="s">
        <v>274</v>
      </c>
      <c r="C104" t="s">
        <v>89</v>
      </c>
      <c r="D104" t="s">
        <v>201</v>
      </c>
      <c r="E104" s="5">
        <v>5</v>
      </c>
      <c r="F104" s="3">
        <v>49.85</v>
      </c>
      <c r="G104" s="15">
        <v>147</v>
      </c>
      <c r="H104" s="3">
        <v>294.2537658441844</v>
      </c>
      <c r="I104" s="3" t="b">
        <f t="shared" si="8"/>
        <v>1</v>
      </c>
      <c r="J104" s="6">
        <f t="shared" si="6"/>
        <v>43255.3035790951</v>
      </c>
      <c r="K104" s="93"/>
      <c r="L104" s="115">
        <v>3</v>
      </c>
      <c r="M104" s="93">
        <f>IF(L104=1,$N$111,IF(L104=2,$N$112,IF(L104=3,$N$113,IF(L104=4,$N$114,IF(L104=5,$N$115,"Error")))))</f>
        <v>194.34828367440136</v>
      </c>
      <c r="N104" s="93"/>
      <c r="O104" s="93"/>
      <c r="P104" s="93"/>
      <c r="Q104" s="93"/>
      <c r="R104" s="115">
        <v>5</v>
      </c>
      <c r="S104" s="93">
        <f t="shared" si="7"/>
        <v>194.34828367440136</v>
      </c>
      <c r="T104" s="93"/>
      <c r="U104" s="93"/>
      <c r="V104" s="93"/>
      <c r="W104" s="93"/>
      <c r="X104" s="93"/>
    </row>
    <row r="105" spans="1:24" ht="12.75">
      <c r="A105" s="4">
        <v>98</v>
      </c>
      <c r="B105" t="s">
        <v>274</v>
      </c>
      <c r="C105" t="s">
        <v>95</v>
      </c>
      <c r="D105" t="s">
        <v>202</v>
      </c>
      <c r="E105" s="5">
        <v>5</v>
      </c>
      <c r="F105" s="3">
        <v>49.85</v>
      </c>
      <c r="G105" s="15">
        <v>408</v>
      </c>
      <c r="H105" s="3">
        <v>317.45685230279275</v>
      </c>
      <c r="I105" s="3" t="b">
        <f t="shared" si="8"/>
        <v>1</v>
      </c>
      <c r="J105" s="6">
        <f t="shared" si="6"/>
        <v>129522.39573953944</v>
      </c>
      <c r="K105" s="93"/>
      <c r="L105" s="115">
        <v>3</v>
      </c>
      <c r="M105" s="93">
        <f>IF(L105=1,$N$111,IF(L105=2,$N$112,IF(L105=3,$N$113,IF(L105=4,$N$114,IF(L105=5,$N$115,"Error")))))</f>
        <v>194.34828367440136</v>
      </c>
      <c r="N105" s="93"/>
      <c r="O105" s="93"/>
      <c r="P105" s="93"/>
      <c r="Q105" s="93"/>
      <c r="R105" s="115">
        <v>5</v>
      </c>
      <c r="S105" s="93">
        <f t="shared" si="7"/>
        <v>194.34828367440136</v>
      </c>
      <c r="T105" s="93"/>
      <c r="U105" s="93"/>
      <c r="V105" s="93"/>
      <c r="W105" s="93"/>
      <c r="X105" s="93"/>
    </row>
    <row r="106" spans="1:24" ht="12.75">
      <c r="A106" s="4">
        <v>99</v>
      </c>
      <c r="B106" t="s">
        <v>274</v>
      </c>
      <c r="C106" t="s">
        <v>92</v>
      </c>
      <c r="D106" t="s">
        <v>203</v>
      </c>
      <c r="E106" s="5">
        <v>5</v>
      </c>
      <c r="F106" s="3">
        <v>49.85</v>
      </c>
      <c r="G106" s="15">
        <v>102</v>
      </c>
      <c r="H106" s="3">
        <v>448.11009377536345</v>
      </c>
      <c r="I106" s="3" t="b">
        <f t="shared" si="8"/>
        <v>1</v>
      </c>
      <c r="J106" s="6">
        <f t="shared" si="6"/>
        <v>45707.22956508707</v>
      </c>
      <c r="K106" s="93"/>
      <c r="L106" s="115">
        <v>3</v>
      </c>
      <c r="M106" s="93">
        <f>IF(L106=1,$N$111,IF(L106=2,$N$112,IF(L106=3,$N$113,IF(L106=4,$N$114,IF(L106=5,$N$115,"Error")))))</f>
        <v>194.34828367440136</v>
      </c>
      <c r="N106" s="93"/>
      <c r="O106" s="93"/>
      <c r="P106" s="93"/>
      <c r="Q106" s="93"/>
      <c r="R106" s="115">
        <v>5</v>
      </c>
      <c r="S106" s="93">
        <f t="shared" si="7"/>
        <v>194.34828367440136</v>
      </c>
      <c r="T106" s="93"/>
      <c r="U106" s="93"/>
      <c r="V106" s="93"/>
      <c r="W106" s="93"/>
      <c r="X106" s="93"/>
    </row>
    <row r="107" ht="12.75">
      <c r="W107" s="93"/>
    </row>
    <row r="108" spans="7:23" ht="12.75">
      <c r="G108" s="15">
        <f>SUM(G8:G106)</f>
        <v>1031753</v>
      </c>
      <c r="H108" s="3">
        <f>SUM(J8:J106)/G108</f>
        <v>33.734929524488464</v>
      </c>
      <c r="L108" s="1" t="s">
        <v>292</v>
      </c>
      <c r="R108" s="1" t="s">
        <v>292</v>
      </c>
      <c r="W108" s="93"/>
    </row>
    <row r="109" spans="14:23" ht="12.75">
      <c r="N109" s="2" t="s">
        <v>105</v>
      </c>
      <c r="O109" s="2"/>
      <c r="P109" s="2"/>
      <c r="T109" s="2" t="s">
        <v>105</v>
      </c>
      <c r="U109" s="2"/>
      <c r="V109" s="2"/>
      <c r="W109" s="93"/>
    </row>
    <row r="110" spans="12:24" ht="12.75">
      <c r="L110" s="2" t="s">
        <v>0</v>
      </c>
      <c r="M110" s="2" t="s">
        <v>101</v>
      </c>
      <c r="N110" s="2" t="s">
        <v>1</v>
      </c>
      <c r="O110" s="4" t="s">
        <v>266</v>
      </c>
      <c r="P110" s="2"/>
      <c r="R110" s="2" t="s">
        <v>0</v>
      </c>
      <c r="S110" s="2" t="s">
        <v>101</v>
      </c>
      <c r="T110" s="2" t="s">
        <v>1</v>
      </c>
      <c r="U110" s="4" t="s">
        <v>266</v>
      </c>
      <c r="V110" s="2"/>
      <c r="W110" s="93"/>
      <c r="X110" s="2"/>
    </row>
    <row r="111" spans="11:24" ht="12.75">
      <c r="K111" s="2" t="s">
        <v>102</v>
      </c>
      <c r="L111" s="15">
        <f>SUMIF(L$8:L$106,"=1",$G$8:$G$106)</f>
        <v>962739</v>
      </c>
      <c r="M111" s="8">
        <f>L111/L$117</f>
        <v>0.9331099594573508</v>
      </c>
      <c r="N111" s="93">
        <f>SUMIF(L$8:L$106,"=1",$J$8:$J$106)/L111</f>
        <v>28.762671548562892</v>
      </c>
      <c r="O111" s="84">
        <f>COUNTIF(L$8:L$106,1)</f>
        <v>56</v>
      </c>
      <c r="P111" s="93"/>
      <c r="Q111" s="2" t="s">
        <v>102</v>
      </c>
      <c r="R111" s="15">
        <f>SUMIF(R$8:R$106,"=1",$G$8:$G$106)</f>
        <v>565611</v>
      </c>
      <c r="S111" s="8">
        <f>R111/R$117</f>
        <v>0.5482038821307038</v>
      </c>
      <c r="T111" s="93">
        <f>SUMIF(R$8:R$106,"=1",$J$8:$J$106)/R111</f>
        <v>22.947209070445627</v>
      </c>
      <c r="U111" s="84">
        <f>COUNTIF(R$8:R$106,1)</f>
        <v>14</v>
      </c>
      <c r="V111" s="93"/>
      <c r="W111" s="93"/>
      <c r="X111" s="8"/>
    </row>
    <row r="112" spans="11:24" ht="12.75">
      <c r="K112" s="2" t="s">
        <v>103</v>
      </c>
      <c r="L112" s="15">
        <f>SUMIF(L$8:L$106,"=2",$G$8:$G$106)</f>
        <v>55486</v>
      </c>
      <c r="M112" s="8">
        <f>L112/L$117</f>
        <v>0.053778375250665617</v>
      </c>
      <c r="N112" s="93">
        <f>SUMIF(L$8:L$106,"=2",$J$8:$J$106)/L112</f>
        <v>80.84968309376009</v>
      </c>
      <c r="O112" s="84">
        <f>COUNTIF(L$8:L$106,2)</f>
        <v>25</v>
      </c>
      <c r="P112" s="93"/>
      <c r="Q112" s="2" t="s">
        <v>103</v>
      </c>
      <c r="R112" s="15">
        <f>SUMIF(R$8:R$106,"=2",$G$8:$G$106)</f>
        <v>334694</v>
      </c>
      <c r="S112" s="8">
        <f>R112/R$117</f>
        <v>0.3243935321729135</v>
      </c>
      <c r="T112" s="93">
        <f>SUMIF(R$8:R$106,"=2",$J$8:$J$106)/R112</f>
        <v>34.73173880038133</v>
      </c>
      <c r="U112" s="84">
        <f>COUNTIF(R$8:R$106,2)</f>
        <v>30</v>
      </c>
      <c r="V112" s="93"/>
      <c r="W112" s="93"/>
      <c r="X112" s="8"/>
    </row>
    <row r="113" spans="11:24" ht="12.75">
      <c r="K113" s="2" t="s">
        <v>104</v>
      </c>
      <c r="L113" s="15">
        <f>SUMIF(L$8:L$106,"=3",$G$8:$G$106)</f>
        <v>13528</v>
      </c>
      <c r="M113" s="8">
        <f>L113/L$117</f>
        <v>0.013111665291983644</v>
      </c>
      <c r="N113" s="93">
        <f>SUMIF(L$8:L$106,"=3",$J$8:$J$106)/L113</f>
        <v>194.34828367440136</v>
      </c>
      <c r="O113" s="84">
        <f>COUNTIF(L$8:L$106,3)</f>
        <v>18</v>
      </c>
      <c r="P113" s="93"/>
      <c r="Q113" s="2" t="s">
        <v>104</v>
      </c>
      <c r="R113" s="15">
        <f>SUMIF(R$8:R$106,"=3",$G$8:$G$106)</f>
        <v>92854</v>
      </c>
      <c r="S113" s="8">
        <f>R113/R$117</f>
        <v>0.08999634602467839</v>
      </c>
      <c r="T113" s="93">
        <f>SUMIF(R$8:R$106,"=3",$J$8:$J$106)/R113</f>
        <v>54.45844277657642</v>
      </c>
      <c r="U113" s="84">
        <f>COUNTIF(R$8:R$106,3)</f>
        <v>26</v>
      </c>
      <c r="V113" s="93"/>
      <c r="W113" s="93"/>
      <c r="X113" s="8"/>
    </row>
    <row r="114" spans="11:24" ht="12.75">
      <c r="K114" s="2" t="s">
        <v>261</v>
      </c>
      <c r="L114" s="15">
        <f>SUMIF(L$8:L$106,"=4",$G$8:$G$106)</f>
        <v>0</v>
      </c>
      <c r="M114" s="8">
        <f>L114/L$117</f>
        <v>0</v>
      </c>
      <c r="N114" s="116" t="str">
        <f>IF(L114&gt;0,SUMIF(L$8:L$106,"=4",$J$8:$J$106)/L114,"       -- ")</f>
        <v>       -- </v>
      </c>
      <c r="O114" s="84">
        <f>COUNTIF(L$8:L$106,4)</f>
        <v>0</v>
      </c>
      <c r="P114" s="93"/>
      <c r="Q114" s="2" t="s">
        <v>261</v>
      </c>
      <c r="R114" s="15">
        <f>SUMIF(R$8:R$106,"=4",$G$8:$G$106)</f>
        <v>25066</v>
      </c>
      <c r="S114" s="8">
        <f>R114/R$117</f>
        <v>0.024294574379720726</v>
      </c>
      <c r="T114" s="116">
        <f>IF(R114&gt;0,SUMIF(R$8:R$106,"=4",$J$8:$J$106)/R114,"       -- ")</f>
        <v>100.39848635432033</v>
      </c>
      <c r="U114" s="84">
        <f>COUNTIF(R$8:R$106,4)</f>
        <v>11</v>
      </c>
      <c r="V114" s="93"/>
      <c r="W114" s="93"/>
      <c r="X114" s="8"/>
    </row>
    <row r="115" spans="11:24" ht="12.75">
      <c r="K115" s="2" t="s">
        <v>265</v>
      </c>
      <c r="L115" s="15">
        <f>SUMIF(L$8:L$106,"=5",$G$8:$G$106)</f>
        <v>0</v>
      </c>
      <c r="M115" s="8">
        <f>L115/L$117</f>
        <v>0</v>
      </c>
      <c r="N115" s="93" t="str">
        <f>IF(L115&gt;0,SUMIF(L$8:L$106,"=5",$J$8:$J$106)/L115,"       --  ")</f>
        <v>       --  </v>
      </c>
      <c r="O115" s="84">
        <f>COUNTIF(L$8:L$106,5)</f>
        <v>0</v>
      </c>
      <c r="P115" s="93"/>
      <c r="Q115" s="2" t="s">
        <v>265</v>
      </c>
      <c r="R115" s="15">
        <f>SUMIF(R$8:R$106,"=5",$G$8:$G$106)</f>
        <v>13528</v>
      </c>
      <c r="S115" s="8">
        <f>R115/R$117</f>
        <v>0.013111665291983644</v>
      </c>
      <c r="T115" s="93">
        <f>IF(R115&gt;0,SUMIF(R$8:R$106,"=5",$J$8:$J$106)/R115,"       --  ")</f>
        <v>194.34828367440136</v>
      </c>
      <c r="U115" s="84">
        <f>COUNTIF(R$8:R$106,5)</f>
        <v>18</v>
      </c>
      <c r="V115" s="93"/>
      <c r="W115" s="93"/>
      <c r="X115" s="8"/>
    </row>
    <row r="116" ht="12.75">
      <c r="W116" s="93"/>
    </row>
    <row r="117" spans="12:24" ht="12.75">
      <c r="L117" s="15">
        <f>SUM(L111:L115)</f>
        <v>1031753</v>
      </c>
      <c r="M117" s="8">
        <f>SUM(M111:M115)</f>
        <v>1</v>
      </c>
      <c r="N117" s="93">
        <f>SUMPRODUCT(M111:M115,N111:N115)</f>
        <v>33.734929524488486</v>
      </c>
      <c r="O117" s="84">
        <f>SUM(O111:O115)</f>
        <v>99</v>
      </c>
      <c r="P117" s="93"/>
      <c r="R117" s="15">
        <f>SUM(R111:R115)</f>
        <v>1031753</v>
      </c>
      <c r="S117" s="8">
        <f>SUM(S111:S115)</f>
        <v>1</v>
      </c>
      <c r="T117" s="93">
        <f>SUMPRODUCT(S111:S115,T111:T115)</f>
        <v>33.73492952448849</v>
      </c>
      <c r="U117" s="84">
        <f>SUM(U111:U115)</f>
        <v>99</v>
      </c>
      <c r="V117" s="93"/>
      <c r="W117" s="93"/>
      <c r="X117" s="8"/>
    </row>
    <row r="118" ht="12.75">
      <c r="W118" s="93"/>
    </row>
    <row r="119" ht="12.75">
      <c r="W119" s="93"/>
    </row>
    <row r="120" ht="12.75">
      <c r="W120" s="93"/>
    </row>
    <row r="121" ht="12.75">
      <c r="W121" s="93"/>
    </row>
  </sheetData>
  <conditionalFormatting sqref="L8:L106 R8:R106">
    <cfRule type="cellIs" priority="1" dxfId="0" operator="equal" stopIfTrue="1">
      <formula>4</formula>
    </cfRule>
    <cfRule type="cellIs" priority="2" dxfId="1" operator="equal" stopIfTrue="1">
      <formula>3</formula>
    </cfRule>
    <cfRule type="cellIs" priority="3" dxfId="2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N117 T1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4:N53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2.7109375" style="0" customWidth="1"/>
    <col min="14" max="14" width="2.7109375" style="0" customWidth="1"/>
  </cols>
  <sheetData>
    <row r="4" spans="1:2" ht="12.75">
      <c r="A4" s="2" t="s">
        <v>326</v>
      </c>
      <c r="B4" s="1" t="s">
        <v>327</v>
      </c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9" spans="1:2" ht="12.75">
      <c r="A29" s="2" t="s">
        <v>328</v>
      </c>
      <c r="B29" s="1" t="s">
        <v>327</v>
      </c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53" spans="1:2" ht="12.75">
      <c r="A53" s="2" t="s">
        <v>329</v>
      </c>
      <c r="B53" s="1" t="s">
        <v>327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4:AK48"/>
  <sheetViews>
    <sheetView showGridLines="0" workbookViewId="0" topLeftCell="P23">
      <selection activeCell="S24" sqref="S24"/>
    </sheetView>
  </sheetViews>
  <sheetFormatPr defaultColWidth="9.140625" defaultRowHeight="12.75"/>
  <cols>
    <col min="1" max="1" width="3.7109375" style="0" customWidth="1"/>
    <col min="3" max="3" width="2.140625" style="0" customWidth="1"/>
    <col min="4" max="6" width="11.7109375" style="0" customWidth="1"/>
    <col min="7" max="7" width="2.140625" style="0" customWidth="1"/>
    <col min="8" max="10" width="11.7109375" style="0" customWidth="1"/>
    <col min="11" max="11" width="2.140625" style="0" customWidth="1"/>
    <col min="12" max="12" width="3.7109375" style="0" customWidth="1"/>
    <col min="17" max="18" width="1.7109375" style="0" customWidth="1"/>
    <col min="19" max="19" width="7.7109375" style="0" customWidth="1"/>
    <col min="20" max="20" width="9.7109375" style="0" customWidth="1"/>
    <col min="21" max="21" width="4.00390625" style="0" customWidth="1"/>
    <col min="23" max="23" width="4.00390625" style="0" customWidth="1"/>
    <col min="25" max="26" width="1.7109375" style="0" customWidth="1"/>
    <col min="27" max="27" width="13.00390625" style="0" customWidth="1"/>
    <col min="28" max="29" width="1.7109375" style="0" customWidth="1"/>
    <col min="31" max="31" width="9.7109375" style="0" customWidth="1"/>
    <col min="32" max="32" width="4.00390625" style="0" customWidth="1"/>
    <col min="34" max="34" width="4.00390625" style="0" customWidth="1"/>
    <col min="36" max="37" width="1.7109375" style="0" customWidth="1"/>
  </cols>
  <sheetData>
    <row r="4" spans="1:9" ht="12.75">
      <c r="A4" s="1" t="s">
        <v>294</v>
      </c>
      <c r="B4" s="1"/>
      <c r="I4" s="1" t="s">
        <v>312</v>
      </c>
    </row>
    <row r="5" ht="13.5" thickBot="1">
      <c r="I5" s="1" t="s">
        <v>313</v>
      </c>
    </row>
    <row r="6" spans="2:19" ht="12.75">
      <c r="B6" s="98"/>
      <c r="C6" s="28"/>
      <c r="D6" s="28"/>
      <c r="E6" s="28"/>
      <c r="F6" s="28"/>
      <c r="G6" s="28"/>
      <c r="H6" s="28"/>
      <c r="I6" s="28"/>
      <c r="J6" s="28"/>
      <c r="K6" s="99"/>
      <c r="M6" s="43" t="s">
        <v>310</v>
      </c>
      <c r="O6" s="43" t="s">
        <v>296</v>
      </c>
      <c r="P6" s="47"/>
      <c r="Q6" s="47"/>
      <c r="R6" s="47"/>
      <c r="S6" s="47"/>
    </row>
    <row r="7" spans="2:19" ht="12.75">
      <c r="B7" s="37"/>
      <c r="C7" s="12"/>
      <c r="D7" s="12"/>
      <c r="E7" s="18" t="s">
        <v>293</v>
      </c>
      <c r="F7" s="12"/>
      <c r="G7" s="12"/>
      <c r="H7" s="12"/>
      <c r="I7" s="18" t="s">
        <v>311</v>
      </c>
      <c r="J7" s="12"/>
      <c r="K7" s="100"/>
      <c r="M7" s="50" t="s">
        <v>297</v>
      </c>
      <c r="O7" s="50" t="s">
        <v>297</v>
      </c>
      <c r="P7" s="47"/>
      <c r="Q7" s="47"/>
      <c r="R7" s="47"/>
      <c r="S7" s="47"/>
    </row>
    <row r="8" spans="2:19" ht="12.75">
      <c r="B8" s="37"/>
      <c r="C8" s="12"/>
      <c r="D8" s="18" t="s">
        <v>266</v>
      </c>
      <c r="E8" s="54" t="s">
        <v>101</v>
      </c>
      <c r="F8" s="54" t="s">
        <v>267</v>
      </c>
      <c r="G8" s="12"/>
      <c r="H8" s="18" t="s">
        <v>266</v>
      </c>
      <c r="I8" s="54" t="s">
        <v>101</v>
      </c>
      <c r="J8" s="54" t="s">
        <v>267</v>
      </c>
      <c r="K8" s="100"/>
      <c r="M8" s="50" t="s">
        <v>299</v>
      </c>
      <c r="O8" s="50" t="s">
        <v>299</v>
      </c>
      <c r="P8" s="47"/>
      <c r="Q8" s="47"/>
      <c r="R8" s="47"/>
      <c r="S8" s="47"/>
    </row>
    <row r="9" spans="2:19" ht="12.75">
      <c r="B9" s="32" t="s">
        <v>102</v>
      </c>
      <c r="C9" s="12"/>
      <c r="D9" s="101">
        <v>23</v>
      </c>
      <c r="E9" s="102">
        <v>0.667</v>
      </c>
      <c r="F9" s="105">
        <v>22.77</v>
      </c>
      <c r="G9" s="12"/>
      <c r="H9" s="101">
        <f>VZ!O111</f>
        <v>56</v>
      </c>
      <c r="I9" s="102">
        <f>VZ!M111</f>
        <v>0.9331099594573508</v>
      </c>
      <c r="J9" s="105">
        <f>VZ!N111</f>
        <v>28.762671548562892</v>
      </c>
      <c r="K9" s="100"/>
      <c r="M9" s="50" t="s">
        <v>300</v>
      </c>
      <c r="O9" s="50" t="s">
        <v>300</v>
      </c>
      <c r="P9" s="47" t="s">
        <v>301</v>
      </c>
      <c r="Q9" s="47"/>
      <c r="R9" s="47"/>
      <c r="S9" s="47"/>
    </row>
    <row r="10" spans="2:19" ht="12.75">
      <c r="B10" s="32" t="s">
        <v>103</v>
      </c>
      <c r="C10" s="12"/>
      <c r="D10" s="101">
        <v>28</v>
      </c>
      <c r="E10" s="102">
        <v>0.247</v>
      </c>
      <c r="F10" s="105">
        <v>35.78</v>
      </c>
      <c r="G10" s="12"/>
      <c r="H10" s="101">
        <f>VZ!O112</f>
        <v>25</v>
      </c>
      <c r="I10" s="102">
        <f>VZ!M112</f>
        <v>0.053778375250665617</v>
      </c>
      <c r="J10" s="105">
        <f>VZ!N112</f>
        <v>80.84968309376009</v>
      </c>
      <c r="K10" s="100"/>
      <c r="O10" s="47"/>
      <c r="P10" s="47"/>
      <c r="Q10" s="47"/>
      <c r="R10" s="47"/>
      <c r="S10" s="47"/>
    </row>
    <row r="11" spans="2:19" ht="12.75">
      <c r="B11" s="32" t="s">
        <v>104</v>
      </c>
      <c r="C11" s="12"/>
      <c r="D11" s="101">
        <v>48</v>
      </c>
      <c r="E11" s="102">
        <v>0.086</v>
      </c>
      <c r="F11" s="105">
        <v>75.26</v>
      </c>
      <c r="G11" s="12"/>
      <c r="H11" s="101">
        <f>VZ!O113</f>
        <v>18</v>
      </c>
      <c r="I11" s="102">
        <f>VZ!M113</f>
        <v>0.013111665291983644</v>
      </c>
      <c r="J11" s="105">
        <f>VZ!N113</f>
        <v>194.34828367440136</v>
      </c>
      <c r="K11" s="100"/>
      <c r="O11" s="47"/>
      <c r="P11" s="47"/>
      <c r="Q11" s="47"/>
      <c r="R11" s="47"/>
      <c r="S11" s="47"/>
    </row>
    <row r="12" spans="2:19" ht="12.75">
      <c r="B12" s="37"/>
      <c r="C12" s="12"/>
      <c r="D12" s="12"/>
      <c r="E12" s="12"/>
      <c r="F12" s="105"/>
      <c r="G12" s="12"/>
      <c r="H12" s="12"/>
      <c r="I12" s="12"/>
      <c r="J12" s="105"/>
      <c r="K12" s="100"/>
      <c r="O12" s="47"/>
      <c r="P12" s="47"/>
      <c r="Q12" s="47"/>
      <c r="R12" s="47"/>
      <c r="S12" s="47"/>
    </row>
    <row r="13" spans="2:19" ht="12.75">
      <c r="B13" s="119" t="s">
        <v>295</v>
      </c>
      <c r="C13" s="12"/>
      <c r="D13" s="101">
        <f>SUM(D9:D11)</f>
        <v>99</v>
      </c>
      <c r="E13" s="102">
        <f>SUM(E9:E11)</f>
        <v>1</v>
      </c>
      <c r="F13" s="105">
        <v>30.07</v>
      </c>
      <c r="G13" s="12"/>
      <c r="H13" s="101">
        <f>SUM(H9:H11)</f>
        <v>99</v>
      </c>
      <c r="I13" s="102">
        <f>SUM(I9:I11)</f>
        <v>1</v>
      </c>
      <c r="J13" s="105">
        <f>SUMPRODUCT(I9:I11,J9:J11)</f>
        <v>33.734929524488486</v>
      </c>
      <c r="K13" s="100"/>
      <c r="M13" s="120">
        <f>SUMPRODUCT(I9:I11,J9:J11)</f>
        <v>33.734929524488486</v>
      </c>
      <c r="O13" s="120">
        <f>SUMPRODUCT(E9:E11,F9:F11)</f>
        <v>30.49761</v>
      </c>
      <c r="P13" s="121">
        <f>O13-F13</f>
        <v>0.4276100000000014</v>
      </c>
      <c r="Q13" s="121"/>
      <c r="R13" s="121"/>
      <c r="S13" s="121"/>
    </row>
    <row r="14" spans="2:19" ht="12.75">
      <c r="B14" s="37"/>
      <c r="C14" s="12"/>
      <c r="D14" s="12"/>
      <c r="E14" s="12"/>
      <c r="F14" s="105"/>
      <c r="G14" s="12"/>
      <c r="H14" s="12"/>
      <c r="I14" s="12"/>
      <c r="J14" s="105"/>
      <c r="K14" s="100"/>
      <c r="O14" s="47"/>
      <c r="P14" s="122">
        <f>P13/F13</f>
        <v>0.014220485533754618</v>
      </c>
      <c r="Q14" s="122"/>
      <c r="R14" s="122"/>
      <c r="S14" s="122"/>
    </row>
    <row r="15" spans="2:19" ht="12.75">
      <c r="B15" s="32" t="s">
        <v>102</v>
      </c>
      <c r="C15" s="12"/>
      <c r="D15" s="101">
        <v>10</v>
      </c>
      <c r="E15" s="104">
        <v>0.378</v>
      </c>
      <c r="F15" s="105">
        <v>19.64</v>
      </c>
      <c r="G15" s="12"/>
      <c r="H15" s="26">
        <f>VZ!U111</f>
        <v>14</v>
      </c>
      <c r="I15" s="102">
        <f>VZ!S111</f>
        <v>0.5482038821307038</v>
      </c>
      <c r="J15" s="105">
        <f>VZ!T111</f>
        <v>22.947209070445627</v>
      </c>
      <c r="K15" s="100"/>
      <c r="O15" s="47"/>
      <c r="P15" s="47"/>
      <c r="Q15" s="47"/>
      <c r="R15" s="47"/>
      <c r="S15" s="47"/>
    </row>
    <row r="16" spans="2:19" ht="12.75">
      <c r="B16" s="32" t="s">
        <v>103</v>
      </c>
      <c r="C16" s="12"/>
      <c r="D16" s="101">
        <v>10</v>
      </c>
      <c r="E16" s="104">
        <v>0.245</v>
      </c>
      <c r="F16" s="105">
        <v>24.55</v>
      </c>
      <c r="G16" s="12"/>
      <c r="H16" s="26">
        <f>VZ!U112</f>
        <v>30</v>
      </c>
      <c r="I16" s="102">
        <f>VZ!S112</f>
        <v>0.3243935321729135</v>
      </c>
      <c r="J16" s="105">
        <f>VZ!T112</f>
        <v>34.73173880038133</v>
      </c>
      <c r="K16" s="100"/>
      <c r="O16" s="47"/>
      <c r="P16" s="47"/>
      <c r="Q16" s="47"/>
      <c r="R16" s="47"/>
      <c r="S16" s="47"/>
    </row>
    <row r="17" spans="2:19" ht="12.75">
      <c r="B17" s="32" t="s">
        <v>104</v>
      </c>
      <c r="C17" s="12"/>
      <c r="D17" s="101">
        <v>18</v>
      </c>
      <c r="E17" s="104">
        <v>0.195</v>
      </c>
      <c r="F17" s="105">
        <v>29.55</v>
      </c>
      <c r="G17" s="12"/>
      <c r="H17" s="26">
        <f>VZ!U113</f>
        <v>26</v>
      </c>
      <c r="I17" s="102">
        <f>VZ!S113</f>
        <v>0.08999634602467839</v>
      </c>
      <c r="J17" s="105">
        <f>VZ!T113</f>
        <v>54.45844277657642</v>
      </c>
      <c r="K17" s="100"/>
      <c r="O17" s="47"/>
      <c r="P17" s="47"/>
      <c r="Q17" s="47"/>
      <c r="R17" s="47"/>
      <c r="S17" s="47"/>
    </row>
    <row r="18" spans="2:19" ht="12.75">
      <c r="B18" s="32" t="s">
        <v>261</v>
      </c>
      <c r="C18" s="12"/>
      <c r="D18" s="101">
        <v>22</v>
      </c>
      <c r="E18" s="104">
        <v>0.126</v>
      </c>
      <c r="F18" s="105">
        <v>32.97</v>
      </c>
      <c r="G18" s="12"/>
      <c r="H18" s="26">
        <f>VZ!U114</f>
        <v>11</v>
      </c>
      <c r="I18" s="102">
        <f>VZ!S114</f>
        <v>0.024294574379720726</v>
      </c>
      <c r="J18" s="105">
        <f>VZ!T114</f>
        <v>100.39848635432033</v>
      </c>
      <c r="K18" s="100"/>
      <c r="O18" s="47"/>
      <c r="P18" s="47"/>
      <c r="Q18" s="47"/>
      <c r="R18" s="47"/>
      <c r="S18" s="47"/>
    </row>
    <row r="19" spans="2:11" ht="12.75">
      <c r="B19" s="32" t="s">
        <v>265</v>
      </c>
      <c r="C19" s="12"/>
      <c r="D19" s="101">
        <v>39</v>
      </c>
      <c r="E19" s="104">
        <v>0.056</v>
      </c>
      <c r="F19" s="105">
        <v>52.5</v>
      </c>
      <c r="G19" s="12"/>
      <c r="H19" s="26">
        <f>VZ!U115</f>
        <v>18</v>
      </c>
      <c r="I19" s="102">
        <f>VZ!S115</f>
        <v>0.013111665291983644</v>
      </c>
      <c r="J19" s="105">
        <f>VZ!T115</f>
        <v>194.34828367440136</v>
      </c>
      <c r="K19" s="100"/>
    </row>
    <row r="20" spans="2:11" ht="12.75">
      <c r="B20" s="32"/>
      <c r="C20" s="12"/>
      <c r="D20" s="101"/>
      <c r="E20" s="104"/>
      <c r="F20" s="105"/>
      <c r="G20" s="12"/>
      <c r="H20" s="26"/>
      <c r="I20" s="102"/>
      <c r="J20" s="105"/>
      <c r="K20" s="100"/>
    </row>
    <row r="21" spans="2:18" ht="12.75">
      <c r="B21" s="119" t="s">
        <v>295</v>
      </c>
      <c r="C21" s="12"/>
      <c r="D21" s="26">
        <f>SUM(D15:D19)</f>
        <v>99</v>
      </c>
      <c r="E21" s="102">
        <f>SUM(E15:E19)</f>
        <v>1</v>
      </c>
      <c r="F21" s="105">
        <v>30.07</v>
      </c>
      <c r="G21" s="12"/>
      <c r="H21" s="26">
        <f>SUM(H15:H19)</f>
        <v>99</v>
      </c>
      <c r="I21" s="102">
        <f>SUM(I15:I19)</f>
        <v>1</v>
      </c>
      <c r="J21" s="105">
        <f>SUMPRODUCT(I15:I19,J15:J19)</f>
        <v>33.73492952448849</v>
      </c>
      <c r="K21" s="100"/>
      <c r="M21" s="120">
        <f>SUMPRODUCT(I15:I19,J15:J19)</f>
        <v>33.73492952448849</v>
      </c>
      <c r="O21" s="120">
        <f>SUMPRODUCT(E15:E19,F15:F19)</f>
        <v>26.29514</v>
      </c>
      <c r="P21" s="121">
        <f>O21-F21</f>
        <v>-3.7748600000000003</v>
      </c>
      <c r="Q21" s="47" t="s">
        <v>298</v>
      </c>
      <c r="R21" s="121"/>
    </row>
    <row r="22" spans="2:19" ht="13.5" thickBot="1">
      <c r="B22" s="40"/>
      <c r="C22" s="16"/>
      <c r="D22" s="16"/>
      <c r="E22" s="16"/>
      <c r="F22" s="16"/>
      <c r="G22" s="16"/>
      <c r="H22" s="16"/>
      <c r="I22" s="16"/>
      <c r="J22" s="16"/>
      <c r="K22" s="103"/>
      <c r="P22" s="122">
        <f>P21/F21</f>
        <v>-0.12553574991686067</v>
      </c>
      <c r="Q22" s="122"/>
      <c r="R22" s="122"/>
      <c r="S22" s="122"/>
    </row>
    <row r="24" ht="12.75">
      <c r="I24" s="1" t="s">
        <v>355</v>
      </c>
    </row>
    <row r="25" ht="13.5" thickBot="1">
      <c r="I25" s="1" t="s">
        <v>314</v>
      </c>
    </row>
    <row r="26" spans="2:11" ht="12.75">
      <c r="B26" s="98"/>
      <c r="C26" s="28"/>
      <c r="D26" s="28"/>
      <c r="E26" s="28"/>
      <c r="F26" s="28"/>
      <c r="G26" s="28"/>
      <c r="H26" s="28"/>
      <c r="I26" s="28"/>
      <c r="J26" s="28"/>
      <c r="K26" s="99"/>
    </row>
    <row r="27" spans="2:11" ht="12.75">
      <c r="B27" s="37"/>
      <c r="C27" s="12"/>
      <c r="D27" s="12"/>
      <c r="E27" s="18" t="s">
        <v>293</v>
      </c>
      <c r="F27" s="12"/>
      <c r="G27" s="12"/>
      <c r="H27" s="12"/>
      <c r="I27" s="18" t="s">
        <v>311</v>
      </c>
      <c r="J27" s="12"/>
      <c r="K27" s="100"/>
    </row>
    <row r="28" spans="2:11" ht="12.75">
      <c r="B28" s="37"/>
      <c r="C28" s="12"/>
      <c r="D28" s="18" t="s">
        <v>266</v>
      </c>
      <c r="E28" s="54" t="s">
        <v>101</v>
      </c>
      <c r="F28" s="54" t="s">
        <v>267</v>
      </c>
      <c r="G28" s="12"/>
      <c r="H28" s="18" t="s">
        <v>266</v>
      </c>
      <c r="I28" s="54" t="s">
        <v>101</v>
      </c>
      <c r="J28" s="54" t="s">
        <v>267</v>
      </c>
      <c r="K28" s="100"/>
    </row>
    <row r="29" spans="2:11" ht="12.75">
      <c r="B29" s="32" t="s">
        <v>102</v>
      </c>
      <c r="C29" s="12"/>
      <c r="D29" s="101">
        <v>23</v>
      </c>
      <c r="E29" s="102">
        <v>0.667</v>
      </c>
      <c r="F29" s="105">
        <v>22.77</v>
      </c>
      <c r="G29" s="12"/>
      <c r="H29" s="101">
        <f aca="true" t="shared" si="0" ref="H29:I31">H9</f>
        <v>56</v>
      </c>
      <c r="I29" s="102">
        <f t="shared" si="0"/>
        <v>0.9331099594573508</v>
      </c>
      <c r="J29" s="105">
        <v>28.72682019029944</v>
      </c>
      <c r="K29" s="100"/>
    </row>
    <row r="30" spans="2:11" ht="12.75">
      <c r="B30" s="32" t="s">
        <v>103</v>
      </c>
      <c r="C30" s="12"/>
      <c r="D30" s="101">
        <v>28</v>
      </c>
      <c r="E30" s="102">
        <v>0.247</v>
      </c>
      <c r="F30" s="105">
        <v>35.78</v>
      </c>
      <c r="G30" s="12"/>
      <c r="H30" s="101">
        <f t="shared" si="0"/>
        <v>25</v>
      </c>
      <c r="I30" s="102">
        <f t="shared" si="0"/>
        <v>0.053778375250665617</v>
      </c>
      <c r="J30" s="105">
        <v>80.72896573722062</v>
      </c>
      <c r="K30" s="100"/>
    </row>
    <row r="31" spans="2:11" ht="12.75">
      <c r="B31" s="32" t="s">
        <v>104</v>
      </c>
      <c r="C31" s="12"/>
      <c r="D31" s="101">
        <v>48</v>
      </c>
      <c r="E31" s="102">
        <v>0.086</v>
      </c>
      <c r="F31" s="105">
        <v>75.26</v>
      </c>
      <c r="G31" s="12"/>
      <c r="H31" s="101">
        <f t="shared" si="0"/>
        <v>18</v>
      </c>
      <c r="I31" s="102">
        <f t="shared" si="0"/>
        <v>0.013111665291983644</v>
      </c>
      <c r="J31" s="105">
        <v>194.11837893502621</v>
      </c>
      <c r="K31" s="100"/>
    </row>
    <row r="32" spans="2:11" ht="12.75">
      <c r="B32" s="37"/>
      <c r="C32" s="12"/>
      <c r="D32" s="12"/>
      <c r="E32" s="12"/>
      <c r="F32" s="105"/>
      <c r="G32" s="12"/>
      <c r="H32" s="12"/>
      <c r="I32" s="12"/>
      <c r="J32" s="105"/>
      <c r="K32" s="100"/>
    </row>
    <row r="33" spans="2:13" ht="12.75">
      <c r="B33" s="119" t="s">
        <v>295</v>
      </c>
      <c r="C33" s="12"/>
      <c r="D33" s="101">
        <f>SUM(D29:D31)</f>
        <v>99</v>
      </c>
      <c r="E33" s="102">
        <f>SUM(E29:E31)</f>
        <v>1</v>
      </c>
      <c r="F33" s="105">
        <v>30.07</v>
      </c>
      <c r="G33" s="12"/>
      <c r="H33" s="101">
        <f>SUM(H29:H31)</f>
        <v>99</v>
      </c>
      <c r="I33" s="102">
        <f>SUM(I29:I31)</f>
        <v>1</v>
      </c>
      <c r="J33" s="105">
        <v>33.66</v>
      </c>
      <c r="K33" s="100"/>
      <c r="M33" s="120">
        <f>SUMPRODUCT(I29:I31,J29:J31)</f>
        <v>33.69196984774181</v>
      </c>
    </row>
    <row r="34" spans="2:11" ht="12.75">
      <c r="B34" s="37"/>
      <c r="C34" s="12"/>
      <c r="D34" s="12"/>
      <c r="E34" s="12"/>
      <c r="F34" s="105"/>
      <c r="G34" s="12"/>
      <c r="H34" s="12"/>
      <c r="I34" s="12"/>
      <c r="J34" s="105"/>
      <c r="K34" s="100"/>
    </row>
    <row r="35" spans="2:11" ht="12.75">
      <c r="B35" s="32" t="s">
        <v>102</v>
      </c>
      <c r="C35" s="12"/>
      <c r="D35" s="101">
        <v>10</v>
      </c>
      <c r="E35" s="104">
        <v>0.378</v>
      </c>
      <c r="F35" s="105">
        <v>19.64</v>
      </c>
      <c r="G35" s="12"/>
      <c r="H35" s="101">
        <f aca="true" t="shared" si="1" ref="H35:I39">H15</f>
        <v>14</v>
      </c>
      <c r="I35" s="102">
        <f t="shared" si="1"/>
        <v>0.5482038821307038</v>
      </c>
      <c r="J35" s="105">
        <v>22.945200521935682</v>
      </c>
      <c r="K35" s="100"/>
    </row>
    <row r="36" spans="2:11" ht="12.75">
      <c r="B36" s="32" t="s">
        <v>103</v>
      </c>
      <c r="C36" s="12"/>
      <c r="D36" s="101">
        <v>10</v>
      </c>
      <c r="E36" s="104">
        <v>0.245</v>
      </c>
      <c r="F36" s="105">
        <v>24.55</v>
      </c>
      <c r="G36" s="12"/>
      <c r="H36" s="101">
        <f t="shared" si="1"/>
        <v>30</v>
      </c>
      <c r="I36" s="102">
        <f t="shared" si="1"/>
        <v>0.3243935321729135</v>
      </c>
      <c r="J36" s="105">
        <v>34.72544690876351</v>
      </c>
      <c r="K36" s="100"/>
    </row>
    <row r="37" spans="2:11" ht="12.75">
      <c r="B37" s="32" t="s">
        <v>104</v>
      </c>
      <c r="C37" s="12"/>
      <c r="D37" s="101">
        <v>18</v>
      </c>
      <c r="E37" s="104">
        <v>0.195</v>
      </c>
      <c r="F37" s="105">
        <v>29.55</v>
      </c>
      <c r="G37" s="12"/>
      <c r="H37" s="101">
        <f t="shared" si="1"/>
        <v>26</v>
      </c>
      <c r="I37" s="102">
        <f t="shared" si="1"/>
        <v>0.08999634602467839</v>
      </c>
      <c r="J37" s="105">
        <v>54.44235901801132</v>
      </c>
      <c r="K37" s="100"/>
    </row>
    <row r="38" spans="2:29" ht="12.75">
      <c r="B38" s="32" t="s">
        <v>261</v>
      </c>
      <c r="C38" s="12"/>
      <c r="D38" s="101">
        <v>22</v>
      </c>
      <c r="E38" s="104">
        <v>0.126</v>
      </c>
      <c r="F38" s="105">
        <v>32.97</v>
      </c>
      <c r="G38" s="12"/>
      <c r="H38" s="101">
        <f t="shared" si="1"/>
        <v>11</v>
      </c>
      <c r="I38" s="102">
        <f t="shared" si="1"/>
        <v>0.024294574379720726</v>
      </c>
      <c r="J38" s="105">
        <v>100.36223526947401</v>
      </c>
      <c r="K38" s="100"/>
      <c r="R38" s="1" t="s">
        <v>315</v>
      </c>
      <c r="AC38" s="1" t="s">
        <v>319</v>
      </c>
    </row>
    <row r="39" spans="2:11" ht="13.5" thickBot="1">
      <c r="B39" s="32" t="s">
        <v>265</v>
      </c>
      <c r="C39" s="12"/>
      <c r="D39" s="101">
        <v>39</v>
      </c>
      <c r="E39" s="104">
        <v>0.056</v>
      </c>
      <c r="F39" s="105">
        <v>52.5</v>
      </c>
      <c r="G39" s="12"/>
      <c r="H39" s="101">
        <f t="shared" si="1"/>
        <v>18</v>
      </c>
      <c r="I39" s="102">
        <f t="shared" si="1"/>
        <v>0.013111665291983644</v>
      </c>
      <c r="J39" s="105">
        <v>194.11837893502621</v>
      </c>
      <c r="K39" s="100"/>
    </row>
    <row r="40" spans="2:37" ht="12.75">
      <c r="B40" s="32"/>
      <c r="C40" s="12"/>
      <c r="D40" s="101"/>
      <c r="E40" s="104"/>
      <c r="F40" s="105"/>
      <c r="G40" s="12"/>
      <c r="H40" s="26"/>
      <c r="I40" s="102"/>
      <c r="J40" s="105"/>
      <c r="K40" s="100"/>
      <c r="R40" s="98"/>
      <c r="S40" s="28"/>
      <c r="T40" s="28"/>
      <c r="U40" s="28"/>
      <c r="V40" s="28"/>
      <c r="W40" s="28"/>
      <c r="X40" s="28"/>
      <c r="Y40" s="99"/>
      <c r="Z40" s="12"/>
      <c r="AC40" s="98"/>
      <c r="AD40" s="28"/>
      <c r="AE40" s="28"/>
      <c r="AF40" s="28"/>
      <c r="AG40" s="28"/>
      <c r="AH40" s="28"/>
      <c r="AI40" s="28"/>
      <c r="AJ40" s="99"/>
      <c r="AK40" s="12"/>
    </row>
    <row r="41" spans="2:37" ht="38.25">
      <c r="B41" s="119" t="s">
        <v>295</v>
      </c>
      <c r="C41" s="12"/>
      <c r="D41" s="26">
        <f>SUM(D35:D39)</f>
        <v>99</v>
      </c>
      <c r="E41" s="102">
        <f>SUM(E35:E39)</f>
        <v>1</v>
      </c>
      <c r="F41" s="105">
        <v>30.07</v>
      </c>
      <c r="G41" s="12"/>
      <c r="H41" s="26">
        <f>SUM(H35:H39)</f>
        <v>99</v>
      </c>
      <c r="I41" s="102">
        <f>SUM(I35:I39)</f>
        <v>1</v>
      </c>
      <c r="J41" s="105">
        <v>33.66</v>
      </c>
      <c r="K41" s="100"/>
      <c r="M41" s="120">
        <f>SUMPRODUCT(I35:I39,J35:J39)</f>
        <v>33.72644476328187</v>
      </c>
      <c r="R41" s="37"/>
      <c r="S41" s="12"/>
      <c r="T41" s="129" t="s">
        <v>316</v>
      </c>
      <c r="U41" s="12"/>
      <c r="V41" s="129" t="s">
        <v>317</v>
      </c>
      <c r="W41" s="12"/>
      <c r="X41" s="129" t="s">
        <v>318</v>
      </c>
      <c r="Y41" s="100"/>
      <c r="Z41" s="12"/>
      <c r="AC41" s="37"/>
      <c r="AD41" s="12"/>
      <c r="AE41" s="129" t="s">
        <v>316</v>
      </c>
      <c r="AF41" s="12"/>
      <c r="AG41" s="129" t="s">
        <v>317</v>
      </c>
      <c r="AH41" s="12"/>
      <c r="AI41" s="129" t="s">
        <v>318</v>
      </c>
      <c r="AJ41" s="100"/>
      <c r="AK41" s="12"/>
    </row>
    <row r="42" spans="2:37" ht="13.5" thickBot="1">
      <c r="B42" s="40"/>
      <c r="C42" s="16"/>
      <c r="D42" s="16"/>
      <c r="E42" s="16"/>
      <c r="F42" s="16"/>
      <c r="G42" s="16"/>
      <c r="H42" s="16"/>
      <c r="I42" s="16"/>
      <c r="J42" s="16"/>
      <c r="K42" s="103"/>
      <c r="R42" s="37"/>
      <c r="S42" s="12"/>
      <c r="T42" s="12"/>
      <c r="U42" s="12"/>
      <c r="V42" s="12"/>
      <c r="W42" s="12"/>
      <c r="X42" s="12"/>
      <c r="Y42" s="100"/>
      <c r="Z42" s="12"/>
      <c r="AC42" s="37"/>
      <c r="AD42" s="12"/>
      <c r="AE42" s="12"/>
      <c r="AF42" s="12"/>
      <c r="AG42" s="12"/>
      <c r="AH42" s="12"/>
      <c r="AI42" s="12"/>
      <c r="AJ42" s="100"/>
      <c r="AK42" s="12"/>
    </row>
    <row r="43" spans="18:37" ht="12.75">
      <c r="R43" s="37"/>
      <c r="S43" s="54" t="s">
        <v>102</v>
      </c>
      <c r="T43" s="130">
        <f>J29</f>
        <v>28.72682019029944</v>
      </c>
      <c r="U43" s="12"/>
      <c r="V43" s="101">
        <f>H29</f>
        <v>56</v>
      </c>
      <c r="W43" s="12"/>
      <c r="X43" s="102">
        <f>I29</f>
        <v>0.9331099594573508</v>
      </c>
      <c r="Y43" s="100"/>
      <c r="Z43" s="12"/>
      <c r="AC43" s="37"/>
      <c r="AD43" s="54" t="s">
        <v>102</v>
      </c>
      <c r="AE43" s="130">
        <f>J35</f>
        <v>22.945200521935682</v>
      </c>
      <c r="AF43" s="12"/>
      <c r="AG43" s="101">
        <f>H35</f>
        <v>14</v>
      </c>
      <c r="AH43" s="12"/>
      <c r="AI43" s="102">
        <f>I35</f>
        <v>0.5482038821307038</v>
      </c>
      <c r="AJ43" s="100"/>
      <c r="AK43" s="12"/>
    </row>
    <row r="44" spans="18:37" ht="12.75">
      <c r="R44" s="37"/>
      <c r="S44" s="54" t="s">
        <v>103</v>
      </c>
      <c r="T44" s="130">
        <f>J30</f>
        <v>80.72896573722062</v>
      </c>
      <c r="U44" s="12"/>
      <c r="V44" s="101">
        <f>H30</f>
        <v>25</v>
      </c>
      <c r="W44" s="12"/>
      <c r="X44" s="102">
        <f>I30</f>
        <v>0.053778375250665617</v>
      </c>
      <c r="Y44" s="100"/>
      <c r="Z44" s="12"/>
      <c r="AC44" s="37"/>
      <c r="AD44" s="54" t="s">
        <v>103</v>
      </c>
      <c r="AE44" s="130">
        <f>J36</f>
        <v>34.72544690876351</v>
      </c>
      <c r="AF44" s="12"/>
      <c r="AG44" s="101">
        <f>H36</f>
        <v>30</v>
      </c>
      <c r="AH44" s="12"/>
      <c r="AI44" s="102">
        <f>I36</f>
        <v>0.3243935321729135</v>
      </c>
      <c r="AJ44" s="100"/>
      <c r="AK44" s="12"/>
    </row>
    <row r="45" spans="18:37" ht="12.75">
      <c r="R45" s="37"/>
      <c r="S45" s="54" t="s">
        <v>104</v>
      </c>
      <c r="T45" s="130">
        <f>J31</f>
        <v>194.11837893502621</v>
      </c>
      <c r="U45" s="12"/>
      <c r="V45" s="101">
        <f>H31</f>
        <v>18</v>
      </c>
      <c r="W45" s="12"/>
      <c r="X45" s="102">
        <f>I31</f>
        <v>0.013111665291983644</v>
      </c>
      <c r="Y45" s="100"/>
      <c r="Z45" s="12"/>
      <c r="AC45" s="37"/>
      <c r="AD45" s="54" t="s">
        <v>104</v>
      </c>
      <c r="AE45" s="130">
        <f>J37</f>
        <v>54.44235901801132</v>
      </c>
      <c r="AF45" s="12"/>
      <c r="AG45" s="101">
        <f>H37</f>
        <v>26</v>
      </c>
      <c r="AH45" s="12"/>
      <c r="AI45" s="102">
        <f>I37</f>
        <v>0.08999634602467839</v>
      </c>
      <c r="AJ45" s="100"/>
      <c r="AK45" s="12"/>
    </row>
    <row r="46" spans="2:37" ht="13.5" thickBot="1">
      <c r="B46" t="s">
        <v>320</v>
      </c>
      <c r="F46" s="105">
        <v>30.07</v>
      </c>
      <c r="R46" s="40"/>
      <c r="S46" s="16"/>
      <c r="T46" s="16"/>
      <c r="U46" s="16"/>
      <c r="V46" s="16"/>
      <c r="W46" s="16"/>
      <c r="X46" s="16"/>
      <c r="Y46" s="103"/>
      <c r="Z46" s="12"/>
      <c r="AC46" s="37"/>
      <c r="AD46" s="54" t="s">
        <v>261</v>
      </c>
      <c r="AE46" s="130">
        <f>J38</f>
        <v>100.36223526947401</v>
      </c>
      <c r="AF46" s="12"/>
      <c r="AG46" s="101">
        <f>H38</f>
        <v>11</v>
      </c>
      <c r="AH46" s="12"/>
      <c r="AI46" s="102">
        <f>I38</f>
        <v>0.024294574379720726</v>
      </c>
      <c r="AJ46" s="100"/>
      <c r="AK46" s="12"/>
    </row>
    <row r="47" spans="2:37" ht="12.75">
      <c r="B47" t="s">
        <v>321</v>
      </c>
      <c r="F47" s="105">
        <v>33.66</v>
      </c>
      <c r="H47" s="131">
        <f>F47/F46-1</f>
        <v>0.11938809444629195</v>
      </c>
      <c r="I47" t="s">
        <v>322</v>
      </c>
      <c r="AC47" s="37"/>
      <c r="AD47" s="54" t="s">
        <v>265</v>
      </c>
      <c r="AE47" s="130">
        <f>J39</f>
        <v>194.11837893502621</v>
      </c>
      <c r="AF47" s="12"/>
      <c r="AG47" s="101">
        <f>H39</f>
        <v>18</v>
      </c>
      <c r="AH47" s="12"/>
      <c r="AI47" s="102">
        <f>I39</f>
        <v>0.013111665291983644</v>
      </c>
      <c r="AJ47" s="100"/>
      <c r="AK47" s="12"/>
    </row>
    <row r="48" spans="29:37" ht="13.5" thickBot="1">
      <c r="AC48" s="40"/>
      <c r="AD48" s="16"/>
      <c r="AE48" s="16"/>
      <c r="AF48" s="16"/>
      <c r="AG48" s="16"/>
      <c r="AH48" s="16"/>
      <c r="AI48" s="16"/>
      <c r="AJ48" s="103"/>
      <c r="AK48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4:K35"/>
  <sheetViews>
    <sheetView showGridLines="0" workbookViewId="0" topLeftCell="A1">
      <selection activeCell="D2" sqref="D2"/>
    </sheetView>
  </sheetViews>
  <sheetFormatPr defaultColWidth="9.140625" defaultRowHeight="12.75"/>
  <cols>
    <col min="2" max="2" width="0.85546875" style="0" customWidth="1"/>
    <col min="3" max="3" width="1.7109375" style="0" customWidth="1"/>
    <col min="4" max="4" width="28.8515625" style="0" customWidth="1"/>
    <col min="5" max="5" width="1.7109375" style="0" customWidth="1"/>
    <col min="6" max="6" width="17.140625" style="0" customWidth="1"/>
    <col min="7" max="7" width="2.28125" style="0" customWidth="1"/>
    <col min="8" max="8" width="20.57421875" style="0" customWidth="1"/>
    <col min="9" max="9" width="2.28125" style="0" customWidth="1"/>
    <col min="10" max="10" width="20.57421875" style="0" customWidth="1"/>
    <col min="11" max="11" width="1.7109375" style="0" customWidth="1"/>
    <col min="12" max="12" width="0.85546875" style="0" customWidth="1"/>
  </cols>
  <sheetData>
    <row r="3" ht="13.5" thickBot="1"/>
    <row r="4" spans="3:11" ht="12.75">
      <c r="C4" s="98"/>
      <c r="D4" s="28"/>
      <c r="E4" s="28"/>
      <c r="F4" s="28"/>
      <c r="G4" s="28"/>
      <c r="H4" s="28"/>
      <c r="I4" s="28"/>
      <c r="J4" s="28"/>
      <c r="K4" s="99"/>
    </row>
    <row r="5" spans="3:11" ht="12.75">
      <c r="C5" s="37"/>
      <c r="D5" s="132"/>
      <c r="E5" s="133" t="s">
        <v>325</v>
      </c>
      <c r="F5" s="134"/>
      <c r="G5" s="18"/>
      <c r="H5" s="141" t="s">
        <v>323</v>
      </c>
      <c r="I5" s="18"/>
      <c r="J5" s="141" t="s">
        <v>324</v>
      </c>
      <c r="K5" s="100"/>
    </row>
    <row r="6" spans="3:11" ht="12.75">
      <c r="C6" s="37"/>
      <c r="D6" s="135" t="s">
        <v>164</v>
      </c>
      <c r="E6" s="136"/>
      <c r="F6" s="137" t="s">
        <v>137</v>
      </c>
      <c r="G6" s="136"/>
      <c r="H6" s="142" t="s">
        <v>168</v>
      </c>
      <c r="I6" s="136"/>
      <c r="J6" s="142" t="s">
        <v>189</v>
      </c>
      <c r="K6" s="100"/>
    </row>
    <row r="7" spans="3:11" ht="12.75">
      <c r="C7" s="37"/>
      <c r="D7" s="135" t="s">
        <v>126</v>
      </c>
      <c r="E7" s="136"/>
      <c r="F7" s="137" t="s">
        <v>272</v>
      </c>
      <c r="G7" s="136"/>
      <c r="H7" s="142" t="s">
        <v>161</v>
      </c>
      <c r="I7" s="136"/>
      <c r="J7" s="142" t="s">
        <v>177</v>
      </c>
      <c r="K7" s="100"/>
    </row>
    <row r="8" spans="3:11" ht="12.75">
      <c r="C8" s="37"/>
      <c r="D8" s="135" t="s">
        <v>135</v>
      </c>
      <c r="E8" s="136"/>
      <c r="F8" s="137" t="s">
        <v>159</v>
      </c>
      <c r="G8" s="136"/>
      <c r="H8" s="142" t="s">
        <v>170</v>
      </c>
      <c r="I8" s="136"/>
      <c r="J8" s="142" t="s">
        <v>191</v>
      </c>
      <c r="K8" s="100"/>
    </row>
    <row r="9" spans="3:11" ht="12.75">
      <c r="C9" s="37"/>
      <c r="D9" s="135" t="s">
        <v>142</v>
      </c>
      <c r="E9" s="136"/>
      <c r="F9" s="137" t="s">
        <v>152</v>
      </c>
      <c r="G9" s="136"/>
      <c r="H9" s="142" t="s">
        <v>172</v>
      </c>
      <c r="I9" s="136"/>
      <c r="J9" s="142" t="s">
        <v>193</v>
      </c>
      <c r="K9" s="100"/>
    </row>
    <row r="10" spans="3:11" ht="12.75">
      <c r="C10" s="37"/>
      <c r="D10" s="135" t="s">
        <v>138</v>
      </c>
      <c r="E10" s="136"/>
      <c r="F10" s="137" t="s">
        <v>140</v>
      </c>
      <c r="G10" s="136"/>
      <c r="H10" s="142" t="s">
        <v>178</v>
      </c>
      <c r="I10" s="136"/>
      <c r="J10" s="142" t="s">
        <v>201</v>
      </c>
      <c r="K10" s="100"/>
    </row>
    <row r="11" spans="3:11" ht="12.75">
      <c r="C11" s="37"/>
      <c r="D11" s="135" t="s">
        <v>129</v>
      </c>
      <c r="E11" s="136"/>
      <c r="F11" s="137" t="s">
        <v>112</v>
      </c>
      <c r="G11" s="136"/>
      <c r="H11" s="142" t="s">
        <v>155</v>
      </c>
      <c r="I11" s="136"/>
      <c r="J11" s="142" t="s">
        <v>192</v>
      </c>
      <c r="K11" s="100"/>
    </row>
    <row r="12" spans="3:11" ht="12.75">
      <c r="C12" s="37"/>
      <c r="D12" s="135" t="s">
        <v>116</v>
      </c>
      <c r="E12" s="136"/>
      <c r="F12" s="137" t="s">
        <v>163</v>
      </c>
      <c r="G12" s="136"/>
      <c r="H12" s="142" t="s">
        <v>162</v>
      </c>
      <c r="I12" s="136"/>
      <c r="J12" s="142" t="s">
        <v>195</v>
      </c>
      <c r="K12" s="100"/>
    </row>
    <row r="13" spans="3:11" ht="12.75">
      <c r="C13" s="37"/>
      <c r="D13" s="135" t="s">
        <v>120</v>
      </c>
      <c r="E13" s="136"/>
      <c r="F13" s="137" t="s">
        <v>156</v>
      </c>
      <c r="G13" s="136"/>
      <c r="H13" s="142" t="s">
        <v>160</v>
      </c>
      <c r="I13" s="136"/>
      <c r="J13" s="142" t="s">
        <v>188</v>
      </c>
      <c r="K13" s="100"/>
    </row>
    <row r="14" spans="3:11" ht="12.75">
      <c r="C14" s="37"/>
      <c r="D14" s="135" t="s">
        <v>130</v>
      </c>
      <c r="E14" s="136"/>
      <c r="F14" s="137" t="s">
        <v>122</v>
      </c>
      <c r="G14" s="136"/>
      <c r="H14" s="142" t="s">
        <v>175</v>
      </c>
      <c r="I14" s="136"/>
      <c r="J14" s="142" t="s">
        <v>197</v>
      </c>
      <c r="K14" s="100"/>
    </row>
    <row r="15" spans="3:11" ht="12.75">
      <c r="C15" s="37"/>
      <c r="D15" s="135" t="s">
        <v>134</v>
      </c>
      <c r="E15" s="136"/>
      <c r="F15" s="137" t="s">
        <v>124</v>
      </c>
      <c r="G15" s="136"/>
      <c r="H15" s="142" t="s">
        <v>182</v>
      </c>
      <c r="I15" s="136"/>
      <c r="J15" s="142" t="s">
        <v>200</v>
      </c>
      <c r="K15" s="100"/>
    </row>
    <row r="16" spans="3:11" ht="12.75">
      <c r="C16" s="37"/>
      <c r="D16" s="135" t="s">
        <v>151</v>
      </c>
      <c r="E16" s="136"/>
      <c r="F16" s="137" t="s">
        <v>144</v>
      </c>
      <c r="G16" s="136"/>
      <c r="H16" s="142" t="s">
        <v>166</v>
      </c>
      <c r="I16" s="136"/>
      <c r="J16" s="142" t="s">
        <v>202</v>
      </c>
      <c r="K16" s="100"/>
    </row>
    <row r="17" spans="3:11" ht="12.75">
      <c r="C17" s="37"/>
      <c r="D17" s="135" t="s">
        <v>128</v>
      </c>
      <c r="E17" s="136"/>
      <c r="F17" s="137" t="s">
        <v>157</v>
      </c>
      <c r="G17" s="136"/>
      <c r="H17" s="142" t="s">
        <v>180</v>
      </c>
      <c r="I17" s="136"/>
      <c r="J17" s="142" t="s">
        <v>194</v>
      </c>
      <c r="K17" s="100"/>
    </row>
    <row r="18" spans="3:11" ht="12.75">
      <c r="C18" s="37"/>
      <c r="D18" s="135" t="s">
        <v>167</v>
      </c>
      <c r="E18" s="136"/>
      <c r="F18" s="137" t="s">
        <v>119</v>
      </c>
      <c r="G18" s="136"/>
      <c r="H18" s="142" t="s">
        <v>165</v>
      </c>
      <c r="I18" s="136"/>
      <c r="J18" s="142" t="s">
        <v>199</v>
      </c>
      <c r="K18" s="100"/>
    </row>
    <row r="19" spans="3:11" ht="12.75">
      <c r="C19" s="37"/>
      <c r="D19" s="135" t="s">
        <v>154</v>
      </c>
      <c r="E19" s="136"/>
      <c r="F19" s="137" t="s">
        <v>121</v>
      </c>
      <c r="G19" s="136"/>
      <c r="H19" s="142" t="s">
        <v>173</v>
      </c>
      <c r="I19" s="136"/>
      <c r="J19" s="142" t="s">
        <v>198</v>
      </c>
      <c r="K19" s="100"/>
    </row>
    <row r="20" spans="3:11" ht="12.75">
      <c r="C20" s="37"/>
      <c r="D20" s="135" t="s">
        <v>143</v>
      </c>
      <c r="E20" s="136"/>
      <c r="F20" s="137" t="s">
        <v>114</v>
      </c>
      <c r="G20" s="136"/>
      <c r="H20" s="142" t="s">
        <v>184</v>
      </c>
      <c r="I20" s="136"/>
      <c r="J20" s="142" t="s">
        <v>196</v>
      </c>
      <c r="K20" s="100"/>
    </row>
    <row r="21" spans="3:11" ht="12.75">
      <c r="C21" s="37"/>
      <c r="D21" s="135" t="s">
        <v>158</v>
      </c>
      <c r="E21" s="136"/>
      <c r="F21" s="137" t="s">
        <v>109</v>
      </c>
      <c r="G21" s="136"/>
      <c r="H21" s="142" t="s">
        <v>185</v>
      </c>
      <c r="I21" s="136"/>
      <c r="J21" s="142" t="s">
        <v>203</v>
      </c>
      <c r="K21" s="100"/>
    </row>
    <row r="22" spans="3:11" ht="12.75">
      <c r="C22" s="37"/>
      <c r="D22" s="135" t="s">
        <v>113</v>
      </c>
      <c r="E22" s="136"/>
      <c r="F22" s="137" t="s">
        <v>108</v>
      </c>
      <c r="G22" s="136"/>
      <c r="H22" s="142" t="s">
        <v>181</v>
      </c>
      <c r="I22" s="136"/>
      <c r="J22" s="142" t="s">
        <v>187</v>
      </c>
      <c r="K22" s="100"/>
    </row>
    <row r="23" spans="3:11" ht="12.75">
      <c r="C23" s="37"/>
      <c r="D23" s="135" t="s">
        <v>106</v>
      </c>
      <c r="E23" s="136"/>
      <c r="F23" s="137" t="s">
        <v>132</v>
      </c>
      <c r="G23" s="136"/>
      <c r="H23" s="142" t="s">
        <v>153</v>
      </c>
      <c r="I23" s="136"/>
      <c r="J23" s="142" t="s">
        <v>190</v>
      </c>
      <c r="K23" s="100"/>
    </row>
    <row r="24" spans="3:11" ht="12.75">
      <c r="C24" s="37"/>
      <c r="D24" s="135" t="s">
        <v>145</v>
      </c>
      <c r="E24" s="136"/>
      <c r="F24" s="137" t="s">
        <v>125</v>
      </c>
      <c r="G24" s="136"/>
      <c r="H24" s="142" t="s">
        <v>183</v>
      </c>
      <c r="I24" s="136"/>
      <c r="J24" s="142"/>
      <c r="K24" s="100"/>
    </row>
    <row r="25" spans="3:11" ht="12.75">
      <c r="C25" s="37"/>
      <c r="D25" s="135" t="s">
        <v>146</v>
      </c>
      <c r="E25" s="136"/>
      <c r="F25" s="137" t="s">
        <v>118</v>
      </c>
      <c r="G25" s="136"/>
      <c r="H25" s="142" t="s">
        <v>179</v>
      </c>
      <c r="I25" s="136"/>
      <c r="J25" s="142"/>
      <c r="K25" s="100"/>
    </row>
    <row r="26" spans="3:11" ht="12.75">
      <c r="C26" s="37"/>
      <c r="D26" s="135" t="s">
        <v>148</v>
      </c>
      <c r="E26" s="136"/>
      <c r="F26" s="137" t="s">
        <v>123</v>
      </c>
      <c r="G26" s="136"/>
      <c r="H26" s="142" t="s">
        <v>171</v>
      </c>
      <c r="I26" s="136"/>
      <c r="J26" s="142"/>
      <c r="K26" s="100"/>
    </row>
    <row r="27" spans="3:11" ht="12.75">
      <c r="C27" s="37"/>
      <c r="D27" s="135" t="s">
        <v>111</v>
      </c>
      <c r="E27" s="136"/>
      <c r="F27" s="137" t="s">
        <v>131</v>
      </c>
      <c r="G27" s="136"/>
      <c r="H27" s="142" t="s">
        <v>174</v>
      </c>
      <c r="I27" s="136"/>
      <c r="J27" s="142"/>
      <c r="K27" s="100"/>
    </row>
    <row r="28" spans="3:11" ht="12.75">
      <c r="C28" s="37"/>
      <c r="D28" s="135" t="s">
        <v>110</v>
      </c>
      <c r="E28" s="136"/>
      <c r="F28" s="137" t="s">
        <v>139</v>
      </c>
      <c r="G28" s="136"/>
      <c r="H28" s="142" t="s">
        <v>186</v>
      </c>
      <c r="I28" s="136"/>
      <c r="J28" s="142"/>
      <c r="K28" s="100"/>
    </row>
    <row r="29" spans="3:11" ht="12.75">
      <c r="C29" s="37"/>
      <c r="D29" s="135" t="s">
        <v>117</v>
      </c>
      <c r="E29" s="136"/>
      <c r="F29" s="137" t="s">
        <v>136</v>
      </c>
      <c r="G29" s="136"/>
      <c r="H29" s="142" t="s">
        <v>169</v>
      </c>
      <c r="I29" s="136"/>
      <c r="J29" s="142"/>
      <c r="K29" s="100"/>
    </row>
    <row r="30" spans="3:11" ht="12.75">
      <c r="C30" s="37"/>
      <c r="D30" s="135" t="s">
        <v>127</v>
      </c>
      <c r="E30" s="136"/>
      <c r="F30" s="137" t="s">
        <v>133</v>
      </c>
      <c r="G30" s="136"/>
      <c r="H30" s="142" t="s">
        <v>176</v>
      </c>
      <c r="I30" s="136"/>
      <c r="J30" s="142"/>
      <c r="K30" s="100"/>
    </row>
    <row r="31" spans="3:11" ht="12.75">
      <c r="C31" s="37"/>
      <c r="D31" s="135" t="s">
        <v>141</v>
      </c>
      <c r="E31" s="136"/>
      <c r="F31" s="137" t="s">
        <v>150</v>
      </c>
      <c r="G31" s="136"/>
      <c r="H31" s="142"/>
      <c r="I31" s="136"/>
      <c r="J31" s="142"/>
      <c r="K31" s="100"/>
    </row>
    <row r="32" spans="3:11" ht="12.75">
      <c r="C32" s="37"/>
      <c r="D32" s="135" t="s">
        <v>107</v>
      </c>
      <c r="E32" s="136"/>
      <c r="F32" s="137" t="s">
        <v>115</v>
      </c>
      <c r="G32" s="136"/>
      <c r="H32" s="142"/>
      <c r="I32" s="136"/>
      <c r="J32" s="142"/>
      <c r="K32" s="100"/>
    </row>
    <row r="33" spans="3:11" ht="12.75">
      <c r="C33" s="37"/>
      <c r="D33" s="135" t="s">
        <v>147</v>
      </c>
      <c r="E33" s="136"/>
      <c r="F33" s="137" t="s">
        <v>149</v>
      </c>
      <c r="G33" s="136"/>
      <c r="H33" s="142"/>
      <c r="I33" s="136"/>
      <c r="J33" s="142"/>
      <c r="K33" s="100"/>
    </row>
    <row r="34" spans="3:11" ht="12.75">
      <c r="C34" s="37"/>
      <c r="D34" s="138"/>
      <c r="E34" s="139"/>
      <c r="F34" s="140"/>
      <c r="G34" s="12"/>
      <c r="H34" s="143"/>
      <c r="I34" s="12"/>
      <c r="J34" s="143"/>
      <c r="K34" s="100"/>
    </row>
    <row r="35" spans="3:11" ht="13.5" thickBot="1">
      <c r="C35" s="40"/>
      <c r="D35" s="16"/>
      <c r="E35" s="16"/>
      <c r="F35" s="16"/>
      <c r="G35" s="16"/>
      <c r="H35" s="16"/>
      <c r="I35" s="16"/>
      <c r="J35" s="16"/>
      <c r="K35" s="10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TSpinks</cp:lastModifiedBy>
  <dcterms:created xsi:type="dcterms:W3CDTF">2003-09-08T12:59:43Z</dcterms:created>
  <dcterms:modified xsi:type="dcterms:W3CDTF">2004-06-26T15:05:14Z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2004-06-29T00:00:00Z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