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580" yWindow="0" windowWidth="23040" windowHeight="9405"/>
  </bookViews>
  <sheets>
    <sheet name="Electric Deferral" sheetId="1" r:id="rId1"/>
    <sheet name="Acerno_Cache_XXXXX" sheetId="6" state="veryHidden" r:id="rId2"/>
    <sheet name="Nat Gas Deferral" sheetId="2" r:id="rId3"/>
    <sheet name="Accounting Balances" sheetId="3" r:id="rId4"/>
    <sheet name="Interest Reconciliation" sheetId="7" r:id="rId5"/>
    <sheet name="Notes" sheetId="4" r:id="rId6"/>
  </sheets>
  <definedNames>
    <definedName name="_xlnm.Print_Area" localSheetId="3">'Accounting Balances'!$A$1:$H$198</definedName>
    <definedName name="_xlnm.Print_Area" localSheetId="0">'Electric Deferral'!$A$1:$T$46</definedName>
    <definedName name="_xlnm.Print_Area" localSheetId="4">'Interest Reconciliation'!$A$1:$R$154</definedName>
    <definedName name="_xlnm.Print_Area" localSheetId="5">Notes!$A$1:$K$30</definedName>
    <definedName name="_xlnm.Print_Titles" localSheetId="4">'Interest Reconciliation'!$1:$2</definedName>
  </definedNames>
  <calcPr calcId="152511"/>
</workbook>
</file>

<file path=xl/calcChain.xml><?xml version="1.0" encoding="utf-8"?>
<calcChain xmlns="http://schemas.openxmlformats.org/spreadsheetml/2006/main">
  <c r="T9" i="2" l="1"/>
  <c r="H176" i="7" l="1"/>
  <c r="H177" i="7" s="1"/>
  <c r="Q177" i="7" s="1"/>
  <c r="H175" i="7"/>
  <c r="Q175" i="7" s="1"/>
  <c r="Q174" i="7"/>
  <c r="M174" i="7" s="1"/>
  <c r="O174" i="7" s="1"/>
  <c r="F174" i="7"/>
  <c r="D174" i="7"/>
  <c r="A173" i="7"/>
  <c r="J172" i="7"/>
  <c r="J171" i="7"/>
  <c r="Q166" i="7"/>
  <c r="Q164" i="7"/>
  <c r="Q162" i="7"/>
  <c r="Q160" i="7"/>
  <c r="Q159" i="7"/>
  <c r="O159" i="7"/>
  <c r="H159" i="7"/>
  <c r="H160" i="7" s="1"/>
  <c r="H161" i="7" s="1"/>
  <c r="H162" i="7" s="1"/>
  <c r="H163" i="7" s="1"/>
  <c r="H164" i="7" s="1"/>
  <c r="H165" i="7" s="1"/>
  <c r="H166" i="7" s="1"/>
  <c r="H167" i="7" s="1"/>
  <c r="H168" i="7" s="1"/>
  <c r="H169" i="7" s="1"/>
  <c r="Q169" i="7" s="1"/>
  <c r="F159" i="7"/>
  <c r="D160" i="7" s="1"/>
  <c r="Q158" i="7"/>
  <c r="M158" i="7" s="1"/>
  <c r="O158" i="7"/>
  <c r="M159" i="7" s="1"/>
  <c r="D158" i="7"/>
  <c r="F158" i="7" s="1"/>
  <c r="D159" i="7" s="1"/>
  <c r="A157" i="7"/>
  <c r="J156" i="7"/>
  <c r="J155" i="7"/>
  <c r="Q151" i="7"/>
  <c r="H151" i="7"/>
  <c r="Q148" i="7"/>
  <c r="H148" i="7"/>
  <c r="Q145" i="7"/>
  <c r="H145" i="7"/>
  <c r="Q142" i="7"/>
  <c r="M142" i="7"/>
  <c r="O142" i="7" s="1"/>
  <c r="H142" i="7"/>
  <c r="D142" i="7"/>
  <c r="F142" i="7" s="1"/>
  <c r="A141" i="7"/>
  <c r="J140" i="7"/>
  <c r="J139" i="7"/>
  <c r="Q135" i="7"/>
  <c r="H135" i="7"/>
  <c r="Q132" i="7"/>
  <c r="H132" i="7"/>
  <c r="Q129" i="7"/>
  <c r="H129" i="7"/>
  <c r="Q126" i="7"/>
  <c r="M126" i="7"/>
  <c r="O126" i="7" s="1"/>
  <c r="H126" i="7"/>
  <c r="D126" i="7"/>
  <c r="F126" i="7" s="1"/>
  <c r="J125" i="7"/>
  <c r="A125" i="7"/>
  <c r="A126" i="7" s="1"/>
  <c r="J124" i="7"/>
  <c r="J123" i="7"/>
  <c r="Q119" i="7"/>
  <c r="H119" i="7"/>
  <c r="Q116" i="7"/>
  <c r="H116" i="7"/>
  <c r="Q113" i="7"/>
  <c r="H113" i="7"/>
  <c r="Q110" i="7"/>
  <c r="M110" i="7"/>
  <c r="O110" i="7" s="1"/>
  <c r="H110" i="7"/>
  <c r="D110" i="7"/>
  <c r="F110" i="7" s="1"/>
  <c r="A109" i="7"/>
  <c r="A110" i="7" s="1"/>
  <c r="J108" i="7"/>
  <c r="J107" i="7"/>
  <c r="H105" i="7"/>
  <c r="Q105" i="7" s="1"/>
  <c r="H104" i="7"/>
  <c r="Q104" i="7" s="1"/>
  <c r="Q103" i="7"/>
  <c r="H103" i="7"/>
  <c r="Q100" i="7"/>
  <c r="H100" i="7"/>
  <c r="Q97" i="7"/>
  <c r="H97" i="7"/>
  <c r="Q94" i="7"/>
  <c r="M94" i="7" s="1"/>
  <c r="O94" i="7" s="1"/>
  <c r="H94" i="7"/>
  <c r="D94" i="7"/>
  <c r="F94" i="7" s="1"/>
  <c r="J93" i="7"/>
  <c r="A93" i="7"/>
  <c r="A94" i="7" s="1"/>
  <c r="J92" i="7"/>
  <c r="J91" i="7"/>
  <c r="Q86" i="7"/>
  <c r="H86" i="7"/>
  <c r="C85" i="7"/>
  <c r="L84" i="7"/>
  <c r="Q83" i="7"/>
  <c r="H83" i="7"/>
  <c r="Q80" i="7"/>
  <c r="H80" i="7"/>
  <c r="Q77" i="7"/>
  <c r="O77" i="7"/>
  <c r="M77" i="7"/>
  <c r="H77" i="7"/>
  <c r="F77" i="7"/>
  <c r="D77" i="7"/>
  <c r="A76" i="7"/>
  <c r="J76" i="7" s="1"/>
  <c r="A75" i="7"/>
  <c r="J75" i="7" s="1"/>
  <c r="J74" i="7"/>
  <c r="J73" i="7"/>
  <c r="Q68" i="7"/>
  <c r="H68" i="7"/>
  <c r="C67" i="7"/>
  <c r="L66" i="7"/>
  <c r="Q65" i="7"/>
  <c r="H65" i="7"/>
  <c r="Q62" i="7"/>
  <c r="H62" i="7"/>
  <c r="H59" i="7"/>
  <c r="Q59" i="7" s="1"/>
  <c r="M59" i="7" s="1"/>
  <c r="O59" i="7" s="1"/>
  <c r="F59" i="7"/>
  <c r="D59" i="7"/>
  <c r="A59" i="7"/>
  <c r="J59" i="7" s="1"/>
  <c r="J58" i="7"/>
  <c r="J57" i="7"/>
  <c r="A57" i="7"/>
  <c r="J56" i="7"/>
  <c r="J55" i="7"/>
  <c r="H52" i="7"/>
  <c r="Q52" i="7" s="1"/>
  <c r="H51" i="7"/>
  <c r="Q51" i="7" s="1"/>
  <c r="H49" i="7"/>
  <c r="Q49" i="7" s="1"/>
  <c r="H48" i="7"/>
  <c r="Q48" i="7" s="1"/>
  <c r="H46" i="7"/>
  <c r="Q46" i="7" s="1"/>
  <c r="H45" i="7"/>
  <c r="Q45" i="7" s="1"/>
  <c r="H43" i="7"/>
  <c r="Q43" i="7" s="1"/>
  <c r="H42" i="7"/>
  <c r="A41" i="7"/>
  <c r="A42" i="7" s="1"/>
  <c r="J40" i="7"/>
  <c r="J39" i="7"/>
  <c r="Q36" i="7"/>
  <c r="H36" i="7"/>
  <c r="H69" i="7" s="1"/>
  <c r="Q69" i="7" s="1"/>
  <c r="Q35" i="7"/>
  <c r="Q33" i="7"/>
  <c r="H33" i="7"/>
  <c r="Q32" i="7"/>
  <c r="H30" i="7"/>
  <c r="H63" i="7" s="1"/>
  <c r="Q63" i="7" s="1"/>
  <c r="Q29" i="7"/>
  <c r="Q27" i="7"/>
  <c r="H27" i="7"/>
  <c r="H60" i="7" s="1"/>
  <c r="Q60" i="7" s="1"/>
  <c r="Q26" i="7"/>
  <c r="M26" i="7" s="1"/>
  <c r="J26" i="7"/>
  <c r="D26" i="7"/>
  <c r="F26" i="7" s="1"/>
  <c r="A26" i="7"/>
  <c r="J25" i="7"/>
  <c r="J24" i="7"/>
  <c r="J23" i="7"/>
  <c r="N21" i="7"/>
  <c r="M21" i="7"/>
  <c r="E21" i="7"/>
  <c r="D21" i="7"/>
  <c r="N20" i="7"/>
  <c r="M20" i="7"/>
  <c r="E20" i="7"/>
  <c r="D20" i="7"/>
  <c r="N19" i="7"/>
  <c r="M19" i="7"/>
  <c r="E19" i="7"/>
  <c r="D19" i="7"/>
  <c r="N18" i="7"/>
  <c r="M18" i="7"/>
  <c r="E18" i="7"/>
  <c r="D18" i="7"/>
  <c r="N17" i="7"/>
  <c r="M17" i="7"/>
  <c r="E17" i="7"/>
  <c r="D17" i="7"/>
  <c r="O16" i="7"/>
  <c r="F16" i="7"/>
  <c r="O15" i="7"/>
  <c r="F15" i="7"/>
  <c r="O14" i="7"/>
  <c r="F14" i="7"/>
  <c r="O13" i="7"/>
  <c r="F13" i="7"/>
  <c r="O12" i="7"/>
  <c r="F12" i="7"/>
  <c r="O11" i="7"/>
  <c r="F11" i="7"/>
  <c r="O10" i="7"/>
  <c r="F10" i="7"/>
  <c r="O9" i="7"/>
  <c r="F9" i="7"/>
  <c r="O8" i="7"/>
  <c r="O18" i="7" s="1"/>
  <c r="F8" i="7"/>
  <c r="F18" i="7" s="1"/>
  <c r="O7" i="7"/>
  <c r="F7" i="7"/>
  <c r="O6" i="7"/>
  <c r="O21" i="7" s="1"/>
  <c r="F6" i="7"/>
  <c r="A6" i="7"/>
  <c r="A7" i="7" s="1"/>
  <c r="O5" i="7"/>
  <c r="O17" i="7" s="1"/>
  <c r="J5" i="7"/>
  <c r="F5" i="7"/>
  <c r="Q4" i="7"/>
  <c r="M60" i="7" l="1"/>
  <c r="O60" i="7"/>
  <c r="A28" i="7"/>
  <c r="J28" i="7" s="1"/>
  <c r="J7" i="7"/>
  <c r="A8" i="7"/>
  <c r="F19" i="7"/>
  <c r="D27" i="7"/>
  <c r="A43" i="7"/>
  <c r="J42" i="7"/>
  <c r="O19" i="7"/>
  <c r="F20" i="7"/>
  <c r="D42" i="7"/>
  <c r="Q42" i="7"/>
  <c r="M42" i="7" s="1"/>
  <c r="O42" i="7" s="1"/>
  <c r="O20" i="7"/>
  <c r="O26" i="7"/>
  <c r="D111" i="7"/>
  <c r="F111" i="7" s="1"/>
  <c r="F21" i="7"/>
  <c r="F17" i="7"/>
  <c r="M160" i="7"/>
  <c r="O160" i="7"/>
  <c r="A27" i="7"/>
  <c r="J27" i="7" s="1"/>
  <c r="J6" i="7"/>
  <c r="H178" i="7"/>
  <c r="Q167" i="7"/>
  <c r="Q30" i="7"/>
  <c r="A60" i="7"/>
  <c r="A77" i="7"/>
  <c r="A158" i="7"/>
  <c r="J157" i="7"/>
  <c r="F160" i="7"/>
  <c r="A174" i="7"/>
  <c r="J173" i="7"/>
  <c r="D60" i="7"/>
  <c r="F60" i="7" s="1"/>
  <c r="A142" i="7"/>
  <c r="J141" i="7"/>
  <c r="H152" i="7"/>
  <c r="Q152" i="7" s="1"/>
  <c r="Q165" i="7"/>
  <c r="H37" i="7"/>
  <c r="J41" i="7"/>
  <c r="H87" i="7"/>
  <c r="Q87" i="7" s="1"/>
  <c r="H136" i="7"/>
  <c r="Q136" i="7" s="1"/>
  <c r="Q168" i="7"/>
  <c r="F175" i="7"/>
  <c r="D175" i="7"/>
  <c r="Q176" i="7"/>
  <c r="H149" i="7"/>
  <c r="Q149" i="7" s="1"/>
  <c r="H133" i="7"/>
  <c r="Q133" i="7" s="1"/>
  <c r="H117" i="7"/>
  <c r="Q117" i="7" s="1"/>
  <c r="H101" i="7"/>
  <c r="Q101" i="7" s="1"/>
  <c r="H84" i="7"/>
  <c r="Q84" i="7" s="1"/>
  <c r="H34" i="7"/>
  <c r="H66" i="7"/>
  <c r="Q66" i="7" s="1"/>
  <c r="A95" i="7"/>
  <c r="J94" i="7"/>
  <c r="Q163" i="7"/>
  <c r="H146" i="7"/>
  <c r="Q146" i="7" s="1"/>
  <c r="H130" i="7"/>
  <c r="Q130" i="7" s="1"/>
  <c r="H114" i="7"/>
  <c r="Q114" i="7" s="1"/>
  <c r="H98" i="7"/>
  <c r="Q98" i="7" s="1"/>
  <c r="H81" i="7"/>
  <c r="Q81" i="7" s="1"/>
  <c r="H31" i="7"/>
  <c r="A111" i="7"/>
  <c r="J110" i="7"/>
  <c r="H120" i="7"/>
  <c r="Q120" i="7" s="1"/>
  <c r="M175" i="7"/>
  <c r="O175" i="7" s="1"/>
  <c r="H143" i="7"/>
  <c r="Q143" i="7" s="1"/>
  <c r="M143" i="7" s="1"/>
  <c r="O143" i="7" s="1"/>
  <c r="H127" i="7"/>
  <c r="H111" i="7"/>
  <c r="Q111" i="7" s="1"/>
  <c r="M111" i="7" s="1"/>
  <c r="O111" i="7" s="1"/>
  <c r="H95" i="7"/>
  <c r="Q95" i="7" s="1"/>
  <c r="M95" i="7" s="1"/>
  <c r="O95" i="7" s="1"/>
  <c r="H78" i="7"/>
  <c r="Q78" i="7" s="1"/>
  <c r="M78" i="7" s="1"/>
  <c r="O78" i="7" s="1"/>
  <c r="H28" i="7"/>
  <c r="J109" i="7"/>
  <c r="A127" i="7"/>
  <c r="J126" i="7"/>
  <c r="Q161" i="7"/>
  <c r="F166" i="3"/>
  <c r="J93" i="3"/>
  <c r="J94" i="3"/>
  <c r="J92" i="3"/>
  <c r="J97" i="3"/>
  <c r="J98" i="3"/>
  <c r="J96" i="3"/>
  <c r="M144" i="7" l="1"/>
  <c r="O144" i="7" s="1"/>
  <c r="M176" i="7"/>
  <c r="O176" i="7" s="1"/>
  <c r="D61" i="7"/>
  <c r="F61" i="7" s="1"/>
  <c r="M79" i="7"/>
  <c r="O79" i="7" s="1"/>
  <c r="A44" i="7"/>
  <c r="J43" i="7"/>
  <c r="H147" i="7"/>
  <c r="Q147" i="7" s="1"/>
  <c r="H131" i="7"/>
  <c r="Q131" i="7" s="1"/>
  <c r="H115" i="7"/>
  <c r="Q115" i="7" s="1"/>
  <c r="H99" i="7"/>
  <c r="Q99" i="7" s="1"/>
  <c r="H82" i="7"/>
  <c r="Q82" i="7" s="1"/>
  <c r="H64" i="7"/>
  <c r="Q64" i="7" s="1"/>
  <c r="Q31" i="7"/>
  <c r="H47" i="7"/>
  <c r="Q47" i="7" s="1"/>
  <c r="A96" i="7"/>
  <c r="J95" i="7"/>
  <c r="H153" i="7"/>
  <c r="Q153" i="7" s="1"/>
  <c r="H137" i="7"/>
  <c r="Q137" i="7" s="1"/>
  <c r="H70" i="7"/>
  <c r="Q70" i="7" s="1"/>
  <c r="H121" i="7"/>
  <c r="Q121" i="7" s="1"/>
  <c r="H88" i="7"/>
  <c r="Q88" i="7" s="1"/>
  <c r="Q37" i="7"/>
  <c r="H53" i="7"/>
  <c r="Q53" i="7" s="1"/>
  <c r="A175" i="7"/>
  <c r="J174" i="7"/>
  <c r="M161" i="7"/>
  <c r="O161" i="7"/>
  <c r="D127" i="7"/>
  <c r="F127" i="7" s="1"/>
  <c r="Q127" i="7"/>
  <c r="M127" i="7" s="1"/>
  <c r="O127" i="7" s="1"/>
  <c r="D161" i="7"/>
  <c r="F161" i="7"/>
  <c r="H179" i="7"/>
  <c r="Q178" i="7"/>
  <c r="M43" i="7"/>
  <c r="O43" i="7" s="1"/>
  <c r="F27" i="7"/>
  <c r="M61" i="7"/>
  <c r="O61" i="7"/>
  <c r="H150" i="7"/>
  <c r="Q150" i="7" s="1"/>
  <c r="H134" i="7"/>
  <c r="Q134" i="7" s="1"/>
  <c r="H118" i="7"/>
  <c r="Q118" i="7" s="1"/>
  <c r="H102" i="7"/>
  <c r="Q102" i="7" s="1"/>
  <c r="H67" i="7"/>
  <c r="Q67" i="7" s="1"/>
  <c r="H85" i="7"/>
  <c r="Q85" i="7" s="1"/>
  <c r="Q34" i="7"/>
  <c r="H50" i="7"/>
  <c r="Q50" i="7" s="1"/>
  <c r="F42" i="7"/>
  <c r="C5" i="7"/>
  <c r="A159" i="7"/>
  <c r="J158" i="7"/>
  <c r="O27" i="7"/>
  <c r="M27" i="7"/>
  <c r="A143" i="7"/>
  <c r="J142" i="7"/>
  <c r="J77" i="7"/>
  <c r="A78" i="7"/>
  <c r="L5" i="7"/>
  <c r="A29" i="7"/>
  <c r="J29" i="7" s="1"/>
  <c r="J8" i="7"/>
  <c r="A9" i="7"/>
  <c r="A112" i="7"/>
  <c r="J111" i="7"/>
  <c r="A128" i="7"/>
  <c r="J127" i="7"/>
  <c r="D176" i="7"/>
  <c r="F176" i="7" s="1"/>
  <c r="D95" i="7"/>
  <c r="F95" i="7" s="1"/>
  <c r="H144" i="7"/>
  <c r="Q144" i="7" s="1"/>
  <c r="H128" i="7"/>
  <c r="Q128" i="7" s="1"/>
  <c r="H112" i="7"/>
  <c r="Q112" i="7" s="1"/>
  <c r="M112" i="7" s="1"/>
  <c r="O112" i="7" s="1"/>
  <c r="H96" i="7"/>
  <c r="Q96" i="7" s="1"/>
  <c r="M96" i="7" s="1"/>
  <c r="O96" i="7" s="1"/>
  <c r="H79" i="7"/>
  <c r="Q79" i="7" s="1"/>
  <c r="H61" i="7"/>
  <c r="Q61" i="7" s="1"/>
  <c r="Q28" i="7"/>
  <c r="H44" i="7"/>
  <c r="Q44" i="7" s="1"/>
  <c r="D78" i="7"/>
  <c r="F78" i="7" s="1"/>
  <c r="J60" i="7"/>
  <c r="A61" i="7"/>
  <c r="D143" i="7"/>
  <c r="F143" i="7" s="1"/>
  <c r="T9" i="1"/>
  <c r="M44" i="7" l="1"/>
  <c r="O44" i="7" s="1"/>
  <c r="D177" i="7"/>
  <c r="F177" i="7" s="1"/>
  <c r="M177" i="7"/>
  <c r="O177" i="7" s="1"/>
  <c r="M97" i="7"/>
  <c r="O97" i="7" s="1"/>
  <c r="M80" i="7"/>
  <c r="O80" i="7" s="1"/>
  <c r="M145" i="7"/>
  <c r="O145" i="7" s="1"/>
  <c r="M113" i="7"/>
  <c r="O113" i="7"/>
  <c r="D62" i="7"/>
  <c r="F62" i="7" s="1"/>
  <c r="D144" i="7"/>
  <c r="F144" i="7" s="1"/>
  <c r="A129" i="7"/>
  <c r="J128" i="7"/>
  <c r="D162" i="7"/>
  <c r="F162" i="7"/>
  <c r="J61" i="7"/>
  <c r="A62" i="7"/>
  <c r="A97" i="7"/>
  <c r="J96" i="7"/>
  <c r="A113" i="7"/>
  <c r="J112" i="7"/>
  <c r="M128" i="7"/>
  <c r="O128" i="7" s="1"/>
  <c r="D79" i="7"/>
  <c r="F79" i="7" s="1"/>
  <c r="J9" i="7"/>
  <c r="A30" i="7"/>
  <c r="J30" i="7" s="1"/>
  <c r="A10" i="7"/>
  <c r="L6" i="7"/>
  <c r="Q6" i="7" s="1"/>
  <c r="D28" i="7"/>
  <c r="D128" i="7"/>
  <c r="F128" i="7" s="1"/>
  <c r="A45" i="7"/>
  <c r="J44" i="7"/>
  <c r="D43" i="7"/>
  <c r="C6" i="7" s="1"/>
  <c r="H6" i="7" s="1"/>
  <c r="M62" i="7"/>
  <c r="O62" i="7"/>
  <c r="Q5" i="7"/>
  <c r="A160" i="7"/>
  <c r="J159" i="7"/>
  <c r="D112" i="7"/>
  <c r="F112" i="7" s="1"/>
  <c r="A176" i="7"/>
  <c r="J175" i="7"/>
  <c r="A144" i="7"/>
  <c r="J143" i="7"/>
  <c r="D96" i="7"/>
  <c r="F96" i="7" s="1"/>
  <c r="M28" i="7"/>
  <c r="M162" i="7"/>
  <c r="O162" i="7"/>
  <c r="J78" i="7"/>
  <c r="A79" i="7"/>
  <c r="H5" i="7"/>
  <c r="H180" i="7"/>
  <c r="Q179" i="7"/>
  <c r="K21" i="2"/>
  <c r="M45" i="7" l="1"/>
  <c r="O45" i="7" s="1"/>
  <c r="D97" i="7"/>
  <c r="F97" i="7" s="1"/>
  <c r="D178" i="7"/>
  <c r="F178" i="7" s="1"/>
  <c r="M146" i="7"/>
  <c r="O146" i="7" s="1"/>
  <c r="M81" i="7"/>
  <c r="O81" i="7" s="1"/>
  <c r="M98" i="7"/>
  <c r="O98" i="7" s="1"/>
  <c r="D145" i="7"/>
  <c r="F145" i="7" s="1"/>
  <c r="D63" i="7"/>
  <c r="F63" i="7" s="1"/>
  <c r="D80" i="7"/>
  <c r="F80" i="7" s="1"/>
  <c r="M129" i="7"/>
  <c r="O129" i="7" s="1"/>
  <c r="D129" i="7"/>
  <c r="F129" i="7" s="1"/>
  <c r="M178" i="7"/>
  <c r="O178" i="7" s="1"/>
  <c r="A46" i="7"/>
  <c r="J45" i="7"/>
  <c r="A98" i="7"/>
  <c r="J97" i="7"/>
  <c r="J79" i="7"/>
  <c r="A80" i="7"/>
  <c r="J62" i="7"/>
  <c r="A63" i="7"/>
  <c r="A145" i="7"/>
  <c r="J144" i="7"/>
  <c r="A161" i="7"/>
  <c r="J160" i="7"/>
  <c r="D163" i="7"/>
  <c r="F163" i="7" s="1"/>
  <c r="M114" i="7"/>
  <c r="O114" i="7" s="1"/>
  <c r="A177" i="7"/>
  <c r="J176" i="7"/>
  <c r="H181" i="7"/>
  <c r="Q180" i="7"/>
  <c r="F113" i="7"/>
  <c r="D113" i="7"/>
  <c r="M163" i="7"/>
  <c r="O163" i="7"/>
  <c r="M63" i="7"/>
  <c r="O63" i="7" s="1"/>
  <c r="F28" i="7"/>
  <c r="L7" i="7"/>
  <c r="O28" i="7"/>
  <c r="F43" i="7"/>
  <c r="J10" i="7"/>
  <c r="A31" i="7"/>
  <c r="J31" i="7" s="1"/>
  <c r="A11" i="7"/>
  <c r="A114" i="7"/>
  <c r="J113" i="7"/>
  <c r="A130" i="7"/>
  <c r="J129" i="7"/>
  <c r="K92" i="3"/>
  <c r="M115" i="7" l="1"/>
  <c r="O115" i="7"/>
  <c r="M46" i="7"/>
  <c r="O46" i="7" s="1"/>
  <c r="D98" i="7"/>
  <c r="F98" i="7" s="1"/>
  <c r="D81" i="7"/>
  <c r="F81" i="7"/>
  <c r="D146" i="7"/>
  <c r="F146" i="7" s="1"/>
  <c r="M99" i="7"/>
  <c r="O99" i="7" s="1"/>
  <c r="M82" i="7"/>
  <c r="O82" i="7" s="1"/>
  <c r="M179" i="7"/>
  <c r="O179" i="7" s="1"/>
  <c r="M147" i="7"/>
  <c r="O147" i="7" s="1"/>
  <c r="M130" i="7"/>
  <c r="O130" i="7" s="1"/>
  <c r="D164" i="7"/>
  <c r="F164" i="7"/>
  <c r="D64" i="7"/>
  <c r="F64" i="7" s="1"/>
  <c r="M64" i="7"/>
  <c r="O64" i="7"/>
  <c r="D130" i="7"/>
  <c r="F130" i="7" s="1"/>
  <c r="D179" i="7"/>
  <c r="F179" i="7" s="1"/>
  <c r="A178" i="7"/>
  <c r="J177" i="7"/>
  <c r="A146" i="7"/>
  <c r="J145" i="7"/>
  <c r="D44" i="7"/>
  <c r="C7" i="7" s="1"/>
  <c r="M29" i="7"/>
  <c r="L8" i="7" s="1"/>
  <c r="M164" i="7"/>
  <c r="O164" i="7"/>
  <c r="D29" i="7"/>
  <c r="H182" i="7"/>
  <c r="Q181" i="7"/>
  <c r="A47" i="7"/>
  <c r="J46" i="7"/>
  <c r="J63" i="7"/>
  <c r="A64" i="7"/>
  <c r="A131" i="7"/>
  <c r="J130" i="7"/>
  <c r="D114" i="7"/>
  <c r="F114" i="7" s="1"/>
  <c r="A81" i="7"/>
  <c r="J80" i="7"/>
  <c r="Q7" i="7"/>
  <c r="L17" i="7"/>
  <c r="Q17" i="7" s="1"/>
  <c r="A115" i="7"/>
  <c r="J114" i="7"/>
  <c r="J11" i="7"/>
  <c r="A32" i="7"/>
  <c r="J32" i="7" s="1"/>
  <c r="A12" i="7"/>
  <c r="A162" i="7"/>
  <c r="J161" i="7"/>
  <c r="A99" i="7"/>
  <c r="J98" i="7"/>
  <c r="G21" i="1"/>
  <c r="H21" i="1"/>
  <c r="I21" i="1"/>
  <c r="G40" i="1"/>
  <c r="H40" i="1"/>
  <c r="I40" i="1"/>
  <c r="O83" i="7" l="1"/>
  <c r="M83" i="7"/>
  <c r="D147" i="7"/>
  <c r="F147" i="7" s="1"/>
  <c r="F99" i="7"/>
  <c r="D99" i="7"/>
  <c r="D65" i="7"/>
  <c r="F65" i="7" s="1"/>
  <c r="F115" i="7"/>
  <c r="D115" i="7"/>
  <c r="M47" i="7"/>
  <c r="O47" i="7" s="1"/>
  <c r="O100" i="7"/>
  <c r="M100" i="7"/>
  <c r="M131" i="7"/>
  <c r="O131" i="7" s="1"/>
  <c r="F180" i="7"/>
  <c r="D180" i="7"/>
  <c r="M148" i="7"/>
  <c r="O148" i="7" s="1"/>
  <c r="D131" i="7"/>
  <c r="F131" i="7" s="1"/>
  <c r="M180" i="7"/>
  <c r="O180" i="7" s="1"/>
  <c r="A116" i="7"/>
  <c r="J115" i="7"/>
  <c r="M65" i="7"/>
  <c r="O65" i="7"/>
  <c r="A132" i="7"/>
  <c r="J131" i="7"/>
  <c r="A147" i="7"/>
  <c r="J146" i="7"/>
  <c r="J64" i="7"/>
  <c r="A65" i="7"/>
  <c r="M165" i="7"/>
  <c r="O165" i="7"/>
  <c r="D82" i="7"/>
  <c r="F82" i="7" s="1"/>
  <c r="A163" i="7"/>
  <c r="J162" i="7"/>
  <c r="A179" i="7"/>
  <c r="J178" i="7"/>
  <c r="A82" i="7"/>
  <c r="J81" i="7"/>
  <c r="O29" i="7"/>
  <c r="M116" i="7"/>
  <c r="O116" i="7" s="1"/>
  <c r="A100" i="7"/>
  <c r="J99" i="7"/>
  <c r="F29" i="7"/>
  <c r="J12" i="7"/>
  <c r="A33" i="7"/>
  <c r="J33" i="7" s="1"/>
  <c r="A13" i="7"/>
  <c r="Q8" i="7"/>
  <c r="D165" i="7"/>
  <c r="F165" i="7" s="1"/>
  <c r="A48" i="7"/>
  <c r="J47" i="7"/>
  <c r="H7" i="7"/>
  <c r="C17" i="7"/>
  <c r="H17" i="7" s="1"/>
  <c r="H183" i="7"/>
  <c r="Q182" i="7"/>
  <c r="F44" i="7"/>
  <c r="E6" i="1"/>
  <c r="O181" i="7" l="1"/>
  <c r="M181" i="7"/>
  <c r="M149" i="7"/>
  <c r="O149" i="7" s="1"/>
  <c r="F132" i="7"/>
  <c r="D132" i="7"/>
  <c r="D66" i="7"/>
  <c r="F66" i="7" s="1"/>
  <c r="O48" i="7"/>
  <c r="M48" i="7"/>
  <c r="D166" i="7"/>
  <c r="F166" i="7" s="1"/>
  <c r="M117" i="7"/>
  <c r="O117" i="7" s="1"/>
  <c r="D83" i="7"/>
  <c r="F83" i="7" s="1"/>
  <c r="O132" i="7"/>
  <c r="M132" i="7"/>
  <c r="D148" i="7"/>
  <c r="F148" i="7" s="1"/>
  <c r="D181" i="7"/>
  <c r="F181" i="7" s="1"/>
  <c r="A164" i="7"/>
  <c r="J163" i="7"/>
  <c r="A148" i="7"/>
  <c r="J147" i="7"/>
  <c r="A101" i="7"/>
  <c r="J100" i="7"/>
  <c r="A117" i="7"/>
  <c r="J116" i="7"/>
  <c r="H184" i="7"/>
  <c r="Q183" i="7"/>
  <c r="A133" i="7"/>
  <c r="J132" i="7"/>
  <c r="M166" i="7"/>
  <c r="O166" i="7" s="1"/>
  <c r="M66" i="7"/>
  <c r="O66" i="7" s="1"/>
  <c r="A180" i="7"/>
  <c r="J179" i="7"/>
  <c r="F116" i="7"/>
  <c r="D116" i="7"/>
  <c r="J13" i="7"/>
  <c r="A34" i="7"/>
  <c r="J34" i="7" s="1"/>
  <c r="A14" i="7"/>
  <c r="M30" i="7"/>
  <c r="L9" i="7" s="1"/>
  <c r="D100" i="7"/>
  <c r="F100" i="7" s="1"/>
  <c r="A49" i="7"/>
  <c r="J48" i="7"/>
  <c r="D30" i="7"/>
  <c r="A83" i="7"/>
  <c r="J82" i="7"/>
  <c r="M84" i="7"/>
  <c r="O84" i="7"/>
  <c r="M101" i="7"/>
  <c r="O101" i="7"/>
  <c r="D45" i="7"/>
  <c r="C8" i="7" s="1"/>
  <c r="J65" i="7"/>
  <c r="A66" i="7"/>
  <c r="K96" i="3"/>
  <c r="D149" i="7" l="1"/>
  <c r="F149" i="7" s="1"/>
  <c r="D101" i="7"/>
  <c r="F101" i="7" s="1"/>
  <c r="D67" i="7"/>
  <c r="F67" i="7" s="1"/>
  <c r="M167" i="7"/>
  <c r="O167" i="7"/>
  <c r="D84" i="7"/>
  <c r="F84" i="7" s="1"/>
  <c r="M118" i="7"/>
  <c r="O118" i="7" s="1"/>
  <c r="D182" i="7"/>
  <c r="F182" i="7" s="1"/>
  <c r="M67" i="7"/>
  <c r="O67" i="7" s="1"/>
  <c r="M150" i="7"/>
  <c r="O150" i="7" s="1"/>
  <c r="D167" i="7"/>
  <c r="F167" i="7"/>
  <c r="M182" i="7"/>
  <c r="O182" i="7" s="1"/>
  <c r="Q9" i="7"/>
  <c r="A181" i="7"/>
  <c r="J180" i="7"/>
  <c r="H185" i="7"/>
  <c r="Q185" i="7" s="1"/>
  <c r="Q184" i="7"/>
  <c r="A165" i="7"/>
  <c r="J164" i="7"/>
  <c r="A134" i="7"/>
  <c r="J133" i="7"/>
  <c r="J66" i="7"/>
  <c r="A67" i="7"/>
  <c r="A84" i="7"/>
  <c r="J83" i="7"/>
  <c r="O30" i="7"/>
  <c r="M133" i="7"/>
  <c r="O133" i="7" s="1"/>
  <c r="A118" i="7"/>
  <c r="J117" i="7"/>
  <c r="F30" i="7"/>
  <c r="D117" i="7"/>
  <c r="F117" i="7" s="1"/>
  <c r="A149" i="7"/>
  <c r="J148" i="7"/>
  <c r="H8" i="7"/>
  <c r="M102" i="7"/>
  <c r="O102" i="7" s="1"/>
  <c r="M85" i="7"/>
  <c r="O85" i="7" s="1"/>
  <c r="O49" i="7"/>
  <c r="M49" i="7"/>
  <c r="J14" i="7"/>
  <c r="A35" i="7"/>
  <c r="J35" i="7" s="1"/>
  <c r="A15" i="7"/>
  <c r="D133" i="7"/>
  <c r="F133" i="7" s="1"/>
  <c r="F45" i="7"/>
  <c r="A102" i="7"/>
  <c r="J101" i="7"/>
  <c r="A50" i="7"/>
  <c r="J49" i="7"/>
  <c r="K94" i="3"/>
  <c r="F62" i="3"/>
  <c r="F66" i="3"/>
  <c r="F19" i="2"/>
  <c r="E19" i="2"/>
  <c r="E18" i="2"/>
  <c r="F18" i="2"/>
  <c r="D19" i="2"/>
  <c r="D85" i="7" l="1"/>
  <c r="F85" i="7" s="1"/>
  <c r="M183" i="7"/>
  <c r="O183" i="7" s="1"/>
  <c r="M134" i="7"/>
  <c r="O134" i="7" s="1"/>
  <c r="M119" i="7"/>
  <c r="D68" i="7"/>
  <c r="F68" i="7" s="1"/>
  <c r="D183" i="7"/>
  <c r="F183" i="7" s="1"/>
  <c r="D102" i="7"/>
  <c r="F102" i="7" s="1"/>
  <c r="D118" i="7"/>
  <c r="F118" i="7" s="1"/>
  <c r="M86" i="7"/>
  <c r="O86" i="7" s="1"/>
  <c r="M103" i="7"/>
  <c r="D134" i="7"/>
  <c r="F134" i="7" s="1"/>
  <c r="M151" i="7"/>
  <c r="M68" i="7"/>
  <c r="O68" i="7" s="1"/>
  <c r="D150" i="7"/>
  <c r="F150" i="7" s="1"/>
  <c r="A103" i="7"/>
  <c r="J102" i="7"/>
  <c r="A135" i="7"/>
  <c r="J134" i="7"/>
  <c r="M50" i="7"/>
  <c r="O50" i="7" s="1"/>
  <c r="J84" i="7"/>
  <c r="A85" i="7"/>
  <c r="D168" i="7"/>
  <c r="F168" i="7"/>
  <c r="D46" i="7"/>
  <c r="C9" i="7" s="1"/>
  <c r="J15" i="7"/>
  <c r="A36" i="7"/>
  <c r="J36" i="7" s="1"/>
  <c r="A16" i="7"/>
  <c r="A68" i="7"/>
  <c r="J67" i="7"/>
  <c r="A150" i="7"/>
  <c r="J149" i="7"/>
  <c r="A166" i="7"/>
  <c r="J165" i="7"/>
  <c r="D31" i="7"/>
  <c r="A51" i="7"/>
  <c r="J50" i="7"/>
  <c r="A119" i="7"/>
  <c r="J118" i="7"/>
  <c r="A182" i="7"/>
  <c r="J181" i="7"/>
  <c r="M168" i="7"/>
  <c r="O168" i="7" s="1"/>
  <c r="M31" i="7"/>
  <c r="L10" i="7" s="1"/>
  <c r="F67" i="3"/>
  <c r="E40" i="1"/>
  <c r="F40" i="1"/>
  <c r="D40" i="1"/>
  <c r="E21" i="1"/>
  <c r="F21" i="1"/>
  <c r="D21" i="1"/>
  <c r="C69" i="7" l="1"/>
  <c r="D119" i="7"/>
  <c r="L69" i="7"/>
  <c r="D103" i="7"/>
  <c r="M51" i="7"/>
  <c r="O51" i="7" s="1"/>
  <c r="M135" i="7"/>
  <c r="D151" i="7"/>
  <c r="D135" i="7"/>
  <c r="D184" i="7"/>
  <c r="F184" i="7" s="1"/>
  <c r="M184" i="7"/>
  <c r="O184" i="7" s="1"/>
  <c r="M169" i="7"/>
  <c r="O169" i="7" s="1"/>
  <c r="L87" i="7"/>
  <c r="M87" i="7"/>
  <c r="O87" i="7" s="1"/>
  <c r="F86" i="7"/>
  <c r="D86" i="7"/>
  <c r="F46" i="7"/>
  <c r="A136" i="7"/>
  <c r="J135" i="7"/>
  <c r="A183" i="7"/>
  <c r="J182" i="7"/>
  <c r="A120" i="7"/>
  <c r="J119" i="7"/>
  <c r="Q10" i="7"/>
  <c r="L18" i="7"/>
  <c r="Q18" i="7" s="1"/>
  <c r="A69" i="7"/>
  <c r="J68" i="7"/>
  <c r="H9" i="7"/>
  <c r="A104" i="7"/>
  <c r="J103" i="7"/>
  <c r="A52" i="7"/>
  <c r="J51" i="7"/>
  <c r="J16" i="7"/>
  <c r="A37" i="7"/>
  <c r="J37" i="7" s="1"/>
  <c r="A167" i="7"/>
  <c r="J166" i="7"/>
  <c r="A151" i="7"/>
  <c r="J150" i="7"/>
  <c r="F31" i="7"/>
  <c r="D169" i="7"/>
  <c r="F169" i="7"/>
  <c r="O31" i="7"/>
  <c r="A86" i="7"/>
  <c r="J85" i="7"/>
  <c r="F188" i="3"/>
  <c r="F86" i="3"/>
  <c r="M88" i="7" l="1"/>
  <c r="O88" i="7" s="1"/>
  <c r="M185" i="7"/>
  <c r="O185" i="7" s="1"/>
  <c r="M52" i="7"/>
  <c r="O52" i="7" s="1"/>
  <c r="D185" i="7"/>
  <c r="F185" i="7" s="1"/>
  <c r="A168" i="7"/>
  <c r="J167" i="7"/>
  <c r="M32" i="7"/>
  <c r="L11" i="7" s="1"/>
  <c r="O32" i="7"/>
  <c r="A121" i="7"/>
  <c r="J121" i="7" s="1"/>
  <c r="J120" i="7"/>
  <c r="A184" i="7"/>
  <c r="J183" i="7"/>
  <c r="L119" i="7"/>
  <c r="O119" i="7" s="1"/>
  <c r="L151" i="7"/>
  <c r="O151" i="7" s="1"/>
  <c r="A70" i="7"/>
  <c r="J70" i="7" s="1"/>
  <c r="J69" i="7"/>
  <c r="C135" i="7"/>
  <c r="F135" i="7" s="1"/>
  <c r="C103" i="7"/>
  <c r="F103" i="7" s="1"/>
  <c r="J136" i="7"/>
  <c r="A137" i="7"/>
  <c r="J137" i="7" s="1"/>
  <c r="F69" i="7"/>
  <c r="A87" i="7"/>
  <c r="J86" i="7"/>
  <c r="C87" i="7"/>
  <c r="A152" i="7"/>
  <c r="J151" i="7"/>
  <c r="D47" i="7"/>
  <c r="C10" i="7" s="1"/>
  <c r="L135" i="7"/>
  <c r="O135" i="7" s="1"/>
  <c r="L103" i="7"/>
  <c r="O103" i="7" s="1"/>
  <c r="D32" i="7"/>
  <c r="A53" i="7"/>
  <c r="J53" i="7" s="1"/>
  <c r="J52" i="7"/>
  <c r="A105" i="7"/>
  <c r="J105" i="7" s="1"/>
  <c r="J104" i="7"/>
  <c r="O69" i="7"/>
  <c r="F77" i="3"/>
  <c r="F73" i="3"/>
  <c r="F9" i="3"/>
  <c r="M53" i="7" l="1"/>
  <c r="O53" i="7" s="1"/>
  <c r="A185" i="7"/>
  <c r="J185" i="7" s="1"/>
  <c r="J184" i="7"/>
  <c r="O70" i="7"/>
  <c r="M70" i="7"/>
  <c r="J152" i="7"/>
  <c r="A153" i="7"/>
  <c r="J153" i="7" s="1"/>
  <c r="C119" i="7"/>
  <c r="F119" i="7" s="1"/>
  <c r="C151" i="7"/>
  <c r="F151" i="7" s="1"/>
  <c r="M136" i="7"/>
  <c r="O136" i="7" s="1"/>
  <c r="L104" i="7"/>
  <c r="O104" i="7" s="1"/>
  <c r="L136" i="7"/>
  <c r="H10" i="7"/>
  <c r="H18" i="7" s="1"/>
  <c r="C18" i="7"/>
  <c r="D87" i="7"/>
  <c r="F87" i="7" s="1"/>
  <c r="F32" i="7"/>
  <c r="D136" i="7"/>
  <c r="F136" i="7" s="1"/>
  <c r="C136" i="7"/>
  <c r="C104" i="7"/>
  <c r="D104" i="7" s="1"/>
  <c r="F47" i="7"/>
  <c r="M33" i="7"/>
  <c r="L12" i="7" s="1"/>
  <c r="Q12" i="7" s="1"/>
  <c r="O33" i="7"/>
  <c r="M104" i="7"/>
  <c r="A88" i="7"/>
  <c r="J88" i="7" s="1"/>
  <c r="J87" i="7"/>
  <c r="Q11" i="7"/>
  <c r="F70" i="7"/>
  <c r="D70" i="7"/>
  <c r="M152" i="7"/>
  <c r="O152" i="7" s="1"/>
  <c r="L152" i="7"/>
  <c r="L120" i="7"/>
  <c r="A169" i="7"/>
  <c r="J169" i="7" s="1"/>
  <c r="J168" i="7"/>
  <c r="F78" i="3"/>
  <c r="M137" i="7" l="1"/>
  <c r="O137" i="7" s="1"/>
  <c r="M153" i="7"/>
  <c r="O153" i="7" s="1"/>
  <c r="M105" i="7"/>
  <c r="O105" i="7" s="1"/>
  <c r="F137" i="7"/>
  <c r="D137" i="7"/>
  <c r="D33" i="7"/>
  <c r="D88" i="7"/>
  <c r="F88" i="7"/>
  <c r="D152" i="7"/>
  <c r="F152" i="7"/>
  <c r="D120" i="7"/>
  <c r="C152" i="7"/>
  <c r="C120" i="7"/>
  <c r="F120" i="7" s="1"/>
  <c r="F104" i="7"/>
  <c r="M120" i="7"/>
  <c r="O120" i="7" s="1"/>
  <c r="M34" i="7"/>
  <c r="L13" i="7" s="1"/>
  <c r="Q13" i="7" s="1"/>
  <c r="O34" i="7"/>
  <c r="D48" i="7"/>
  <c r="C11" i="7" s="1"/>
  <c r="K98" i="3"/>
  <c r="K97" i="3"/>
  <c r="K93" i="3"/>
  <c r="M121" i="7" l="1"/>
  <c r="O121" i="7" s="1"/>
  <c r="D121" i="7"/>
  <c r="F121" i="7" s="1"/>
  <c r="M35" i="7"/>
  <c r="L14" i="7" s="1"/>
  <c r="D153" i="7"/>
  <c r="F153" i="7" s="1"/>
  <c r="D105" i="7"/>
  <c r="F105" i="7" s="1"/>
  <c r="H11" i="7"/>
  <c r="F33" i="7"/>
  <c r="L19" i="7"/>
  <c r="Q19" i="7" s="1"/>
  <c r="F48" i="7"/>
  <c r="F160" i="3"/>
  <c r="F164" i="3"/>
  <c r="D49" i="7" l="1"/>
  <c r="C12" i="7" s="1"/>
  <c r="Q14" i="7"/>
  <c r="D34" i="7"/>
  <c r="F34" i="7" s="1"/>
  <c r="O35" i="7"/>
  <c r="F165" i="3"/>
  <c r="D35" i="7" l="1"/>
  <c r="M36" i="7"/>
  <c r="L15" i="7" s="1"/>
  <c r="H12" i="7"/>
  <c r="F49" i="7"/>
  <c r="G17" i="1"/>
  <c r="D50" i="7" l="1"/>
  <c r="C13" i="7" s="1"/>
  <c r="Q15" i="7"/>
  <c r="O36" i="7"/>
  <c r="F35" i="7"/>
  <c r="F197" i="3"/>
  <c r="F193" i="3"/>
  <c r="F184" i="3"/>
  <c r="F189" i="3" s="1"/>
  <c r="F179" i="3"/>
  <c r="F175" i="3"/>
  <c r="F155" i="3"/>
  <c r="F151" i="3"/>
  <c r="F142" i="3"/>
  <c r="F138" i="3"/>
  <c r="F134" i="3"/>
  <c r="F130" i="3"/>
  <c r="F122" i="3"/>
  <c r="F118" i="3"/>
  <c r="F114" i="3"/>
  <c r="F110" i="3"/>
  <c r="F99" i="3"/>
  <c r="F95" i="3"/>
  <c r="F82" i="3"/>
  <c r="F87" i="3" s="1"/>
  <c r="F57" i="3"/>
  <c r="F53" i="3"/>
  <c r="F44" i="3"/>
  <c r="F40" i="3"/>
  <c r="F35" i="3"/>
  <c r="F31" i="3"/>
  <c r="F36" i="3" s="1"/>
  <c r="F22" i="3"/>
  <c r="F18" i="3"/>
  <c r="F13" i="3"/>
  <c r="D36" i="7" l="1"/>
  <c r="M37" i="7"/>
  <c r="L16" i="7" s="1"/>
  <c r="H13" i="7"/>
  <c r="C19" i="7"/>
  <c r="H19" i="7" s="1"/>
  <c r="F50" i="7"/>
  <c r="F45" i="3"/>
  <c r="F156" i="3"/>
  <c r="F23" i="3"/>
  <c r="F100" i="3"/>
  <c r="F180" i="3"/>
  <c r="F58" i="3"/>
  <c r="F14" i="3"/>
  <c r="D51" i="7" l="1"/>
  <c r="C14" i="7" s="1"/>
  <c r="Q16" i="7"/>
  <c r="L21" i="7"/>
  <c r="Q21" i="7" s="1"/>
  <c r="L20" i="7"/>
  <c r="Q20" i="7" s="1"/>
  <c r="O37" i="7"/>
  <c r="F36" i="7"/>
  <c r="E11" i="1"/>
  <c r="D37" i="7" l="1"/>
  <c r="H14" i="7"/>
  <c r="F51" i="7"/>
  <c r="C23" i="2"/>
  <c r="C40" i="2"/>
  <c r="D52" i="7" l="1"/>
  <c r="C15" i="7" s="1"/>
  <c r="F37" i="7"/>
  <c r="S9" i="1"/>
  <c r="H15" i="7" l="1"/>
  <c r="F52" i="7"/>
  <c r="C42" i="2"/>
  <c r="G37" i="2"/>
  <c r="D37" i="2"/>
  <c r="C35" i="2"/>
  <c r="O33" i="2"/>
  <c r="O34" i="2" s="1"/>
  <c r="N33" i="2"/>
  <c r="N34" i="2" s="1"/>
  <c r="M33" i="2"/>
  <c r="L33" i="2"/>
  <c r="L34" i="2" s="1"/>
  <c r="K33" i="2"/>
  <c r="J33" i="2"/>
  <c r="I33" i="2"/>
  <c r="I34" i="2" s="1"/>
  <c r="H33" i="2"/>
  <c r="H34" i="2" s="1"/>
  <c r="G33" i="2"/>
  <c r="G34" i="2" s="1"/>
  <c r="F33" i="2"/>
  <c r="F34" i="2" s="1"/>
  <c r="E33" i="2"/>
  <c r="E34" i="2" s="1"/>
  <c r="D33" i="2"/>
  <c r="D34" i="2" s="1"/>
  <c r="C33" i="2"/>
  <c r="O28" i="2"/>
  <c r="N28" i="2"/>
  <c r="M28" i="2"/>
  <c r="L28" i="2"/>
  <c r="K28" i="2"/>
  <c r="J28" i="2"/>
  <c r="I28" i="2"/>
  <c r="H28" i="2"/>
  <c r="G28" i="2"/>
  <c r="F28" i="2"/>
  <c r="E28" i="2"/>
  <c r="C28" i="2"/>
  <c r="D28" i="2"/>
  <c r="D35" i="2" s="1"/>
  <c r="T26" i="2"/>
  <c r="S26" i="2"/>
  <c r="R26" i="2"/>
  <c r="Q26" i="2"/>
  <c r="P26" i="2"/>
  <c r="H20" i="2"/>
  <c r="H37" i="2" s="1"/>
  <c r="E20" i="2"/>
  <c r="O16" i="2"/>
  <c r="N16" i="2"/>
  <c r="N17" i="2" s="1"/>
  <c r="M16" i="2"/>
  <c r="M17" i="2" s="1"/>
  <c r="L16" i="2"/>
  <c r="K16" i="2"/>
  <c r="K17" i="2" s="1"/>
  <c r="J16" i="2"/>
  <c r="J17" i="2" s="1"/>
  <c r="I16" i="2"/>
  <c r="I17" i="2" s="1"/>
  <c r="H16" i="2"/>
  <c r="G16" i="2"/>
  <c r="G17" i="2" s="1"/>
  <c r="F16" i="2"/>
  <c r="F17" i="2" s="1"/>
  <c r="E16" i="2"/>
  <c r="E17" i="2" s="1"/>
  <c r="D16" i="2"/>
  <c r="C16" i="2"/>
  <c r="O11" i="2"/>
  <c r="N11" i="2"/>
  <c r="M11" i="2"/>
  <c r="L11" i="2"/>
  <c r="L18" i="2" s="1"/>
  <c r="L19" i="2" s="1"/>
  <c r="K11" i="2"/>
  <c r="K18" i="2" s="1"/>
  <c r="K19" i="2" s="1"/>
  <c r="J11" i="2"/>
  <c r="J18" i="2" s="1"/>
  <c r="J19" i="2" s="1"/>
  <c r="I11" i="2"/>
  <c r="H11" i="2"/>
  <c r="H18" i="2" s="1"/>
  <c r="H19" i="2" s="1"/>
  <c r="G11" i="2"/>
  <c r="G18" i="2" s="1"/>
  <c r="G19" i="2" s="1"/>
  <c r="F11" i="2"/>
  <c r="E11" i="2"/>
  <c r="D11" i="2"/>
  <c r="A10" i="2"/>
  <c r="A11" i="2" s="1"/>
  <c r="C18" i="2" s="1"/>
  <c r="S9" i="2"/>
  <c r="R9" i="2"/>
  <c r="Q9" i="2"/>
  <c r="P9" i="2"/>
  <c r="E6" i="2"/>
  <c r="F6" i="2" s="1"/>
  <c r="G6" i="2" s="1"/>
  <c r="H6" i="2" s="1"/>
  <c r="I6" i="2" s="1"/>
  <c r="J6" i="2" s="1"/>
  <c r="K6" i="2" s="1"/>
  <c r="L6" i="2" s="1"/>
  <c r="M6" i="2" s="1"/>
  <c r="N6" i="2" s="1"/>
  <c r="O6" i="2" s="1"/>
  <c r="C46" i="1"/>
  <c r="C44" i="1"/>
  <c r="G41" i="1"/>
  <c r="D41" i="1"/>
  <c r="O36" i="1"/>
  <c r="O37" i="1" s="1"/>
  <c r="O38" i="1" s="1"/>
  <c r="N36" i="1"/>
  <c r="N37" i="1" s="1"/>
  <c r="N38" i="1" s="1"/>
  <c r="M36" i="1"/>
  <c r="M37" i="1" s="1"/>
  <c r="L36" i="1"/>
  <c r="L37" i="1" s="1"/>
  <c r="L38" i="1" s="1"/>
  <c r="K36" i="1"/>
  <c r="K37" i="1" s="1"/>
  <c r="J36" i="1"/>
  <c r="J37" i="1" s="1"/>
  <c r="J38" i="1" s="1"/>
  <c r="I36" i="1"/>
  <c r="I37" i="1" s="1"/>
  <c r="I38" i="1" s="1"/>
  <c r="H36" i="1"/>
  <c r="H37" i="1" s="1"/>
  <c r="H38" i="1" s="1"/>
  <c r="G36" i="1"/>
  <c r="G37" i="1" s="1"/>
  <c r="F36" i="1"/>
  <c r="F37" i="1" s="1"/>
  <c r="F38" i="1" s="1"/>
  <c r="E36" i="1"/>
  <c r="E37" i="1" s="1"/>
  <c r="A33" i="1"/>
  <c r="A34" i="1" s="1"/>
  <c r="O30" i="1"/>
  <c r="N30" i="1"/>
  <c r="M30" i="1"/>
  <c r="L30" i="1"/>
  <c r="K30" i="1"/>
  <c r="J30" i="1"/>
  <c r="I30" i="1"/>
  <c r="H30" i="1"/>
  <c r="G30" i="1"/>
  <c r="F30" i="1"/>
  <c r="E30" i="1"/>
  <c r="A29" i="1"/>
  <c r="A30" i="1" s="1"/>
  <c r="T28" i="1"/>
  <c r="S28" i="1"/>
  <c r="R28" i="1"/>
  <c r="Q28" i="1"/>
  <c r="P28" i="1"/>
  <c r="C25" i="1"/>
  <c r="H22" i="1"/>
  <c r="E22" i="1"/>
  <c r="C18" i="1"/>
  <c r="O17" i="1"/>
  <c r="O18" i="1" s="1"/>
  <c r="O19" i="1" s="1"/>
  <c r="N17" i="1"/>
  <c r="N18" i="1" s="1"/>
  <c r="N19" i="1" s="1"/>
  <c r="M17" i="1"/>
  <c r="M18" i="1" s="1"/>
  <c r="M19" i="1" s="1"/>
  <c r="L17" i="1"/>
  <c r="L18" i="1" s="1"/>
  <c r="L19" i="1" s="1"/>
  <c r="K17" i="1"/>
  <c r="K18" i="1" s="1"/>
  <c r="K19" i="1" s="1"/>
  <c r="J17" i="1"/>
  <c r="J18" i="1" s="1"/>
  <c r="I17" i="1"/>
  <c r="I18" i="1" s="1"/>
  <c r="H17" i="1"/>
  <c r="H18" i="1" s="1"/>
  <c r="H19" i="1" s="1"/>
  <c r="G18" i="1"/>
  <c r="G19" i="1" s="1"/>
  <c r="F17" i="1"/>
  <c r="F18" i="1" s="1"/>
  <c r="F19" i="1" s="1"/>
  <c r="E17" i="1"/>
  <c r="E18" i="1" s="1"/>
  <c r="C17" i="1"/>
  <c r="D17" i="1"/>
  <c r="D18" i="1" s="1"/>
  <c r="O11" i="1"/>
  <c r="N11" i="1"/>
  <c r="M11" i="1"/>
  <c r="L11" i="1"/>
  <c r="K11" i="1"/>
  <c r="J11" i="1"/>
  <c r="I11" i="1"/>
  <c r="H11" i="1"/>
  <c r="G11" i="1"/>
  <c r="F11" i="1"/>
  <c r="A10" i="1"/>
  <c r="A11" i="1" s="1"/>
  <c r="C20" i="1" s="1"/>
  <c r="R9" i="1"/>
  <c r="Q9" i="1"/>
  <c r="P9" i="1"/>
  <c r="F6" i="1"/>
  <c r="G6" i="1" s="1"/>
  <c r="H6" i="1" s="1"/>
  <c r="I6" i="1" s="1"/>
  <c r="J6" i="1" s="1"/>
  <c r="K6" i="1" s="1"/>
  <c r="L6" i="1" s="1"/>
  <c r="M6" i="1" s="1"/>
  <c r="N6" i="1" s="1"/>
  <c r="O6" i="1" s="1"/>
  <c r="D11" i="1"/>
  <c r="D53" i="7" l="1"/>
  <c r="C16" i="7" s="1"/>
  <c r="M18" i="2"/>
  <c r="M19" i="2" s="1"/>
  <c r="N18" i="2"/>
  <c r="N19" i="2" s="1"/>
  <c r="O18" i="2"/>
  <c r="O19" i="2" s="1"/>
  <c r="T11" i="1"/>
  <c r="I18" i="2"/>
  <c r="I19" i="2" s="1"/>
  <c r="D36" i="2"/>
  <c r="R11" i="2"/>
  <c r="R10" i="2" s="1"/>
  <c r="P16" i="2"/>
  <c r="P17" i="2" s="1"/>
  <c r="E35" i="2"/>
  <c r="E36" i="2" s="1"/>
  <c r="S28" i="2"/>
  <c r="S27" i="2" s="1"/>
  <c r="S11" i="2"/>
  <c r="S10" i="2" s="1"/>
  <c r="C11" i="2"/>
  <c r="N35" i="2"/>
  <c r="N36" i="2" s="1"/>
  <c r="D17" i="2"/>
  <c r="L35" i="2"/>
  <c r="L36" i="2" s="1"/>
  <c r="K35" i="2"/>
  <c r="K36" i="2" s="1"/>
  <c r="F35" i="2"/>
  <c r="F36" i="2" s="1"/>
  <c r="P33" i="2"/>
  <c r="P34" i="2" s="1"/>
  <c r="D18" i="2"/>
  <c r="P11" i="2"/>
  <c r="P10" i="2" s="1"/>
  <c r="F20" i="2"/>
  <c r="F37" i="2" s="1"/>
  <c r="E37" i="2"/>
  <c r="T28" i="2"/>
  <c r="T27" i="2" s="1"/>
  <c r="P28" i="2"/>
  <c r="P27" i="2" s="1"/>
  <c r="R33" i="2"/>
  <c r="R34" i="2" s="1"/>
  <c r="J34" i="2"/>
  <c r="J35" i="2"/>
  <c r="J36" i="2" s="1"/>
  <c r="K34" i="2"/>
  <c r="H17" i="2"/>
  <c r="Q28" i="2"/>
  <c r="Q27" i="2" s="1"/>
  <c r="M35" i="2"/>
  <c r="M36" i="2" s="1"/>
  <c r="M34" i="2"/>
  <c r="G35" i="2"/>
  <c r="G36" i="2" s="1"/>
  <c r="Q30" i="1"/>
  <c r="Q29" i="1" s="1"/>
  <c r="C30" i="1"/>
  <c r="E19" i="1"/>
  <c r="E20" i="1"/>
  <c r="M20" i="1"/>
  <c r="M21" i="1" s="1"/>
  <c r="F20" i="1"/>
  <c r="M39" i="1"/>
  <c r="M40" i="1" s="1"/>
  <c r="C11" i="1"/>
  <c r="Q11" i="1"/>
  <c r="Q10" i="1" s="1"/>
  <c r="F39" i="1"/>
  <c r="N39" i="1"/>
  <c r="N40" i="1" s="1"/>
  <c r="O35" i="2"/>
  <c r="O36" i="2" s="1"/>
  <c r="S33" i="2"/>
  <c r="S34" i="2" s="1"/>
  <c r="O17" i="2"/>
  <c r="S16" i="2"/>
  <c r="S17" i="2" s="1"/>
  <c r="N20" i="1"/>
  <c r="N21" i="1" s="1"/>
  <c r="T33" i="2"/>
  <c r="T34" i="2" s="1"/>
  <c r="R28" i="2"/>
  <c r="R27" i="2" s="1"/>
  <c r="L17" i="2"/>
  <c r="R16" i="2"/>
  <c r="R17" i="2" s="1"/>
  <c r="T11" i="2"/>
  <c r="T10" i="2" s="1"/>
  <c r="L39" i="1"/>
  <c r="L40" i="1" s="1"/>
  <c r="L20" i="1"/>
  <c r="L21" i="1" s="1"/>
  <c r="R11" i="1"/>
  <c r="R10" i="1" s="1"/>
  <c r="Q33" i="2"/>
  <c r="Q34" i="2" s="1"/>
  <c r="I35" i="2"/>
  <c r="I36" i="2" s="1"/>
  <c r="H35" i="2"/>
  <c r="H36" i="2" s="1"/>
  <c r="I20" i="2"/>
  <c r="K20" i="2" s="1"/>
  <c r="L20" i="2" s="1"/>
  <c r="T16" i="2"/>
  <c r="T17" i="2" s="1"/>
  <c r="Q16" i="2"/>
  <c r="Q17" i="2" s="1"/>
  <c r="Q11" i="2"/>
  <c r="Q10" i="2" s="1"/>
  <c r="I20" i="1"/>
  <c r="P18" i="1"/>
  <c r="P19" i="1" s="1"/>
  <c r="D19" i="1"/>
  <c r="T18" i="1"/>
  <c r="T19" i="1" s="1"/>
  <c r="Q37" i="1"/>
  <c r="Q38" i="1" s="1"/>
  <c r="G38" i="1"/>
  <c r="J20" i="1"/>
  <c r="J21" i="1" s="1"/>
  <c r="I22" i="1"/>
  <c r="K22" i="1" s="1"/>
  <c r="L22" i="1" s="1"/>
  <c r="H41" i="1"/>
  <c r="J39" i="1"/>
  <c r="J40" i="1" s="1"/>
  <c r="R30" i="1"/>
  <c r="R29" i="1" s="1"/>
  <c r="A35" i="1"/>
  <c r="A36" i="1" s="1"/>
  <c r="A37" i="1" s="1"/>
  <c r="C39" i="1" s="1"/>
  <c r="S11" i="1"/>
  <c r="S10" i="1" s="1"/>
  <c r="Q18" i="1"/>
  <c r="Q19" i="1" s="1"/>
  <c r="I19" i="1"/>
  <c r="H20" i="1"/>
  <c r="E41" i="1"/>
  <c r="F22" i="1"/>
  <c r="F41" i="1" s="1"/>
  <c r="I39" i="1"/>
  <c r="S30" i="1"/>
  <c r="S29" i="1" s="1"/>
  <c r="K38" i="1"/>
  <c r="K39" i="1"/>
  <c r="K40" i="1" s="1"/>
  <c r="R37" i="1"/>
  <c r="R38" i="1" s="1"/>
  <c r="H39" i="1"/>
  <c r="R18" i="1"/>
  <c r="R19" i="1" s="1"/>
  <c r="J19" i="1"/>
  <c r="S18" i="1"/>
  <c r="S19" i="1" s="1"/>
  <c r="G39" i="1"/>
  <c r="O39" i="1"/>
  <c r="E38" i="1"/>
  <c r="E39" i="1"/>
  <c r="M38" i="1"/>
  <c r="S37" i="1"/>
  <c r="S38" i="1" s="1"/>
  <c r="D30" i="1"/>
  <c r="G20" i="1"/>
  <c r="K20" i="1"/>
  <c r="K21" i="1" s="1"/>
  <c r="O20" i="1"/>
  <c r="O21" i="1" s="1"/>
  <c r="D36" i="1"/>
  <c r="D37" i="1" s="1"/>
  <c r="P37" i="1" s="1"/>
  <c r="H16" i="7" l="1"/>
  <c r="C21" i="7"/>
  <c r="H21" i="7" s="1"/>
  <c r="C20" i="7"/>
  <c r="H20" i="7" s="1"/>
  <c r="F53" i="7"/>
  <c r="S39" i="1"/>
  <c r="O40" i="1"/>
  <c r="S40" i="1" s="1"/>
  <c r="P35" i="2"/>
  <c r="N20" i="2"/>
  <c r="O20" i="2" s="1"/>
  <c r="Q18" i="2"/>
  <c r="N22" i="1"/>
  <c r="O22" i="1" s="1"/>
  <c r="M41" i="1"/>
  <c r="R35" i="2"/>
  <c r="R19" i="2"/>
  <c r="Q19" i="2"/>
  <c r="S36" i="2"/>
  <c r="R36" i="2"/>
  <c r="P36" i="2"/>
  <c r="R18" i="2"/>
  <c r="S35" i="2"/>
  <c r="P19" i="2"/>
  <c r="D38" i="2"/>
  <c r="D40" i="2" s="1"/>
  <c r="P18" i="2"/>
  <c r="C37" i="1"/>
  <c r="S20" i="1"/>
  <c r="S18" i="2"/>
  <c r="S19" i="2"/>
  <c r="T18" i="2"/>
  <c r="Q36" i="2"/>
  <c r="T35" i="2"/>
  <c r="Q35" i="2"/>
  <c r="I37" i="2"/>
  <c r="T10" i="1"/>
  <c r="P11" i="1"/>
  <c r="P10" i="1" s="1"/>
  <c r="D20" i="1"/>
  <c r="P38" i="1"/>
  <c r="D38" i="1"/>
  <c r="T37" i="1"/>
  <c r="T38" i="1" s="1"/>
  <c r="C36" i="1"/>
  <c r="R20" i="1"/>
  <c r="S21" i="1"/>
  <c r="T30" i="1"/>
  <c r="T29" i="1" s="1"/>
  <c r="P30" i="1"/>
  <c r="P29" i="1" s="1"/>
  <c r="D39" i="1"/>
  <c r="Q39" i="1"/>
  <c r="R39" i="1"/>
  <c r="I41" i="1"/>
  <c r="Q20" i="1"/>
  <c r="T36" i="2" l="1"/>
  <c r="T19" i="2"/>
  <c r="E38" i="2"/>
  <c r="E39" i="2" s="1"/>
  <c r="D39" i="2"/>
  <c r="D21" i="2"/>
  <c r="R40" i="1"/>
  <c r="J37" i="2"/>
  <c r="Q40" i="1"/>
  <c r="T40" i="1"/>
  <c r="P40" i="1"/>
  <c r="T21" i="1"/>
  <c r="P21" i="1"/>
  <c r="D42" i="1"/>
  <c r="D43" i="1" s="1"/>
  <c r="T39" i="1"/>
  <c r="P39" i="1"/>
  <c r="T20" i="1"/>
  <c r="D23" i="1"/>
  <c r="P20" i="1"/>
  <c r="Q21" i="1"/>
  <c r="J41" i="1"/>
  <c r="R21" i="1"/>
  <c r="D23" i="2" l="1"/>
  <c r="D22" i="2"/>
  <c r="E40" i="2"/>
  <c r="D44" i="1"/>
  <c r="E42" i="1" s="1"/>
  <c r="E43" i="1" s="1"/>
  <c r="K37" i="2"/>
  <c r="K41" i="1"/>
  <c r="D25" i="1"/>
  <c r="D24" i="1"/>
  <c r="F38" i="2" l="1"/>
  <c r="D42" i="2"/>
  <c r="E21" i="2"/>
  <c r="L37" i="2"/>
  <c r="E44" i="1"/>
  <c r="E23" i="1"/>
  <c r="E25" i="1" s="1"/>
  <c r="D46" i="1"/>
  <c r="L41" i="1"/>
  <c r="F39" i="2" l="1"/>
  <c r="P38" i="2"/>
  <c r="P39" i="2" s="1"/>
  <c r="E22" i="2"/>
  <c r="E23" i="2"/>
  <c r="E42" i="2" s="1"/>
  <c r="F40" i="2"/>
  <c r="M37" i="2"/>
  <c r="E46" i="1"/>
  <c r="F23" i="1"/>
  <c r="F24" i="1" s="1"/>
  <c r="F42" i="1"/>
  <c r="F44" i="1" s="1"/>
  <c r="E24" i="1"/>
  <c r="F21" i="2" l="1"/>
  <c r="F22" i="2" s="1"/>
  <c r="G38" i="2"/>
  <c r="P23" i="1"/>
  <c r="P24" i="1" s="1"/>
  <c r="O37" i="2"/>
  <c r="N37" i="2"/>
  <c r="G42" i="1"/>
  <c r="G44" i="1" s="1"/>
  <c r="F43" i="1"/>
  <c r="P42" i="1"/>
  <c r="N41" i="1"/>
  <c r="O41" i="1"/>
  <c r="F25" i="1"/>
  <c r="P21" i="2" l="1"/>
  <c r="P22" i="2" s="1"/>
  <c r="F23" i="2"/>
  <c r="F42" i="2" s="1"/>
  <c r="G39" i="2"/>
  <c r="G40" i="2"/>
  <c r="H38" i="2" s="1"/>
  <c r="F46" i="1"/>
  <c r="G23" i="1"/>
  <c r="P45" i="1"/>
  <c r="P43" i="1"/>
  <c r="H42" i="1"/>
  <c r="G43" i="1"/>
  <c r="G21" i="2" l="1"/>
  <c r="G22" i="2" s="1"/>
  <c r="H40" i="2"/>
  <c r="H39" i="2"/>
  <c r="H43" i="1"/>
  <c r="G24" i="1"/>
  <c r="H44" i="1"/>
  <c r="G25" i="1"/>
  <c r="G23" i="2" l="1"/>
  <c r="G42" i="2" s="1"/>
  <c r="I38" i="2"/>
  <c r="I42" i="1"/>
  <c r="H23" i="1"/>
  <c r="H25" i="1" s="1"/>
  <c r="H46" i="1" s="1"/>
  <c r="G46" i="1"/>
  <c r="H21" i="2" l="1"/>
  <c r="H22" i="2" s="1"/>
  <c r="I39" i="2"/>
  <c r="Q38" i="2"/>
  <c r="Q39" i="2" s="1"/>
  <c r="I40" i="2"/>
  <c r="J38" i="2" s="1"/>
  <c r="J39" i="2" s="1"/>
  <c r="I43" i="1"/>
  <c r="Q42" i="1"/>
  <c r="H24" i="1"/>
  <c r="I23" i="1"/>
  <c r="I24" i="1" s="1"/>
  <c r="I44" i="1"/>
  <c r="H23" i="2" l="1"/>
  <c r="I21" i="2" s="1"/>
  <c r="I23" i="2" s="1"/>
  <c r="J40" i="2"/>
  <c r="K38" i="2" s="1"/>
  <c r="I25" i="1"/>
  <c r="J42" i="1"/>
  <c r="J44" i="1" s="1"/>
  <c r="Q23" i="1"/>
  <c r="Q24" i="1" s="1"/>
  <c r="Q45" i="1"/>
  <c r="Q43" i="1"/>
  <c r="H42" i="2" l="1"/>
  <c r="K39" i="2"/>
  <c r="I22" i="2"/>
  <c r="Q21" i="2"/>
  <c r="Q22" i="2" s="1"/>
  <c r="J21" i="2"/>
  <c r="J23" i="2" s="1"/>
  <c r="I42" i="2"/>
  <c r="K40" i="2"/>
  <c r="L38" i="2" s="1"/>
  <c r="R38" i="2" s="1"/>
  <c r="R39" i="2" s="1"/>
  <c r="I46" i="1"/>
  <c r="J23" i="1"/>
  <c r="K42" i="1"/>
  <c r="K43" i="1" s="1"/>
  <c r="J43" i="1"/>
  <c r="L40" i="2" l="1"/>
  <c r="L39" i="2"/>
  <c r="K22" i="2"/>
  <c r="J42" i="2"/>
  <c r="J22" i="2"/>
  <c r="K44" i="1"/>
  <c r="J24" i="1"/>
  <c r="J25" i="1"/>
  <c r="K23" i="2" l="1"/>
  <c r="M38" i="2"/>
  <c r="K23" i="1"/>
  <c r="J46" i="1"/>
  <c r="L42" i="1"/>
  <c r="L44" i="1" s="1"/>
  <c r="M40" i="2" l="1"/>
  <c r="N38" i="2" s="1"/>
  <c r="N39" i="2" s="1"/>
  <c r="M39" i="2"/>
  <c r="K42" i="2"/>
  <c r="L21" i="2"/>
  <c r="R21" i="2" s="1"/>
  <c r="R22" i="2" s="1"/>
  <c r="K24" i="1"/>
  <c r="L43" i="1"/>
  <c r="R42" i="1"/>
  <c r="M42" i="1"/>
  <c r="M44" i="1" s="1"/>
  <c r="K25" i="1"/>
  <c r="N40" i="2" l="1"/>
  <c r="O38" i="2" s="1"/>
  <c r="L23" i="2"/>
  <c r="L22" i="2"/>
  <c r="N42" i="1"/>
  <c r="N43" i="1" s="1"/>
  <c r="R45" i="1"/>
  <c r="R43" i="1"/>
  <c r="K46" i="1"/>
  <c r="L23" i="1"/>
  <c r="L25" i="1" s="1"/>
  <c r="M43" i="1"/>
  <c r="O39" i="2" l="1"/>
  <c r="S38" i="2"/>
  <c r="S39" i="2" s="1"/>
  <c r="T38" i="2"/>
  <c r="T39" i="2" s="1"/>
  <c r="O40" i="2"/>
  <c r="L42" i="2"/>
  <c r="M21" i="2"/>
  <c r="M23" i="1"/>
  <c r="M25" i="1" s="1"/>
  <c r="L46" i="1"/>
  <c r="L24" i="1"/>
  <c r="R23" i="1"/>
  <c r="R24" i="1" s="1"/>
  <c r="N44" i="1"/>
  <c r="M23" i="2" l="1"/>
  <c r="M22" i="2"/>
  <c r="O42" i="1"/>
  <c r="M46" i="1"/>
  <c r="N23" i="1"/>
  <c r="N24" i="1" s="1"/>
  <c r="M24" i="1"/>
  <c r="M42" i="2" l="1"/>
  <c r="N21" i="2"/>
  <c r="N23" i="2" s="1"/>
  <c r="O43" i="1"/>
  <c r="T42" i="1"/>
  <c r="S42" i="1"/>
  <c r="N25" i="1"/>
  <c r="O44" i="1"/>
  <c r="N22" i="2" l="1"/>
  <c r="N42" i="2"/>
  <c r="O21" i="2"/>
  <c r="T21" i="2" s="1"/>
  <c r="T22" i="2" s="1"/>
  <c r="S45" i="1"/>
  <c r="S43" i="1"/>
  <c r="T45" i="1"/>
  <c r="T43" i="1"/>
  <c r="N46" i="1"/>
  <c r="O23" i="1"/>
  <c r="O25" i="1" s="1"/>
  <c r="O46" i="1" s="1"/>
  <c r="S21" i="2" l="1"/>
  <c r="S22" i="2" s="1"/>
  <c r="O23" i="2"/>
  <c r="O42" i="2" s="1"/>
  <c r="O22" i="2"/>
  <c r="O24" i="1"/>
  <c r="T23" i="1"/>
  <c r="T24" i="1" s="1"/>
  <c r="S23" i="1"/>
  <c r="S24" i="1" s="1"/>
</calcChain>
</file>

<file path=xl/comments1.xml><?xml version="1.0" encoding="utf-8"?>
<comments xmlns="http://schemas.openxmlformats.org/spreadsheetml/2006/main">
  <authors>
    <author>Author</author>
  </authors>
  <commentList>
    <comment ref="H5" authorId="0" shapeId="0">
      <text>
        <r>
          <rPr>
            <b/>
            <sz val="9"/>
            <color indexed="81"/>
            <rFont val="Tahoma"/>
            <family val="2"/>
          </rPr>
          <t>Author:</t>
        </r>
        <r>
          <rPr>
            <sz val="9"/>
            <color indexed="81"/>
            <rFont val="Tahoma"/>
            <family val="2"/>
          </rPr>
          <t xml:space="preserve">
interest was erroneously recorded in the 605 sub accounts in January, corrected in February.</t>
        </r>
      </text>
    </comment>
    <comment ref="Q5" authorId="0" shapeId="0">
      <text>
        <r>
          <rPr>
            <b/>
            <sz val="9"/>
            <color indexed="81"/>
            <rFont val="Tahoma"/>
            <family val="2"/>
          </rPr>
          <t>Author:</t>
        </r>
        <r>
          <rPr>
            <sz val="9"/>
            <color indexed="81"/>
            <rFont val="Tahoma"/>
            <family val="2"/>
          </rPr>
          <t xml:space="preserve">
interest was erroneously recorded in the 605 sub accounts in January, corrected in February.</t>
        </r>
      </text>
    </comment>
    <comment ref="H14" authorId="0" shapeId="0">
      <text>
        <r>
          <rPr>
            <b/>
            <sz val="9"/>
            <color indexed="81"/>
            <rFont val="Tahoma"/>
            <charset val="1"/>
          </rPr>
          <t>Author:</t>
        </r>
        <r>
          <rPr>
            <sz val="9"/>
            <color indexed="81"/>
            <rFont val="Tahoma"/>
            <charset val="1"/>
          </rPr>
          <t xml:space="preserve">
neglected to update the interest rate to the Q4 value in October (except for deferrals)</t>
        </r>
      </text>
    </comment>
    <comment ref="Q14" authorId="0" shapeId="0">
      <text>
        <r>
          <rPr>
            <b/>
            <sz val="9"/>
            <color indexed="81"/>
            <rFont val="Tahoma"/>
            <charset val="1"/>
          </rPr>
          <t>Author:</t>
        </r>
        <r>
          <rPr>
            <sz val="9"/>
            <color indexed="81"/>
            <rFont val="Tahoma"/>
            <charset val="1"/>
          </rPr>
          <t xml:space="preserve">
neglected to update the interest rate to the Q4 value in October (except for deferrals)</t>
        </r>
      </text>
    </comment>
    <comment ref="F58" authorId="0" shapeId="0">
      <text>
        <r>
          <rPr>
            <b/>
            <sz val="9"/>
            <color indexed="81"/>
            <rFont val="Tahoma"/>
            <charset val="1"/>
          </rPr>
          <t>tlk:</t>
        </r>
        <r>
          <rPr>
            <sz val="9"/>
            <color indexed="81"/>
            <rFont val="Tahoma"/>
            <charset val="1"/>
          </rPr>
          <t xml:space="preserve">
Actual Earnings Sharing amount transfers when amort filing is made in August or September, interest true-up also booked in September</t>
        </r>
      </text>
    </comment>
    <comment ref="O58" authorId="0" shapeId="0">
      <text>
        <r>
          <rPr>
            <b/>
            <sz val="9"/>
            <color indexed="81"/>
            <rFont val="Tahoma"/>
            <family val="2"/>
          </rPr>
          <t>tlk:</t>
        </r>
        <r>
          <rPr>
            <sz val="9"/>
            <color indexed="81"/>
            <rFont val="Tahoma"/>
            <family val="2"/>
          </rPr>
          <t xml:space="preserve">
Earnings Sharing amount transferred in August, interest calculated as if transferred in December, interest true-up booked in August corrected in September</t>
        </r>
      </text>
    </comment>
    <comment ref="F76" authorId="0" shapeId="0">
      <text>
        <r>
          <rPr>
            <b/>
            <sz val="9"/>
            <color indexed="81"/>
            <rFont val="Tahoma"/>
            <charset val="1"/>
          </rPr>
          <t>tlk:</t>
        </r>
        <r>
          <rPr>
            <sz val="9"/>
            <color indexed="81"/>
            <rFont val="Tahoma"/>
            <charset val="1"/>
          </rPr>
          <t xml:space="preserve">
Actual Earnings Sharing amount transfers when amort filing is made in September, interest true-up also booked in September</t>
        </r>
      </text>
    </comment>
    <comment ref="O76" authorId="0" shapeId="0">
      <text>
        <r>
          <rPr>
            <b/>
            <sz val="9"/>
            <color indexed="81"/>
            <rFont val="Tahoma"/>
            <family val="2"/>
          </rPr>
          <t>tlk:</t>
        </r>
        <r>
          <rPr>
            <sz val="9"/>
            <color indexed="81"/>
            <rFont val="Tahoma"/>
            <family val="2"/>
          </rPr>
          <t xml:space="preserve">
Earnings Sharing amount transferred in August, interest calculated as if transferred in December, interest true-up booked in August corrected in September</t>
        </r>
      </text>
    </comment>
  </commentList>
</comments>
</file>

<file path=xl/sharedStrings.xml><?xml version="1.0" encoding="utf-8"?>
<sst xmlns="http://schemas.openxmlformats.org/spreadsheetml/2006/main" count="821" uniqueCount="180">
  <si>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</si>
  <si>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</si>
  <si>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</si>
  <si>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</si>
  <si>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</si>
  <si>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</si>
  <si>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</si>
  <si>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</si>
  <si>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</si>
  <si>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</si>
  <si>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</si>
  <si>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</si>
  <si>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</si>
  <si>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</si>
  <si>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</si>
  <si>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</si>
  <si>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</si>
  <si>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</si>
  <si>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</si>
  <si>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</si>
  <si>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</si>
  <si>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</si>
  <si>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</si>
  <si>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</si>
  <si>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</si>
  <si>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</si>
  <si>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</si>
  <si>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</si>
  <si>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</si>
  <si>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</si>
  <si>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</si>
  <si>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</si>
  <si>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</si>
  <si>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</si>
  <si>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</si>
  <si>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</si>
  <si>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</si>
  <si>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</si>
  <si>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</si>
  <si>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</si>
  <si>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</si>
  <si>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</si>
  <si>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</si>
  <si>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</si>
  <si>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</si>
  <si>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</si>
  <si>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</si>
  <si>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</si>
  <si>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</si>
  <si>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</si>
  <si>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</si>
  <si>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</si>
  <si>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</si>
  <si>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</si>
  <si>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</si>
  <si>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</si>
  <si>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</si>
  <si>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</si>
  <si>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</si>
  <si>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</si>
  <si>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</si>
  <si>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Income Statement Accounts</t>
  </si>
  <si>
    <t>NOTES</t>
  </si>
  <si>
    <t>Total Cumulative Natural Gas Deferral</t>
  </si>
  <si>
    <t>456328</t>
  </si>
  <si>
    <t>RESIDENTIAL DECOUPLING DEFERRE</t>
  </si>
  <si>
    <t>456338</t>
  </si>
  <si>
    <t>NON-RES DECOUPLING DEFERRED RE</t>
  </si>
  <si>
    <t>495328</t>
  </si>
  <si>
    <t>495338</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</si>
  <si>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</si>
  <si>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</si>
  <si>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</si>
  <si>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</si>
  <si>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</si>
  <si>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</si>
  <si>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</si>
  <si>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</si>
  <si>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</si>
  <si>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</si>
  <si>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</si>
  <si>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</si>
  <si>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</si>
  <si>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253311</t>
  </si>
  <si>
    <t>CONTRA DECOUPLING DEFERRED REV</t>
  </si>
  <si>
    <t>495311</t>
  </si>
  <si>
    <t>CONTRA DECOUPLING DEFERRAL</t>
  </si>
  <si>
    <t>Q4</t>
  </si>
  <si>
    <t>Attachment 4,  Page 3</t>
  </si>
  <si>
    <t>Attachment 4, Page 1</t>
  </si>
  <si>
    <t>Attachment 4, Page 3</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</si>
  <si>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</si>
  <si>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</si>
  <si>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</si>
  <si>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</si>
  <si>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</si>
  <si>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</si>
  <si>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182329</t>
  </si>
  <si>
    <t>REG ASSET- DECOUPLING PRIOR YE</t>
  </si>
  <si>
    <t>182339</t>
  </si>
  <si>
    <t>REG ASSET - NON RES DECOUPLING</t>
  </si>
  <si>
    <t>Deferral</t>
  </si>
  <si>
    <t>Interest</t>
  </si>
  <si>
    <t>Balance</t>
  </si>
  <si>
    <t>Ending</t>
  </si>
  <si>
    <t>Entry</t>
  </si>
  <si>
    <t>Income/(exp)</t>
  </si>
  <si>
    <t>Amortization</t>
  </si>
  <si>
    <t>Rate</t>
  </si>
  <si>
    <t>Washington Jurisdiction Decoupling Mechanism Interest Summary</t>
  </si>
  <si>
    <t>Q1 Total</t>
  </si>
  <si>
    <t>Net Inc/Exp</t>
  </si>
  <si>
    <t>Total Interest</t>
  </si>
  <si>
    <t>Natural Gas</t>
  </si>
  <si>
    <t xml:space="preserve">Electric </t>
  </si>
  <si>
    <t>Q2 Total</t>
  </si>
  <si>
    <t xml:space="preserve">Q3 Total </t>
  </si>
  <si>
    <t>Q3 Total</t>
  </si>
  <si>
    <t>182338</t>
  </si>
  <si>
    <t xml:space="preserve">Q4 Total </t>
  </si>
  <si>
    <t>Deferred Revenue</t>
  </si>
  <si>
    <t>Accumulated Deferred Taxes</t>
  </si>
  <si>
    <t>Interest Income or Expense</t>
  </si>
  <si>
    <t>254338</t>
  </si>
  <si>
    <t>REG LIABILITY NON RES DECOUPLI</t>
  </si>
  <si>
    <t>Deferred Revenue Approved for Recovery</t>
  </si>
  <si>
    <t>Surcharge</t>
  </si>
  <si>
    <t>Rebate</t>
  </si>
  <si>
    <t>Amortization of Prior Period Deferred Revenue</t>
  </si>
  <si>
    <t>456329</t>
  </si>
  <si>
    <t>AMORTIZATION RES DECOUPLING DE</t>
  </si>
  <si>
    <t>456339</t>
  </si>
  <si>
    <t>AMORTIZATION NON-RES DECOUPLIN</t>
  </si>
  <si>
    <t>495329</t>
  </si>
  <si>
    <t>495339</t>
  </si>
  <si>
    <t>**</t>
  </si>
  <si>
    <t>253312</t>
  </si>
  <si>
    <t>CONTRA DECOUPLED DEFERRED REVE</t>
  </si>
  <si>
    <t>456311</t>
  </si>
  <si>
    <t>Current Year Contra Asset Balance</t>
  </si>
  <si>
    <t>Prior Year Contra Asset Balance</t>
  </si>
  <si>
    <t>TRANSFER PRIOR YEAR BALANCES APPROVED FOR RECOVERY TO SURCHARGE/REBATE ACCOUNTS.</t>
  </si>
  <si>
    <t>Recon Check</t>
  </si>
  <si>
    <t xml:space="preserve">INTEREST INCOME - DECOUPLING		</t>
  </si>
  <si>
    <t xml:space="preserve">INTEREST EXPENSE - DECOUPLING	</t>
  </si>
  <si>
    <t>check ADFIT Balances - do not print</t>
  </si>
  <si>
    <t>REG LIABILITY DECOUPLING REBAT</t>
  </si>
  <si>
    <t>YTD Total</t>
  </si>
  <si>
    <t>Financial Reporting Contra Asset Accounts (2)</t>
  </si>
  <si>
    <t>1st Quarter 2019</t>
  </si>
  <si>
    <t>2nd Quarter 2019</t>
  </si>
  <si>
    <t>3rd Quarter 2019</t>
  </si>
  <si>
    <t>4th Quarter 2019</t>
  </si>
  <si>
    <t>2019 YTD</t>
  </si>
  <si>
    <t>Decoupling Mechanism - UE-170485 Base effective 5/1/2018</t>
  </si>
  <si>
    <t>Development of WA Electric Deferrals (Calendar Year 2019)</t>
  </si>
  <si>
    <t>3rd Quarter 201</t>
  </si>
  <si>
    <t>Decoupling Mechanism - UG-170486 Base effective 5/1/2018</t>
  </si>
  <si>
    <t>Development of WA Natural Gas Deferrals (Calendar Year 2019)</t>
  </si>
  <si>
    <t>2018 Deferred Revenue Pending Recovery</t>
  </si>
  <si>
    <t>201910</t>
  </si>
  <si>
    <t>201911</t>
  </si>
  <si>
    <t>201912</t>
  </si>
  <si>
    <t>EDWA</t>
  </si>
  <si>
    <t>GDWA</t>
  </si>
  <si>
    <t>Deferral - Residential</t>
  </si>
  <si>
    <t>WA</t>
  </si>
  <si>
    <t>Deferral - Non-Residential</t>
  </si>
  <si>
    <t>Res Prior Year Pending</t>
  </si>
  <si>
    <t>Non-Res Prior Year Pending</t>
  </si>
  <si>
    <t xml:space="preserve">Res Surcharge Approved </t>
  </si>
  <si>
    <t xml:space="preserve">Non-Res Surcharge Approved </t>
  </si>
  <si>
    <t>Res Rebate Approved</t>
  </si>
  <si>
    <t>Non-Res Rebate Approved</t>
  </si>
  <si>
    <t>3% Contra Deferral</t>
  </si>
  <si>
    <t>Prior 3% Contra Deferral</t>
  </si>
  <si>
    <t>Provision for Rate Refund - Earnings Sharing Per Rate Adjustment Filing</t>
  </si>
  <si>
    <t>Annual Weighted</t>
  </si>
  <si>
    <r>
      <rPr>
        <b/>
        <sz val="11"/>
        <color theme="1"/>
        <rFont val="Calibri"/>
        <family val="2"/>
        <scheme val="minor"/>
      </rPr>
      <t>2)</t>
    </r>
    <r>
      <rPr>
        <sz val="11"/>
        <color theme="1"/>
        <rFont val="Calibri"/>
        <family val="2"/>
        <scheme val="minor"/>
      </rPr>
      <t xml:space="preserve">  The contra asset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a 2019 surcharge may not be fully recovered by 12/31/2021 and therefore would not be recognizable as income for financial reporting purposes in 2019.  Conversely, revenue that was not recognized in 2018 that is expected to be recovered during 2021 became recognizable in 2019.  The income statement impact of any contra deferral entries will be eliminated for Commission Basis results reporting.</t>
    </r>
  </si>
  <si>
    <r>
      <rPr>
        <b/>
        <sz val="11"/>
        <color theme="1"/>
        <rFont val="Calibri"/>
        <family val="2"/>
        <scheme val="minor"/>
      </rPr>
      <t>(1)</t>
    </r>
    <r>
      <rPr>
        <sz val="11"/>
        <color theme="1"/>
        <rFont val="Calibri"/>
        <family val="2"/>
        <scheme val="minor"/>
      </rPr>
      <t xml:space="preserve">     The following table shows how the decoupled revenue per customer has tracked with use per customer for 2019.  For the electric customers usage and decoupled revenues were lower than authorized to a similar degree resulting in surcharge deferrals for both the residential and non-residential groups.  Decoupled natural gas revenues were affected by higher usage per customer offset by lower average revenue per therm (compared to the authorized test year), resulting in a modest rebate for the residential customers and a very small surcharge for the non-residential group.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</si>
</sst>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8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 numFmtId="244" formatCode="#,##0.0"/>
    <numFmt numFmtId="245" formatCode="#,##0.0000000000"/>
  </numFmts>
  <fonts count="182">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
      <sz val="9"/>
      <color indexed="81"/>
      <name val="Tahoma"/>
      <family val="2"/>
    </font>
    <font>
      <b/>
      <sz val="9"/>
      <color indexed="81"/>
      <name val="Tahoma"/>
      <family val="2"/>
    </font>
    <font>
      <b/>
      <sz val="10"/>
      <color rgb="FF080DDE"/>
      <name val="Times New Roman"/>
      <family val="1"/>
    </font>
    <font>
      <sz val="11"/>
      <color rgb="FF080DDE"/>
      <name val="Calibri"/>
      <family val="2"/>
      <scheme val="minor"/>
    </font>
    <font>
      <sz val="11"/>
      <color rgb="FF0000FF"/>
      <name val="Calibri"/>
      <family val="2"/>
      <scheme val="minor"/>
    </font>
    <font>
      <b/>
      <sz val="9"/>
      <color indexed="81"/>
      <name val="Tahoma"/>
      <charset val="1"/>
    </font>
    <font>
      <sz val="9"/>
      <color indexed="81"/>
      <name val="Tahoma"/>
      <charset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9">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253">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0" applyNumberFormat="1"/>
    <xf numFmtId="0" fontId="0" fillId="0" borderId="0" xfId="0" applyAlignment="1">
      <alignment horizontal="left" wrapText="1"/>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64" fontId="6" fillId="2" borderId="51" xfId="3" applyNumberFormat="1" applyFont="1" applyFill="1" applyBorder="1" applyAlignment="1">
      <alignment horizontal="center" vertic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0" fillId="0" borderId="0" xfId="0" applyAlignment="1">
      <alignment shrinkToFit="1"/>
    </xf>
    <xf numFmtId="5" fontId="0" fillId="0" borderId="0" xfId="0" applyNumberFormat="1" applyFill="1"/>
    <xf numFmtId="0" fontId="0" fillId="0" borderId="0" xfId="0" applyAlignment="1">
      <alignment horizontal="center" vertical="center"/>
    </xf>
    <xf numFmtId="243" fontId="0" fillId="0" borderId="0" xfId="1" applyNumberFormat="1" applyFont="1"/>
    <xf numFmtId="243" fontId="11" fillId="0" borderId="0" xfId="1" applyNumberFormat="1" applyFont="1" applyFill="1" applyBorder="1" applyAlignment="1">
      <alignment horizontal="right" vertical="center"/>
    </xf>
    <xf numFmtId="167" fontId="7" fillId="0" borderId="0" xfId="5" applyNumberFormat="1" applyFont="1" applyFill="1"/>
    <xf numFmtId="173" fontId="13" fillId="0" borderId="0" xfId="0" applyNumberFormat="1" applyFont="1" applyFill="1" applyBorder="1" applyAlignment="1">
      <alignment horizontal="right" vertical="center"/>
    </xf>
    <xf numFmtId="172" fontId="13" fillId="0" borderId="0" xfId="0" applyNumberFormat="1" applyFont="1" applyFill="1" applyBorder="1" applyAlignment="1">
      <alignment horizontal="right" vertical="center"/>
    </xf>
    <xf numFmtId="171" fontId="13" fillId="0" borderId="0" xfId="0" applyNumberFormat="1" applyFont="1" applyFill="1" applyBorder="1" applyAlignment="1">
      <alignment horizontal="right" vertical="center"/>
    </xf>
    <xf numFmtId="0" fontId="13" fillId="0" borderId="0" xfId="7" applyNumberFormat="1" applyFont="1" applyFill="1" applyBorder="1" applyAlignment="1">
      <alignment horizontal="right" vertical="center"/>
    </xf>
    <xf numFmtId="0" fontId="11" fillId="108" borderId="3" xfId="0" applyFont="1" applyFill="1" applyBorder="1" applyAlignment="1">
      <alignment horizontal="left" vertical="center" wrapText="1"/>
    </xf>
    <xf numFmtId="0" fontId="12" fillId="108" borderId="3" xfId="0" applyFont="1" applyFill="1" applyBorder="1" applyAlignment="1">
      <alignment horizontal="left" vertical="top"/>
    </xf>
    <xf numFmtId="0" fontId="11" fillId="108" borderId="3" xfId="0" applyFont="1" applyFill="1" applyBorder="1" applyAlignment="1">
      <alignment horizontal="left" vertical="top"/>
    </xf>
    <xf numFmtId="0" fontId="11" fillId="108" borderId="3" xfId="0" applyFont="1" applyFill="1" applyBorder="1" applyAlignment="1">
      <alignment horizontal="center" vertical="center" wrapText="1"/>
    </xf>
    <xf numFmtId="0" fontId="11" fillId="108" borderId="3" xfId="0" applyFont="1" applyFill="1" applyBorder="1" applyAlignment="1">
      <alignment horizontal="right" vertical="center" wrapText="1"/>
    </xf>
    <xf numFmtId="0" fontId="14" fillId="0" borderId="0" xfId="0" applyFont="1" applyAlignment="1">
      <alignment horizontal="center"/>
    </xf>
    <xf numFmtId="0" fontId="15" fillId="0" borderId="0" xfId="7" applyFont="1" applyFill="1" applyAlignment="1">
      <alignment horizontal="center"/>
    </xf>
    <xf numFmtId="0" fontId="30" fillId="0" borderId="0" xfId="0" applyFont="1"/>
    <xf numFmtId="0" fontId="30" fillId="0" borderId="0" xfId="0" applyFont="1" applyAlignment="1">
      <alignment horizontal="center"/>
    </xf>
    <xf numFmtId="0" fontId="30" fillId="0" borderId="0" xfId="0" applyFont="1" applyFill="1" applyAlignment="1">
      <alignment horizontal="center"/>
    </xf>
    <xf numFmtId="0" fontId="12" fillId="67" borderId="3" xfId="0" applyFont="1" applyFill="1" applyBorder="1" applyAlignment="1">
      <alignment horizontal="left" vertical="top"/>
    </xf>
    <xf numFmtId="17" fontId="0" fillId="0" borderId="0" xfId="0" applyNumberFormat="1" applyAlignment="1">
      <alignment horizontal="left"/>
    </xf>
    <xf numFmtId="203" fontId="171" fillId="0" borderId="0" xfId="0" applyNumberFormat="1" applyFont="1" applyFill="1" applyAlignment="1">
      <alignment vertical="top"/>
    </xf>
    <xf numFmtId="203" fontId="0" fillId="0" borderId="0" xfId="0" applyNumberFormat="1" applyFill="1" applyAlignment="1">
      <alignment vertical="top"/>
    </xf>
    <xf numFmtId="17" fontId="30" fillId="0" borderId="0" xfId="0" applyNumberFormat="1" applyFont="1" applyAlignment="1">
      <alignment horizontal="center"/>
    </xf>
    <xf numFmtId="5" fontId="30" fillId="0" borderId="0" xfId="0" applyNumberFormat="1" applyFont="1"/>
    <xf numFmtId="173" fontId="13" fillId="107" borderId="36" xfId="0" applyNumberFormat="1" applyFont="1" applyFill="1" applyBorder="1" applyAlignment="1">
      <alignment horizontal="right" vertical="center"/>
    </xf>
    <xf numFmtId="0" fontId="11" fillId="0" borderId="3" xfId="0" applyNumberFormat="1" applyFont="1" applyFill="1" applyBorder="1" applyAlignment="1">
      <alignment horizontal="left" vertical="center"/>
    </xf>
    <xf numFmtId="173" fontId="11" fillId="0" borderId="3" xfId="0" applyNumberFormat="1" applyFont="1" applyFill="1" applyBorder="1" applyAlignment="1">
      <alignment horizontal="left" vertical="center"/>
    </xf>
    <xf numFmtId="165" fontId="0" fillId="0" borderId="0" xfId="0" applyNumberFormat="1"/>
    <xf numFmtId="167" fontId="0" fillId="0" borderId="0" xfId="1" applyNumberFormat="1" applyFont="1"/>
    <xf numFmtId="167" fontId="0" fillId="0" borderId="0" xfId="0" applyNumberFormat="1"/>
    <xf numFmtId="0" fontId="0" fillId="0" borderId="0" xfId="0" quotePrefix="1"/>
    <xf numFmtId="17" fontId="177" fillId="2" borderId="51" xfId="3" applyNumberFormat="1" applyFont="1" applyFill="1" applyBorder="1" applyAlignment="1">
      <alignment horizontal="center" vertical="center"/>
    </xf>
    <xf numFmtId="5" fontId="178" fillId="0" borderId="0" xfId="0" applyNumberFormat="1" applyFont="1"/>
    <xf numFmtId="243" fontId="178" fillId="0" borderId="0" xfId="0" applyNumberFormat="1" applyFont="1"/>
    <xf numFmtId="0" fontId="178" fillId="0" borderId="0" xfId="0" applyFont="1"/>
    <xf numFmtId="10" fontId="178" fillId="0" borderId="0" xfId="0" applyNumberFormat="1" applyFont="1"/>
    <xf numFmtId="4" fontId="0" fillId="0" borderId="0" xfId="0" applyNumberFormat="1"/>
    <xf numFmtId="244" fontId="0" fillId="0" borderId="0" xfId="0" applyNumberFormat="1"/>
    <xf numFmtId="5" fontId="178" fillId="0" borderId="0" xfId="0" applyNumberFormat="1" applyFont="1" applyFill="1"/>
    <xf numFmtId="10" fontId="0" fillId="0" borderId="0" xfId="0" applyNumberFormat="1" applyFill="1"/>
    <xf numFmtId="17" fontId="0" fillId="0" borderId="0" xfId="0" applyNumberFormat="1" applyFill="1" applyAlignment="1">
      <alignment horizontal="center"/>
    </xf>
    <xf numFmtId="5" fontId="0" fillId="0" borderId="0" xfId="0" applyNumberFormat="1" applyFill="1" applyBorder="1"/>
    <xf numFmtId="165" fontId="178" fillId="0" borderId="0" xfId="0" applyNumberFormat="1" applyFont="1" applyFill="1"/>
    <xf numFmtId="243" fontId="0" fillId="0" borderId="0" xfId="0" applyNumberFormat="1" applyFill="1"/>
    <xf numFmtId="0" fontId="0" fillId="0" borderId="0" xfId="0" applyFill="1" applyAlignment="1">
      <alignment horizontal="center"/>
    </xf>
    <xf numFmtId="0" fontId="11" fillId="108" borderId="36" xfId="0" applyFont="1" applyFill="1" applyBorder="1" applyAlignment="1">
      <alignment horizontal="left" vertical="center" wrapText="1"/>
    </xf>
    <xf numFmtId="173" fontId="13" fillId="107" borderId="0" xfId="0" applyNumberFormat="1" applyFont="1" applyFill="1" applyBorder="1" applyAlignment="1">
      <alignment horizontal="right" vertical="center"/>
    </xf>
    <xf numFmtId="0" fontId="11" fillId="0" borderId="54" xfId="0" applyFont="1" applyFill="1" applyBorder="1" applyAlignment="1">
      <alignment horizontal="left" vertical="top" wrapText="1"/>
    </xf>
    <xf numFmtId="0" fontId="11" fillId="0" borderId="55" xfId="0" applyFont="1" applyFill="1" applyBorder="1" applyAlignment="1">
      <alignment horizontal="left" vertical="top" wrapText="1"/>
    </xf>
    <xf numFmtId="0" fontId="11" fillId="0" borderId="56" xfId="0" applyFont="1" applyFill="1" applyBorder="1" applyAlignment="1">
      <alignment horizontal="left" vertical="top" wrapText="1"/>
    </xf>
    <xf numFmtId="173" fontId="13" fillId="106" borderId="0" xfId="0" applyNumberFormat="1" applyFont="1" applyFill="1" applyBorder="1" applyAlignment="1">
      <alignment horizontal="right" vertical="center"/>
    </xf>
    <xf numFmtId="0" fontId="11" fillId="0" borderId="54" xfId="0" applyFont="1" applyFill="1" applyBorder="1" applyAlignment="1">
      <alignment horizontal="left" vertical="top"/>
    </xf>
    <xf numFmtId="173" fontId="13" fillId="0" borderId="55" xfId="0" applyNumberFormat="1" applyFont="1" applyFill="1" applyBorder="1" applyAlignment="1">
      <alignment horizontal="right" vertical="center"/>
    </xf>
    <xf numFmtId="173" fontId="13" fillId="0" borderId="56" xfId="0" applyNumberFormat="1" applyFont="1" applyFill="1" applyBorder="1" applyAlignment="1">
      <alignment horizontal="right" vertical="center"/>
    </xf>
    <xf numFmtId="0" fontId="11" fillId="108" borderId="36" xfId="0" applyFont="1" applyFill="1" applyBorder="1" applyAlignment="1">
      <alignment horizontal="center" wrapText="1"/>
    </xf>
    <xf numFmtId="9" fontId="8" fillId="0" borderId="0" xfId="2" applyFont="1" applyFill="1" applyBorder="1"/>
    <xf numFmtId="167" fontId="6" fillId="2" borderId="57" xfId="3" applyNumberFormat="1" applyFont="1" applyFill="1" applyBorder="1"/>
    <xf numFmtId="167" fontId="8" fillId="2" borderId="58" xfId="3" applyNumberFormat="1" applyFont="1" applyFill="1" applyBorder="1"/>
    <xf numFmtId="0" fontId="0" fillId="0" borderId="0" xfId="0" applyAlignment="1">
      <alignment horizontal="left" wrapText="1"/>
    </xf>
    <xf numFmtId="0" fontId="5" fillId="2" borderId="0" xfId="3" applyFont="1" applyFill="1" applyBorder="1" applyAlignment="1">
      <alignment horizontal="center"/>
    </xf>
    <xf numFmtId="165" fontId="122" fillId="2" borderId="0" xfId="4" applyNumberFormat="1" applyFont="1" applyFill="1" applyBorder="1"/>
    <xf numFmtId="166" fontId="7" fillId="0" borderId="0" xfId="3" applyNumberFormat="1" applyFont="1" applyFill="1" applyBorder="1" applyAlignment="1">
      <alignment vertical="center" wrapText="1"/>
    </xf>
    <xf numFmtId="0" fontId="7" fillId="2" borderId="0" xfId="3" applyFont="1" applyFill="1" applyBorder="1"/>
    <xf numFmtId="167" fontId="122" fillId="2" borderId="0" xfId="3" applyNumberFormat="1" applyFont="1" applyFill="1" applyBorder="1"/>
    <xf numFmtId="165" fontId="122" fillId="2" borderId="0" xfId="6" applyNumberFormat="1" applyFont="1" applyFill="1" applyBorder="1"/>
    <xf numFmtId="169" fontId="7" fillId="0" borderId="0" xfId="5" applyNumberFormat="1" applyFont="1" applyFill="1" applyBorder="1"/>
    <xf numFmtId="166" fontId="7" fillId="2" borderId="0" xfId="3" applyNumberFormat="1" applyFont="1" applyFill="1" applyBorder="1" applyAlignment="1">
      <alignment vertical="center" wrapText="1"/>
    </xf>
    <xf numFmtId="167" fontId="7" fillId="0" borderId="0" xfId="3" applyNumberFormat="1" applyFont="1" applyFill="1" applyBorder="1"/>
    <xf numFmtId="10" fontId="7" fillId="0" borderId="0" xfId="2" applyNumberFormat="1" applyFont="1" applyFill="1" applyBorder="1"/>
    <xf numFmtId="167" fontId="7" fillId="2" borderId="0" xfId="5" applyNumberFormat="1" applyFont="1" applyFill="1" applyBorder="1"/>
    <xf numFmtId="0" fontId="5" fillId="0" borderId="0" xfId="3" applyFont="1" applyBorder="1"/>
    <xf numFmtId="167" fontId="5" fillId="2" borderId="0" xfId="3" applyNumberFormat="1" applyFont="1" applyFill="1" applyBorder="1"/>
    <xf numFmtId="165" fontId="174" fillId="2" borderId="0" xfId="4" applyNumberFormat="1" applyFont="1" applyFill="1" applyBorder="1"/>
    <xf numFmtId="166" fontId="7" fillId="0" borderId="0" xfId="3" applyNumberFormat="1" applyFont="1" applyFill="1" applyBorder="1" applyAlignment="1">
      <alignment vertical="center"/>
    </xf>
    <xf numFmtId="167" fontId="174" fillId="2" borderId="0" xfId="1" applyNumberFormat="1" applyFont="1" applyFill="1" applyBorder="1"/>
    <xf numFmtId="166" fontId="7" fillId="2" borderId="0" xfId="3" applyNumberFormat="1" applyFont="1" applyFill="1" applyBorder="1" applyAlignment="1">
      <alignment vertical="center"/>
    </xf>
    <xf numFmtId="166" fontId="5" fillId="2" borderId="0" xfId="3" applyNumberFormat="1" applyFont="1" applyFill="1" applyBorder="1"/>
    <xf numFmtId="0" fontId="5" fillId="2" borderId="0" xfId="3" applyFont="1" applyFill="1" applyBorder="1"/>
    <xf numFmtId="245" fontId="0" fillId="0" borderId="0" xfId="0" applyNumberFormat="1"/>
    <xf numFmtId="0" fontId="11" fillId="0" borderId="0" xfId="0" applyFont="1" applyFill="1" applyBorder="1" applyAlignment="1">
      <alignment horizontal="center" wrapText="1"/>
    </xf>
    <xf numFmtId="173" fontId="13" fillId="107" borderId="52" xfId="0" applyNumberFormat="1" applyFont="1" applyFill="1" applyBorder="1" applyAlignment="1">
      <alignment horizontal="right" vertical="center"/>
    </xf>
    <xf numFmtId="173" fontId="13" fillId="0" borderId="54" xfId="0" applyNumberFormat="1" applyFont="1" applyFill="1" applyBorder="1" applyAlignment="1">
      <alignment horizontal="right" vertical="center"/>
    </xf>
    <xf numFmtId="17" fontId="30" fillId="0" borderId="0" xfId="0" applyNumberFormat="1" applyFont="1" applyAlignment="1">
      <alignment horizontal="left"/>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center"/>
    </xf>
    <xf numFmtId="0" fontId="30" fillId="0" borderId="0" xfId="0" applyFont="1" applyAlignment="1">
      <alignment horizontal="right"/>
    </xf>
    <xf numFmtId="17" fontId="30" fillId="0" borderId="0" xfId="0" applyNumberFormat="1" applyFont="1"/>
    <xf numFmtId="0" fontId="30" fillId="0" borderId="0" xfId="0" applyFont="1" applyAlignment="1">
      <alignment horizontal="left"/>
    </xf>
    <xf numFmtId="5" fontId="179" fillId="0" borderId="0" xfId="0" applyNumberFormat="1" applyFont="1"/>
    <xf numFmtId="5" fontId="179" fillId="0" borderId="0" xfId="0" applyNumberFormat="1" applyFont="1" applyFill="1"/>
    <xf numFmtId="0" fontId="14" fillId="0" borderId="0" xfId="0" applyFont="1" applyAlignment="1">
      <alignment horizontal="center"/>
    </xf>
    <xf numFmtId="0" fontId="0" fillId="0" borderId="0" xfId="0" applyAlignment="1">
      <alignment horizontal="center" wrapText="1"/>
    </xf>
    <xf numFmtId="0" fontId="0" fillId="0" borderId="0" xfId="0" applyAlignment="1">
      <alignment horizontal="left" wrapText="1"/>
    </xf>
    <xf numFmtId="0" fontId="30" fillId="0" borderId="0" xfId="0" applyFon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ill="1" applyAlignment="1">
      <alignment horizontal="justify" vertical="top" wrapText="1"/>
    </xf>
    <xf numFmtId="0" fontId="0" fillId="0" borderId="0" xfId="0" applyFont="1"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mruColors>
      <color rgb="FF080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tabSelected="1" zoomScaleNormal="100" workbookViewId="0">
      <selection activeCell="D1" sqref="D1:L1048576"/>
    </sheetView>
  </sheetViews>
  <sheetFormatPr defaultRowHeight="15"/>
  <cols>
    <col min="1" max="1" width="7.42578125" customWidth="1"/>
    <col min="2" max="2" width="32.140625" customWidth="1"/>
    <col min="3" max="3" width="17.28515625" customWidth="1"/>
    <col min="4" max="6" width="12.42578125" hidden="1" customWidth="1"/>
    <col min="7" max="9" width="12.28515625" hidden="1" customWidth="1"/>
    <col min="10" max="10" width="12.7109375" hidden="1" customWidth="1"/>
    <col min="11" max="11" width="13" hidden="1" customWidth="1"/>
    <col min="12" max="12" width="12.42578125" hidden="1" customWidth="1"/>
    <col min="13" max="14" width="12.7109375" customWidth="1"/>
    <col min="15" max="15" width="12.5703125" customWidth="1"/>
    <col min="16" max="16" width="12.7109375" style="37" customWidth="1"/>
    <col min="17" max="17" width="12.85546875" style="37" customWidth="1"/>
    <col min="18" max="19" width="12" style="37" customWidth="1"/>
    <col min="20" max="20" width="13.28515625" style="37" customWidth="1"/>
  </cols>
  <sheetData>
    <row r="1" spans="1:20" ht="15.75">
      <c r="A1" s="136" t="s">
        <v>0</v>
      </c>
      <c r="B1" s="136"/>
      <c r="C1" s="136"/>
      <c r="D1" s="136"/>
      <c r="E1" s="136"/>
      <c r="F1" s="136"/>
      <c r="G1" s="136"/>
      <c r="H1" s="136"/>
      <c r="I1" s="136"/>
      <c r="J1" s="136"/>
      <c r="K1" s="136"/>
      <c r="L1" s="136"/>
      <c r="M1" s="136"/>
      <c r="N1" s="136"/>
      <c r="O1" s="136"/>
      <c r="P1" s="120"/>
      <c r="Q1" s="120"/>
      <c r="R1" s="120"/>
      <c r="S1" s="120"/>
      <c r="T1" s="120"/>
    </row>
    <row r="2" spans="1:20" ht="18.75">
      <c r="A2" s="136" t="s">
        <v>154</v>
      </c>
      <c r="B2" s="136"/>
      <c r="C2" s="136"/>
      <c r="D2" s="136"/>
      <c r="E2" s="136"/>
      <c r="F2" s="136"/>
      <c r="G2" s="136"/>
      <c r="H2" s="136"/>
      <c r="I2" s="136"/>
      <c r="J2" s="136"/>
      <c r="K2" s="136"/>
      <c r="L2" s="136"/>
      <c r="M2" s="136"/>
      <c r="N2" s="136"/>
      <c r="O2" s="136"/>
      <c r="P2" s="121"/>
      <c r="Q2" s="121"/>
      <c r="R2" s="121"/>
      <c r="S2" s="121"/>
      <c r="T2" s="121"/>
    </row>
    <row r="3" spans="1:20" ht="15.75">
      <c r="A3" s="136" t="s">
        <v>155</v>
      </c>
      <c r="B3" s="136"/>
      <c r="C3" s="136"/>
      <c r="D3" s="136"/>
      <c r="E3" s="136"/>
      <c r="F3" s="136"/>
      <c r="G3" s="136"/>
      <c r="H3" s="136"/>
      <c r="I3" s="136"/>
      <c r="J3" s="136"/>
      <c r="K3" s="136"/>
      <c r="L3" s="136"/>
      <c r="M3" s="136"/>
      <c r="N3" s="136"/>
      <c r="O3" s="136"/>
      <c r="P3" s="122"/>
      <c r="Q3" s="122"/>
      <c r="R3" s="122"/>
      <c r="S3" s="122"/>
      <c r="T3" s="122"/>
    </row>
    <row r="4" spans="1:20" ht="14.45" customHeight="1">
      <c r="A4" s="137"/>
      <c r="B4" s="103"/>
      <c r="C4" s="104"/>
      <c r="D4" s="104"/>
      <c r="E4" s="104"/>
      <c r="F4" s="104"/>
      <c r="G4" s="104"/>
      <c r="H4" s="104"/>
      <c r="I4" s="104"/>
      <c r="J4" s="104"/>
      <c r="K4" s="104"/>
      <c r="L4" s="104"/>
      <c r="M4" s="104"/>
      <c r="N4" s="104"/>
      <c r="O4" s="104"/>
      <c r="P4" s="123"/>
      <c r="Q4" s="123"/>
      <c r="R4" s="123"/>
      <c r="S4" s="123"/>
      <c r="T4" s="123"/>
    </row>
    <row r="5" spans="1:20" ht="26.25">
      <c r="A5" s="34"/>
      <c r="B5" s="34"/>
      <c r="C5" s="34"/>
      <c r="D5" s="105"/>
      <c r="E5" s="2"/>
      <c r="F5" s="2"/>
      <c r="G5" s="34"/>
      <c r="H5" s="34"/>
      <c r="I5" s="34"/>
      <c r="J5" s="34"/>
      <c r="K5" s="34"/>
      <c r="L5" s="34"/>
      <c r="M5" s="34"/>
      <c r="N5" s="34"/>
      <c r="O5" s="34"/>
      <c r="P5" s="123" t="s">
        <v>149</v>
      </c>
      <c r="Q5" s="123" t="s">
        <v>150</v>
      </c>
      <c r="R5" s="123" t="s">
        <v>151</v>
      </c>
      <c r="S5" s="123" t="s">
        <v>152</v>
      </c>
      <c r="T5" s="123" t="s">
        <v>153</v>
      </c>
    </row>
    <row r="6" spans="1:20" ht="25.5">
      <c r="A6" s="106" t="s">
        <v>1</v>
      </c>
      <c r="B6" s="107"/>
      <c r="C6" s="102" t="s">
        <v>2</v>
      </c>
      <c r="D6" s="185">
        <v>43466</v>
      </c>
      <c r="E6" s="108">
        <f>EDATE(D6,1)</f>
        <v>43497</v>
      </c>
      <c r="F6" s="108">
        <f t="shared" ref="F6:O6" si="0">EDATE(E6,1)</f>
        <v>43525</v>
      </c>
      <c r="G6" s="108">
        <f t="shared" si="0"/>
        <v>43556</v>
      </c>
      <c r="H6" s="108">
        <f t="shared" si="0"/>
        <v>43586</v>
      </c>
      <c r="I6" s="108">
        <f t="shared" si="0"/>
        <v>43617</v>
      </c>
      <c r="J6" s="108">
        <f t="shared" si="0"/>
        <v>43647</v>
      </c>
      <c r="K6" s="108">
        <f t="shared" si="0"/>
        <v>43678</v>
      </c>
      <c r="L6" s="108">
        <f t="shared" si="0"/>
        <v>43709</v>
      </c>
      <c r="M6" s="108">
        <f t="shared" si="0"/>
        <v>43739</v>
      </c>
      <c r="N6" s="108">
        <f t="shared" si="0"/>
        <v>43770</v>
      </c>
      <c r="O6" s="108">
        <f t="shared" si="0"/>
        <v>43800</v>
      </c>
      <c r="P6" s="124" t="s">
        <v>3</v>
      </c>
      <c r="Q6" s="124" t="s">
        <v>3</v>
      </c>
      <c r="R6" s="124" t="s">
        <v>3</v>
      </c>
      <c r="S6" s="124" t="s">
        <v>3</v>
      </c>
      <c r="T6" s="124" t="s">
        <v>3</v>
      </c>
    </row>
    <row r="7" spans="1:20">
      <c r="A7" s="63"/>
      <c r="B7" s="63" t="s">
        <v>4</v>
      </c>
      <c r="C7" s="63" t="s">
        <v>5</v>
      </c>
      <c r="D7" s="63" t="s">
        <v>6</v>
      </c>
      <c r="E7" s="63" t="s">
        <v>7</v>
      </c>
      <c r="F7" s="63" t="s">
        <v>8</v>
      </c>
      <c r="G7" s="63" t="s">
        <v>9</v>
      </c>
      <c r="H7" s="213" t="s">
        <v>10</v>
      </c>
      <c r="I7" s="63" t="s">
        <v>11</v>
      </c>
      <c r="J7" s="63" t="s">
        <v>12</v>
      </c>
      <c r="K7" s="63" t="s">
        <v>13</v>
      </c>
      <c r="L7" s="63" t="s">
        <v>14</v>
      </c>
      <c r="M7" s="63" t="s">
        <v>15</v>
      </c>
      <c r="N7" s="63" t="s">
        <v>16</v>
      </c>
      <c r="O7" s="63" t="s">
        <v>17</v>
      </c>
      <c r="P7" s="8"/>
      <c r="Q7" s="8"/>
      <c r="R7" s="8"/>
      <c r="S7" s="8"/>
      <c r="T7" s="16"/>
    </row>
    <row r="8" spans="1:20">
      <c r="A8" s="63"/>
      <c r="B8" s="2" t="s">
        <v>19</v>
      </c>
      <c r="C8" s="63"/>
      <c r="D8" s="63"/>
      <c r="E8" s="63"/>
      <c r="F8" s="63"/>
      <c r="G8" s="63"/>
      <c r="H8" s="213"/>
      <c r="I8" s="63"/>
      <c r="J8" s="63"/>
      <c r="K8" s="63"/>
      <c r="L8" s="63"/>
      <c r="M8" s="63"/>
      <c r="N8" s="63"/>
      <c r="O8" s="63"/>
      <c r="P8" s="128"/>
      <c r="Q8" s="128"/>
      <c r="R8" s="128"/>
      <c r="S8" s="128"/>
      <c r="T8" s="16"/>
    </row>
    <row r="9" spans="1:20" ht="21" customHeight="1">
      <c r="A9" s="63">
        <v>1</v>
      </c>
      <c r="B9" s="34" t="s">
        <v>20</v>
      </c>
      <c r="C9" s="63" t="s">
        <v>21</v>
      </c>
      <c r="D9" s="32">
        <v>218072</v>
      </c>
      <c r="E9" s="32">
        <v>218072</v>
      </c>
      <c r="F9" s="32">
        <v>216577</v>
      </c>
      <c r="G9" s="32">
        <v>215993</v>
      </c>
      <c r="H9" s="214">
        <v>220087</v>
      </c>
      <c r="I9" s="32">
        <v>217384</v>
      </c>
      <c r="J9" s="32">
        <v>217872</v>
      </c>
      <c r="K9" s="32">
        <v>218567</v>
      </c>
      <c r="L9" s="32">
        <v>212455</v>
      </c>
      <c r="M9" s="32">
        <v>225200</v>
      </c>
      <c r="N9" s="32">
        <v>219433</v>
      </c>
      <c r="O9" s="32">
        <v>219805</v>
      </c>
      <c r="P9" s="125">
        <f>SUM(D9:F9)</f>
        <v>652721</v>
      </c>
      <c r="Q9" s="125">
        <f>SUM(G9:I9)</f>
        <v>653464</v>
      </c>
      <c r="R9" s="125">
        <f>SUM(J9:L9)</f>
        <v>648894</v>
      </c>
      <c r="S9" s="125">
        <f>SUM(M9:O9)</f>
        <v>664438</v>
      </c>
      <c r="T9" s="126">
        <f>SUM(D9:O9)</f>
        <v>2619517</v>
      </c>
    </row>
    <row r="10" spans="1:20" ht="25.5">
      <c r="A10" s="101">
        <f>A9+1</f>
        <v>2</v>
      </c>
      <c r="B10" s="109" t="s">
        <v>22</v>
      </c>
      <c r="C10" s="109" t="s">
        <v>88</v>
      </c>
      <c r="D10" s="110">
        <v>83.760427903323389</v>
      </c>
      <c r="E10" s="110">
        <v>67.853818238913107</v>
      </c>
      <c r="F10" s="110">
        <v>62.146664385779836</v>
      </c>
      <c r="G10" s="110">
        <v>52.417441941972996</v>
      </c>
      <c r="H10" s="215">
        <v>45.892124419392054</v>
      </c>
      <c r="I10" s="110">
        <v>42.548958852653399</v>
      </c>
      <c r="J10" s="110">
        <v>56.439626965764539</v>
      </c>
      <c r="K10" s="110">
        <v>50.945678742657662</v>
      </c>
      <c r="L10" s="110">
        <v>48.236457551145826</v>
      </c>
      <c r="M10" s="110">
        <v>47.127141167587858</v>
      </c>
      <c r="N10" s="110">
        <v>63.977202165489828</v>
      </c>
      <c r="O10" s="110">
        <v>78.404457665319498</v>
      </c>
      <c r="P10" s="110">
        <f>P11/P9</f>
        <v>71.274495561516858</v>
      </c>
      <c r="Q10" s="110">
        <f>Q11/Q9</f>
        <v>46.936821914732135</v>
      </c>
      <c r="R10" s="110">
        <f>R11/R9</f>
        <v>51.903292619534469</v>
      </c>
      <c r="S10" s="110">
        <f>S11/S9</f>
        <v>63.038889122606264</v>
      </c>
      <c r="T10" s="110">
        <f>T11/T9</f>
        <v>58.315732245678817</v>
      </c>
    </row>
    <row r="11" spans="1:20">
      <c r="A11" s="63">
        <f>A10+1</f>
        <v>3</v>
      </c>
      <c r="B11" s="34" t="s">
        <v>23</v>
      </c>
      <c r="C11" s="63" t="str">
        <f>"("&amp;A9&amp;") x ("&amp;A10&amp;")"</f>
        <v>(1) x (2)</v>
      </c>
      <c r="D11" s="67">
        <f>D9*D10</f>
        <v>18265804.033733539</v>
      </c>
      <c r="E11" s="67">
        <f>E9*E10</f>
        <v>14797017.85099626</v>
      </c>
      <c r="F11" s="67">
        <f t="shared" ref="F11:O11" si="1">F9*F10</f>
        <v>13459538.13267904</v>
      </c>
      <c r="G11" s="67">
        <f t="shared" si="1"/>
        <v>11321800.537372572</v>
      </c>
      <c r="H11" s="68">
        <f t="shared" si="1"/>
        <v>10100259.987090738</v>
      </c>
      <c r="I11" s="67">
        <f t="shared" si="1"/>
        <v>9249462.8712252062</v>
      </c>
      <c r="J11" s="67">
        <f t="shared" si="1"/>
        <v>12296614.406285051</v>
      </c>
      <c r="K11" s="67">
        <f t="shared" si="1"/>
        <v>11135044.165746458</v>
      </c>
      <c r="L11" s="67">
        <f t="shared" si="1"/>
        <v>10248076.589028686</v>
      </c>
      <c r="M11" s="67">
        <f t="shared" si="1"/>
        <v>10613032.190940786</v>
      </c>
      <c r="N11" s="67">
        <f t="shared" si="1"/>
        <v>14038709.402779929</v>
      </c>
      <c r="O11" s="67">
        <f t="shared" si="1"/>
        <v>17233691.817125551</v>
      </c>
      <c r="P11" s="116">
        <f>SUM(D11:F11)</f>
        <v>46522360.01740884</v>
      </c>
      <c r="Q11" s="116">
        <f>SUM(G11:I11)</f>
        <v>30671523.395688519</v>
      </c>
      <c r="R11" s="116">
        <f>SUM(J11:L11)</f>
        <v>33679735.161060199</v>
      </c>
      <c r="S11" s="116">
        <f>SUM(M11:O11)</f>
        <v>41885433.410846263</v>
      </c>
      <c r="T11" s="127">
        <f>SUM(D11:O11)</f>
        <v>152759051.98500383</v>
      </c>
    </row>
    <row r="12" spans="1:20" ht="9" customHeight="1">
      <c r="A12" s="63"/>
      <c r="B12" s="34"/>
      <c r="C12" s="63"/>
      <c r="D12" s="64"/>
      <c r="E12" s="64"/>
      <c r="F12" s="64"/>
      <c r="G12" s="64"/>
      <c r="H12" s="216"/>
      <c r="I12" s="64"/>
      <c r="J12" s="64"/>
      <c r="K12" s="64"/>
      <c r="L12" s="64"/>
      <c r="M12" s="64"/>
      <c r="N12" s="64"/>
      <c r="O12" s="64"/>
      <c r="P12" s="125"/>
      <c r="Q12" s="125"/>
      <c r="R12" s="125"/>
      <c r="S12" s="125"/>
      <c r="T12" s="125"/>
    </row>
    <row r="13" spans="1:20">
      <c r="A13" s="63">
        <v>4</v>
      </c>
      <c r="B13" s="34" t="s">
        <v>37</v>
      </c>
      <c r="C13" s="63" t="s">
        <v>21</v>
      </c>
      <c r="D13" s="111">
        <v>24787261.020459998</v>
      </c>
      <c r="E13" s="111">
        <v>22101261.062830001</v>
      </c>
      <c r="F13" s="111">
        <v>23293500.419080004</v>
      </c>
      <c r="G13" s="111">
        <v>15116197.03403</v>
      </c>
      <c r="H13" s="217">
        <v>14301029.596410001</v>
      </c>
      <c r="I13" s="111">
        <v>13851111.80682</v>
      </c>
      <c r="J13" s="111">
        <v>16282677.410250001</v>
      </c>
      <c r="K13" s="111">
        <v>17413044.574199997</v>
      </c>
      <c r="L13" s="111">
        <v>14037886.60227</v>
      </c>
      <c r="M13" s="111">
        <v>16949636.326010004</v>
      </c>
      <c r="N13" s="111">
        <v>19966092.573460001</v>
      </c>
      <c r="O13" s="111">
        <v>23746561.656799998</v>
      </c>
      <c r="P13" s="157"/>
      <c r="Q13" s="157"/>
      <c r="R13" s="157"/>
      <c r="S13" s="129"/>
      <c r="T13" s="130"/>
    </row>
    <row r="14" spans="1:20">
      <c r="A14" s="63">
        <v>5</v>
      </c>
      <c r="B14" s="34" t="s">
        <v>38</v>
      </c>
      <c r="C14" s="63" t="s">
        <v>21</v>
      </c>
      <c r="D14" s="111">
        <v>1997044</v>
      </c>
      <c r="E14" s="111">
        <v>1937241</v>
      </c>
      <c r="F14" s="111">
        <v>2040948</v>
      </c>
      <c r="G14" s="111">
        <v>1984508.5</v>
      </c>
      <c r="H14" s="217">
        <v>2037735</v>
      </c>
      <c r="I14" s="111">
        <v>2014614</v>
      </c>
      <c r="J14" s="111">
        <v>2025458.5</v>
      </c>
      <c r="K14" s="111">
        <v>2034540</v>
      </c>
      <c r="L14" s="111">
        <v>1961469</v>
      </c>
      <c r="M14" s="111">
        <v>2075328</v>
      </c>
      <c r="N14" s="111">
        <v>2013633.5</v>
      </c>
      <c r="O14" s="111">
        <v>2019311.5</v>
      </c>
      <c r="P14" s="116"/>
      <c r="Q14" s="116"/>
      <c r="R14" s="116"/>
      <c r="S14" s="116"/>
      <c r="T14" s="127"/>
    </row>
    <row r="15" spans="1:20">
      <c r="A15" s="63">
        <v>6</v>
      </c>
      <c r="B15" s="6" t="s">
        <v>41</v>
      </c>
      <c r="C15" s="63" t="s">
        <v>21</v>
      </c>
      <c r="D15" s="112">
        <v>267676694.00099999</v>
      </c>
      <c r="E15" s="112">
        <v>245780275.29500002</v>
      </c>
      <c r="F15" s="112">
        <v>251248521.38</v>
      </c>
      <c r="G15" s="112">
        <v>165586096.23899999</v>
      </c>
      <c r="H15" s="218">
        <v>156914732.24200001</v>
      </c>
      <c r="I15" s="112">
        <v>152496304.35699999</v>
      </c>
      <c r="J15" s="112">
        <v>179106785.32800001</v>
      </c>
      <c r="K15" s="112">
        <v>190596370.602</v>
      </c>
      <c r="L15" s="112">
        <v>153832729.74200001</v>
      </c>
      <c r="M15" s="112">
        <v>188853623.697</v>
      </c>
      <c r="N15" s="112">
        <v>220087718.961</v>
      </c>
      <c r="O15" s="112">
        <v>259163741.98699999</v>
      </c>
      <c r="P15" s="116"/>
      <c r="Q15" s="116"/>
      <c r="R15" s="116"/>
      <c r="S15" s="116"/>
      <c r="T15" s="127"/>
    </row>
    <row r="16" spans="1:20" ht="26.25">
      <c r="A16" s="63">
        <v>7</v>
      </c>
      <c r="B16" s="16" t="s">
        <v>39</v>
      </c>
      <c r="C16" s="113" t="s">
        <v>89</v>
      </c>
      <c r="D16" s="114">
        <v>1.9E-2</v>
      </c>
      <c r="E16" s="114">
        <v>1.9E-2</v>
      </c>
      <c r="F16" s="114">
        <v>1.9E-2</v>
      </c>
      <c r="G16" s="114">
        <v>1.9E-2</v>
      </c>
      <c r="H16" s="219">
        <v>1.9E-2</v>
      </c>
      <c r="I16" s="114">
        <v>1.9E-2</v>
      </c>
      <c r="J16" s="114">
        <v>1.9E-2</v>
      </c>
      <c r="K16" s="114">
        <v>1.9E-2</v>
      </c>
      <c r="L16" s="114">
        <v>1.9E-2</v>
      </c>
      <c r="M16" s="114">
        <v>1.9E-2</v>
      </c>
      <c r="N16" s="114">
        <v>1.9E-2</v>
      </c>
      <c r="O16" s="114">
        <v>1.9E-2</v>
      </c>
      <c r="P16" s="131"/>
      <c r="Q16" s="131"/>
      <c r="R16" s="131"/>
      <c r="S16" s="131"/>
      <c r="T16" s="131"/>
    </row>
    <row r="17" spans="1:22">
      <c r="A17" s="63">
        <v>8</v>
      </c>
      <c r="B17" s="34" t="s">
        <v>40</v>
      </c>
      <c r="C17" s="63" t="str">
        <f>"("&amp;A15&amp;") x ("&amp;A16&amp;")"</f>
        <v>(6) x (7)</v>
      </c>
      <c r="D17" s="67">
        <f t="shared" ref="D17:O17" si="2">D15*D16</f>
        <v>5085857.1860189997</v>
      </c>
      <c r="E17" s="67">
        <f t="shared" si="2"/>
        <v>4669825.2306050006</v>
      </c>
      <c r="F17" s="67">
        <f t="shared" si="2"/>
        <v>4773721.9062200002</v>
      </c>
      <c r="G17" s="67">
        <f>G15*G16</f>
        <v>3146135.8285409999</v>
      </c>
      <c r="H17" s="68">
        <f t="shared" si="2"/>
        <v>2981379.9125980004</v>
      </c>
      <c r="I17" s="67">
        <f t="shared" si="2"/>
        <v>2897429.7827829998</v>
      </c>
      <c r="J17" s="67">
        <f t="shared" si="2"/>
        <v>3403028.921232</v>
      </c>
      <c r="K17" s="67">
        <f t="shared" si="2"/>
        <v>3621331.0414379998</v>
      </c>
      <c r="L17" s="67">
        <f t="shared" si="2"/>
        <v>2922821.865098</v>
      </c>
      <c r="M17" s="67">
        <f t="shared" si="2"/>
        <v>3588218.8502429998</v>
      </c>
      <c r="N17" s="67">
        <f t="shared" si="2"/>
        <v>4181666.660259</v>
      </c>
      <c r="O17" s="67">
        <f t="shared" si="2"/>
        <v>4924111.0977529995</v>
      </c>
      <c r="P17" s="116"/>
      <c r="Q17" s="116"/>
      <c r="R17" s="116"/>
      <c r="S17" s="116"/>
      <c r="T17" s="127"/>
    </row>
    <row r="18" spans="1:22">
      <c r="A18" s="63">
        <v>9</v>
      </c>
      <c r="B18" s="34" t="s">
        <v>25</v>
      </c>
      <c r="C18" s="63" t="str">
        <f>"("&amp;A13&amp;") - ("&amp;A14&amp;") -("&amp;A17&amp;")"</f>
        <v>(4) - (5) -(8)</v>
      </c>
      <c r="D18" s="67">
        <f>D13-D14-D17</f>
        <v>17704359.834440999</v>
      </c>
      <c r="E18" s="67">
        <f t="shared" ref="E18:O18" si="3">E13-E14-E17</f>
        <v>15494194.832225</v>
      </c>
      <c r="F18" s="67">
        <f t="shared" si="3"/>
        <v>16478830.512860004</v>
      </c>
      <c r="G18" s="67">
        <f t="shared" si="3"/>
        <v>9985552.7054890003</v>
      </c>
      <c r="H18" s="68">
        <f t="shared" si="3"/>
        <v>9281914.6838119999</v>
      </c>
      <c r="I18" s="67">
        <f t="shared" si="3"/>
        <v>8939068.0240369998</v>
      </c>
      <c r="J18" s="67">
        <f t="shared" si="3"/>
        <v>10854189.989018001</v>
      </c>
      <c r="K18" s="67">
        <f t="shared" si="3"/>
        <v>11757173.532761997</v>
      </c>
      <c r="L18" s="67">
        <f t="shared" si="3"/>
        <v>9153595.7371720001</v>
      </c>
      <c r="M18" s="67">
        <f t="shared" si="3"/>
        <v>11286089.475767003</v>
      </c>
      <c r="N18" s="67">
        <f t="shared" si="3"/>
        <v>13770792.413201001</v>
      </c>
      <c r="O18" s="67">
        <f t="shared" si="3"/>
        <v>16803139.059046999</v>
      </c>
      <c r="P18" s="116">
        <f>SUM(D18:F18)</f>
        <v>49677385.179526001</v>
      </c>
      <c r="Q18" s="116">
        <f>SUM(G18:I18)</f>
        <v>28206535.413338002</v>
      </c>
      <c r="R18" s="116">
        <f>SUM(J18:L18)</f>
        <v>31764959.258951999</v>
      </c>
      <c r="S18" s="116">
        <f>SUM(M18:O18)</f>
        <v>41860020.948015004</v>
      </c>
      <c r="T18" s="127">
        <f>SUM(D18:O18)</f>
        <v>151508900.79983097</v>
      </c>
    </row>
    <row r="19" spans="1:22">
      <c r="A19" s="63"/>
      <c r="B19" s="115" t="s">
        <v>26</v>
      </c>
      <c r="C19" s="63"/>
      <c r="D19" s="31">
        <f t="shared" ref="D19:O19" si="4">D18/D9</f>
        <v>81.185846117066831</v>
      </c>
      <c r="E19" s="31">
        <f t="shared" si="4"/>
        <v>71.050821894718254</v>
      </c>
      <c r="F19" s="31">
        <f t="shared" si="4"/>
        <v>76.087629401367664</v>
      </c>
      <c r="G19" s="31">
        <f t="shared" si="4"/>
        <v>46.230908897459642</v>
      </c>
      <c r="H19" s="220">
        <f t="shared" si="4"/>
        <v>42.173843451962178</v>
      </c>
      <c r="I19" s="31">
        <f t="shared" si="4"/>
        <v>41.121094579348068</v>
      </c>
      <c r="J19" s="31">
        <f t="shared" si="4"/>
        <v>49.819113924772346</v>
      </c>
      <c r="K19" s="31">
        <f t="shared" si="4"/>
        <v>53.792079924059884</v>
      </c>
      <c r="L19" s="31">
        <f t="shared" si="4"/>
        <v>43.08486850002118</v>
      </c>
      <c r="M19" s="31">
        <f t="shared" si="4"/>
        <v>50.115850247633233</v>
      </c>
      <c r="N19" s="31">
        <f t="shared" si="4"/>
        <v>62.756250943117038</v>
      </c>
      <c r="O19" s="31">
        <f t="shared" si="4"/>
        <v>76.44566347010759</v>
      </c>
      <c r="P19" s="131">
        <f>P18/P9</f>
        <v>76.108146021847006</v>
      </c>
      <c r="Q19" s="131">
        <f>Q18/Q9</f>
        <v>43.164635562690528</v>
      </c>
      <c r="R19" s="131">
        <f>R18/R9</f>
        <v>48.952462588576871</v>
      </c>
      <c r="S19" s="131">
        <f>S18/S9</f>
        <v>63.000642570134467</v>
      </c>
      <c r="T19" s="131">
        <f>T18/T9</f>
        <v>57.838487324125389</v>
      </c>
    </row>
    <row r="20" spans="1:22">
      <c r="A20" s="63">
        <v>10</v>
      </c>
      <c r="B20" s="34" t="s">
        <v>27</v>
      </c>
      <c r="C20" s="63" t="str">
        <f>"("&amp;A$11&amp;") - ("&amp;A18&amp;")"</f>
        <v>(3) - (9)</v>
      </c>
      <c r="D20" s="116">
        <f t="shared" ref="D20:O20" si="5">D11-D18</f>
        <v>561444.19929254055</v>
      </c>
      <c r="E20" s="116">
        <f t="shared" si="5"/>
        <v>-697176.98122874089</v>
      </c>
      <c r="F20" s="116">
        <f t="shared" si="5"/>
        <v>-3019292.3801809642</v>
      </c>
      <c r="G20" s="116">
        <f t="shared" si="5"/>
        <v>1336247.831883572</v>
      </c>
      <c r="H20" s="221">
        <f t="shared" si="5"/>
        <v>818345.30327873863</v>
      </c>
      <c r="I20" s="116">
        <f t="shared" si="5"/>
        <v>310394.84718820639</v>
      </c>
      <c r="J20" s="116">
        <f t="shared" si="5"/>
        <v>1442424.4172670506</v>
      </c>
      <c r="K20" s="116">
        <f t="shared" si="5"/>
        <v>-622129.36701553874</v>
      </c>
      <c r="L20" s="116">
        <f t="shared" si="5"/>
        <v>1094480.8518566862</v>
      </c>
      <c r="M20" s="116">
        <f>M11-M18</f>
        <v>-673057.28482621722</v>
      </c>
      <c r="N20" s="116">
        <f t="shared" si="5"/>
        <v>267916.9895789288</v>
      </c>
      <c r="O20" s="116">
        <f t="shared" si="5"/>
        <v>430552.75807855278</v>
      </c>
      <c r="P20" s="116">
        <f>SUM(D20:F20)</f>
        <v>-3155025.1621171646</v>
      </c>
      <c r="Q20" s="116">
        <f>SUM(G20:I20)</f>
        <v>2464987.9823505171</v>
      </c>
      <c r="R20" s="116">
        <f>SUM(J20:L20)</f>
        <v>1914775.902108198</v>
      </c>
      <c r="S20" s="116">
        <f>SUM(M20:O20)</f>
        <v>25412.462831264362</v>
      </c>
      <c r="T20" s="127">
        <f>SUM(D20:O20)</f>
        <v>1250151.1851728149</v>
      </c>
    </row>
    <row r="21" spans="1:22">
      <c r="A21" s="63">
        <v>11</v>
      </c>
      <c r="B21" s="34" t="s">
        <v>28</v>
      </c>
      <c r="C21" s="15" t="s">
        <v>29</v>
      </c>
      <c r="D21" s="116">
        <f>D20*-0.046677</f>
        <v>-26206.530890377919</v>
      </c>
      <c r="E21" s="116">
        <f t="shared" ref="E21:O21" si="6">E20*-0.046677</f>
        <v>32542.129952813939</v>
      </c>
      <c r="F21" s="116">
        <f t="shared" si="6"/>
        <v>140931.51042970689</v>
      </c>
      <c r="G21" s="116">
        <f t="shared" si="6"/>
        <v>-62372.040048829498</v>
      </c>
      <c r="H21" s="116">
        <f t="shared" si="6"/>
        <v>-38197.903721141687</v>
      </c>
      <c r="I21" s="116">
        <f t="shared" si="6"/>
        <v>-14488.300282203911</v>
      </c>
      <c r="J21" s="116">
        <f t="shared" si="6"/>
        <v>-67328.04452477413</v>
      </c>
      <c r="K21" s="116">
        <f t="shared" si="6"/>
        <v>29039.132464184302</v>
      </c>
      <c r="L21" s="116">
        <f t="shared" si="6"/>
        <v>-51087.082722114545</v>
      </c>
      <c r="M21" s="116">
        <f t="shared" si="6"/>
        <v>31416.294883833343</v>
      </c>
      <c r="N21" s="116">
        <f t="shared" si="6"/>
        <v>-12505.561322575661</v>
      </c>
      <c r="O21" s="116">
        <f t="shared" si="6"/>
        <v>-20096.91108883261</v>
      </c>
      <c r="P21" s="116">
        <f>SUM(D21:F21)</f>
        <v>147267.10949214292</v>
      </c>
      <c r="Q21" s="116">
        <f>SUM(G21:I21)</f>
        <v>-115058.2440521751</v>
      </c>
      <c r="R21" s="116">
        <f>SUM(J21:L21)</f>
        <v>-89375.994782704365</v>
      </c>
      <c r="S21" s="116">
        <f>SUM(M21:O21)</f>
        <v>-1186.1775275749278</v>
      </c>
      <c r="T21" s="127">
        <f>SUM(D21:O21)</f>
        <v>-58353.306870311484</v>
      </c>
    </row>
    <row r="22" spans="1:22" ht="14.45" customHeight="1">
      <c r="A22" s="63"/>
      <c r="B22" s="34"/>
      <c r="C22" s="63" t="s">
        <v>30</v>
      </c>
      <c r="D22" s="117">
        <v>5.1799999999999999E-2</v>
      </c>
      <c r="E22" s="117">
        <f t="shared" ref="E22:I22" si="7">D22</f>
        <v>5.1799999999999999E-2</v>
      </c>
      <c r="F22" s="117">
        <f t="shared" si="7"/>
        <v>5.1799999999999999E-2</v>
      </c>
      <c r="G22" s="117">
        <v>5.45E-2</v>
      </c>
      <c r="H22" s="222">
        <f t="shared" si="7"/>
        <v>5.45E-2</v>
      </c>
      <c r="I22" s="117">
        <f t="shared" si="7"/>
        <v>5.45E-2</v>
      </c>
      <c r="J22" s="117">
        <v>5.5E-2</v>
      </c>
      <c r="K22" s="117">
        <f t="shared" ref="K22" si="8">J22</f>
        <v>5.5E-2</v>
      </c>
      <c r="L22" s="117">
        <f t="shared" ref="L22" si="9">K22</f>
        <v>5.5E-2</v>
      </c>
      <c r="M22" s="117">
        <v>5.4199999999999998E-2</v>
      </c>
      <c r="N22" s="117">
        <f t="shared" ref="N22" si="10">M22</f>
        <v>5.4199999999999998E-2</v>
      </c>
      <c r="O22" s="117">
        <f t="shared" ref="O22" si="11">N22</f>
        <v>5.4199999999999998E-2</v>
      </c>
      <c r="P22" s="117"/>
      <c r="Q22" s="117"/>
      <c r="R22" s="117"/>
      <c r="S22" s="117"/>
      <c r="T22" s="127"/>
    </row>
    <row r="23" spans="1:22">
      <c r="A23" s="63">
        <v>12</v>
      </c>
      <c r="B23" s="34" t="s">
        <v>31</v>
      </c>
      <c r="C23" s="63" t="s">
        <v>35</v>
      </c>
      <c r="D23" s="9">
        <f>(D20+D21)/2*D22/12</f>
        <v>1155.2213009680011</v>
      </c>
      <c r="E23" s="9">
        <f>(D25+(E20+E21)/2)*E22/12</f>
        <v>880.92575321463801</v>
      </c>
      <c r="F23" s="9">
        <f t="shared" ref="F23:O23" si="12">(E25+(F20+F21)/2)*F22/12</f>
        <v>-6762.2373485009912</v>
      </c>
      <c r="G23" s="9">
        <f t="shared" si="12"/>
        <v>-10788.939205133942</v>
      </c>
      <c r="H23" s="223">
        <f t="shared" si="12"/>
        <v>-6173.5946402371546</v>
      </c>
      <c r="I23" s="9">
        <f t="shared" si="12"/>
        <v>-3758.0938791338081</v>
      </c>
      <c r="J23" s="9">
        <f t="shared" si="12"/>
        <v>19.585289284160343</v>
      </c>
      <c r="K23" s="9">
        <f t="shared" si="12"/>
        <v>1811.7724552142427</v>
      </c>
      <c r="L23" s="9">
        <f t="shared" si="12"/>
        <v>2852.0220123871804</v>
      </c>
      <c r="M23" s="9">
        <f t="shared" si="12"/>
        <v>3730.7113816083388</v>
      </c>
      <c r="N23" s="9">
        <f t="shared" si="12"/>
        <v>2875.3266678743171</v>
      </c>
      <c r="O23" s="9">
        <f t="shared" si="12"/>
        <v>4392.0638232549318</v>
      </c>
      <c r="P23" s="116">
        <f>SUM(D23:F23)</f>
        <v>-4726.0902943183519</v>
      </c>
      <c r="Q23" s="116">
        <f>SUM(G23:I23)</f>
        <v>-20720.627724504906</v>
      </c>
      <c r="R23" s="116">
        <f>SUM(J23:L23)</f>
        <v>4683.3797568855834</v>
      </c>
      <c r="S23" s="116">
        <f>SUM(M23:O23)</f>
        <v>10998.101872737589</v>
      </c>
      <c r="T23" s="127">
        <f>SUM(D23:O23)</f>
        <v>-9765.2363892000831</v>
      </c>
    </row>
    <row r="24" spans="1:22" ht="14.45" customHeight="1" thickBot="1">
      <c r="A24" s="63"/>
      <c r="B24" s="10" t="s">
        <v>32</v>
      </c>
      <c r="C24" s="63"/>
      <c r="D24" s="12">
        <f>D20+D21+D23</f>
        <v>536392.88970313058</v>
      </c>
      <c r="E24" s="12">
        <f t="shared" ref="E24:O24" si="13">E20+E21+E23</f>
        <v>-663753.92552271229</v>
      </c>
      <c r="F24" s="12">
        <f t="shared" si="13"/>
        <v>-2885123.1070997585</v>
      </c>
      <c r="G24" s="12">
        <f t="shared" si="13"/>
        <v>1263086.8526296085</v>
      </c>
      <c r="H24" s="12">
        <f t="shared" si="13"/>
        <v>773973.80491735984</v>
      </c>
      <c r="I24" s="12">
        <f t="shared" si="13"/>
        <v>292148.45302686869</v>
      </c>
      <c r="J24" s="12">
        <f t="shared" si="13"/>
        <v>1375115.9580315605</v>
      </c>
      <c r="K24" s="12">
        <f t="shared" si="13"/>
        <v>-591278.46209614014</v>
      </c>
      <c r="L24" s="12">
        <f t="shared" si="13"/>
        <v>1046245.7911469588</v>
      </c>
      <c r="M24" s="12">
        <f t="shared" si="13"/>
        <v>-637910.27856077545</v>
      </c>
      <c r="N24" s="12">
        <f t="shared" si="13"/>
        <v>258286.75492422745</v>
      </c>
      <c r="O24" s="12">
        <f t="shared" si="13"/>
        <v>414847.91081297514</v>
      </c>
      <c r="P24" s="132">
        <f>P20+P21+P23</f>
        <v>-3012484.1429193402</v>
      </c>
      <c r="Q24" s="132">
        <f>Q20+Q21+Q23</f>
        <v>2329209.1105738371</v>
      </c>
      <c r="R24" s="132">
        <f>R20+R21+R23</f>
        <v>1830083.2870823792</v>
      </c>
      <c r="S24" s="132">
        <f>S20+S21+S23</f>
        <v>35224.387176427022</v>
      </c>
      <c r="T24" s="132">
        <f>T20+T21+T23</f>
        <v>1182032.6419133034</v>
      </c>
      <c r="V24" s="209"/>
    </row>
    <row r="25" spans="1:22" ht="27" thickBot="1">
      <c r="A25" s="63">
        <v>13</v>
      </c>
      <c r="B25" s="135" t="s">
        <v>94</v>
      </c>
      <c r="C25" s="63" t="str">
        <f>"Σ(("&amp;A$20&amp;") ~ ("&amp;A23&amp;"))"</f>
        <v>Σ((10) ~ (12))</v>
      </c>
      <c r="D25" s="67">
        <f>D20+D21+D23</f>
        <v>536392.88970313058</v>
      </c>
      <c r="E25" s="67">
        <f>D25+E20+E21+E23</f>
        <v>-127361.03581958172</v>
      </c>
      <c r="F25" s="67">
        <f t="shared" ref="F25:O25" si="14">E25+F20+F21+F23</f>
        <v>-3012484.1429193402</v>
      </c>
      <c r="G25" s="67">
        <f t="shared" si="14"/>
        <v>-1749397.2902897317</v>
      </c>
      <c r="H25" s="68">
        <f t="shared" si="14"/>
        <v>-975423.48537237186</v>
      </c>
      <c r="I25" s="67">
        <f t="shared" si="14"/>
        <v>-683275.03234550322</v>
      </c>
      <c r="J25" s="67">
        <f t="shared" si="14"/>
        <v>691840.92568605742</v>
      </c>
      <c r="K25" s="67">
        <f t="shared" si="14"/>
        <v>100562.46358991724</v>
      </c>
      <c r="L25" s="67">
        <f t="shared" si="14"/>
        <v>1146808.2547368759</v>
      </c>
      <c r="M25" s="67">
        <f t="shared" si="14"/>
        <v>508897.97617610032</v>
      </c>
      <c r="N25" s="67">
        <f t="shared" si="14"/>
        <v>767184.7311003278</v>
      </c>
      <c r="O25" s="118">
        <f t="shared" si="14"/>
        <v>1182032.6419133029</v>
      </c>
      <c r="P25" s="116"/>
      <c r="Q25" s="116"/>
      <c r="R25" s="116"/>
      <c r="S25" s="116"/>
      <c r="T25" s="127"/>
    </row>
    <row r="26" spans="1:22" ht="9" customHeight="1">
      <c r="A26" s="63"/>
      <c r="B26" s="147"/>
      <c r="C26" s="63"/>
      <c r="D26" s="67"/>
      <c r="E26" s="67"/>
      <c r="F26" s="67"/>
      <c r="G26" s="67"/>
      <c r="H26" s="224"/>
      <c r="I26" s="67"/>
      <c r="J26" s="67"/>
      <c r="K26" s="67"/>
      <c r="L26" s="67"/>
      <c r="M26" s="67"/>
      <c r="N26" s="67"/>
      <c r="O26" s="67"/>
      <c r="P26" s="110"/>
      <c r="Q26" s="133"/>
      <c r="R26" s="133"/>
      <c r="S26" s="133"/>
      <c r="T26" s="133"/>
    </row>
    <row r="27" spans="1:22">
      <c r="A27" s="63"/>
      <c r="B27" s="2" t="s">
        <v>33</v>
      </c>
      <c r="C27" s="63"/>
      <c r="D27" s="67"/>
      <c r="E27" s="67"/>
      <c r="F27" s="67"/>
      <c r="G27" s="67"/>
      <c r="H27" s="68"/>
      <c r="I27" s="67"/>
      <c r="J27" s="67"/>
      <c r="K27" s="67"/>
      <c r="L27" s="67"/>
      <c r="M27" s="67"/>
      <c r="N27" s="67"/>
      <c r="O27" s="67"/>
      <c r="P27" s="116"/>
      <c r="Q27" s="116"/>
      <c r="R27" s="116"/>
      <c r="S27" s="116"/>
      <c r="T27" s="127"/>
    </row>
    <row r="28" spans="1:22">
      <c r="A28" s="63">
        <v>14</v>
      </c>
      <c r="B28" s="34" t="s">
        <v>20</v>
      </c>
      <c r="C28" s="63" t="s">
        <v>21</v>
      </c>
      <c r="D28" s="32">
        <v>37059</v>
      </c>
      <c r="E28" s="32">
        <v>37058</v>
      </c>
      <c r="F28" s="32">
        <v>36629</v>
      </c>
      <c r="G28" s="32">
        <v>36938</v>
      </c>
      <c r="H28" s="214">
        <v>37135</v>
      </c>
      <c r="I28" s="32">
        <v>36981</v>
      </c>
      <c r="J28" s="32">
        <v>37031</v>
      </c>
      <c r="K28" s="32">
        <v>37109</v>
      </c>
      <c r="L28" s="32">
        <v>36404</v>
      </c>
      <c r="M28" s="32">
        <v>37918</v>
      </c>
      <c r="N28" s="32">
        <v>36880</v>
      </c>
      <c r="O28" s="32">
        <v>37104</v>
      </c>
      <c r="P28" s="125">
        <f>SUM(D28:F28)</f>
        <v>110746</v>
      </c>
      <c r="Q28" s="125">
        <f>SUM(G28:I28)</f>
        <v>111054</v>
      </c>
      <c r="R28" s="125">
        <f>SUM(J28:L28)</f>
        <v>110544</v>
      </c>
      <c r="S28" s="125">
        <f>SUM(M28:O28)</f>
        <v>111902</v>
      </c>
      <c r="T28" s="126">
        <f>SUM(D28:O28)</f>
        <v>444246</v>
      </c>
    </row>
    <row r="29" spans="1:22" ht="29.45" customHeight="1">
      <c r="A29" s="101">
        <f>A28+1</f>
        <v>15</v>
      </c>
      <c r="B29" s="109" t="s">
        <v>22</v>
      </c>
      <c r="C29" s="109" t="s">
        <v>90</v>
      </c>
      <c r="D29" s="110">
        <v>359.8067927967802</v>
      </c>
      <c r="E29" s="110">
        <v>336.85962983528816</v>
      </c>
      <c r="F29" s="110">
        <v>346.66344910730356</v>
      </c>
      <c r="G29" s="110">
        <v>329.24917695473283</v>
      </c>
      <c r="H29" s="215">
        <v>363.90451464260855</v>
      </c>
      <c r="I29" s="110">
        <v>372.76105818884957</v>
      </c>
      <c r="J29" s="110">
        <v>410.5558825329656</v>
      </c>
      <c r="K29" s="110">
        <v>386.60332281802295</v>
      </c>
      <c r="L29" s="110">
        <v>363.25020220035174</v>
      </c>
      <c r="M29" s="110">
        <v>367.48229411231011</v>
      </c>
      <c r="N29" s="110">
        <v>326.9566398580186</v>
      </c>
      <c r="O29" s="110">
        <v>388.87703695276861</v>
      </c>
      <c r="P29" s="110">
        <f>P30/P28</f>
        <v>347.78104467920656</v>
      </c>
      <c r="Q29" s="110">
        <f>Q30/Q28</f>
        <v>355.32693052469102</v>
      </c>
      <c r="R29" s="110">
        <f>R30/R28</f>
        <v>386.93658591541714</v>
      </c>
      <c r="S29" s="110">
        <f>S30/S28</f>
        <v>361.22006832058253</v>
      </c>
      <c r="T29" s="110">
        <f>T30/T28</f>
        <v>362.79584409353407</v>
      </c>
    </row>
    <row r="30" spans="1:22">
      <c r="A30" s="63">
        <f>A29+1</f>
        <v>16</v>
      </c>
      <c r="B30" s="34" t="s">
        <v>23</v>
      </c>
      <c r="C30" s="63" t="str">
        <f>"("&amp;A28&amp;") x ("&amp;A29&amp;")"</f>
        <v>(14) x (15)</v>
      </c>
      <c r="D30" s="67">
        <f t="shared" ref="D30:O30" si="15">D28*D29</f>
        <v>13334079.934255878</v>
      </c>
      <c r="E30" s="67">
        <f t="shared" si="15"/>
        <v>12483344.162436109</v>
      </c>
      <c r="F30" s="67">
        <f t="shared" si="15"/>
        <v>12697935.477351421</v>
      </c>
      <c r="G30" s="67">
        <f t="shared" si="15"/>
        <v>12161806.098353921</v>
      </c>
      <c r="H30" s="68">
        <f t="shared" si="15"/>
        <v>13513594.151253268</v>
      </c>
      <c r="I30" s="67">
        <f t="shared" si="15"/>
        <v>13785076.692881847</v>
      </c>
      <c r="J30" s="67">
        <f t="shared" si="15"/>
        <v>15203294.88607825</v>
      </c>
      <c r="K30" s="67">
        <f t="shared" si="15"/>
        <v>14346462.706454014</v>
      </c>
      <c r="L30" s="67">
        <f t="shared" si="15"/>
        <v>13223760.360901605</v>
      </c>
      <c r="M30" s="67">
        <f t="shared" si="15"/>
        <v>13934193.628150575</v>
      </c>
      <c r="N30" s="67">
        <f t="shared" si="15"/>
        <v>12058160.877963725</v>
      </c>
      <c r="O30" s="67">
        <f t="shared" si="15"/>
        <v>14428893.579095526</v>
      </c>
      <c r="P30" s="116">
        <f>SUM(D30:F30)</f>
        <v>38515359.574043408</v>
      </c>
      <c r="Q30" s="116">
        <f>SUM(G30:I30)</f>
        <v>39460476.942489035</v>
      </c>
      <c r="R30" s="116">
        <f>SUM(J30:L30)</f>
        <v>42773517.953433871</v>
      </c>
      <c r="S30" s="116">
        <f>SUM(M30:O30)</f>
        <v>40421248.085209824</v>
      </c>
      <c r="T30" s="127">
        <f>SUM(D30:O30)</f>
        <v>161170602.55517614</v>
      </c>
    </row>
    <row r="31" spans="1:22" ht="9" customHeight="1">
      <c r="A31" s="63"/>
      <c r="B31" s="34"/>
      <c r="C31" s="63"/>
      <c r="D31" s="64"/>
      <c r="E31" s="64"/>
      <c r="F31" s="64"/>
      <c r="G31" s="64"/>
      <c r="H31" s="216"/>
      <c r="I31" s="67"/>
      <c r="J31" s="64"/>
      <c r="K31" s="64"/>
      <c r="L31" s="64"/>
      <c r="M31" s="64"/>
      <c r="N31" s="64"/>
      <c r="O31" s="64"/>
      <c r="P31" s="128"/>
      <c r="Q31" s="128"/>
      <c r="R31" s="128"/>
      <c r="S31" s="128"/>
      <c r="T31" s="16"/>
    </row>
    <row r="32" spans="1:22">
      <c r="A32" s="63">
        <v>17</v>
      </c>
      <c r="B32" s="34" t="s">
        <v>37</v>
      </c>
      <c r="C32" s="63" t="s">
        <v>21</v>
      </c>
      <c r="D32" s="111">
        <v>17957425.513</v>
      </c>
      <c r="E32" s="111">
        <v>17832409.430050004</v>
      </c>
      <c r="F32" s="111">
        <v>17381462.84183</v>
      </c>
      <c r="G32" s="111">
        <v>16482357.203709999</v>
      </c>
      <c r="H32" s="217">
        <v>17398402.076499999</v>
      </c>
      <c r="I32" s="111">
        <v>18217320.252850004</v>
      </c>
      <c r="J32" s="111">
        <v>19391352.345080003</v>
      </c>
      <c r="K32" s="111">
        <v>19493020.769329999</v>
      </c>
      <c r="L32" s="111">
        <v>17327731.964339998</v>
      </c>
      <c r="M32" s="111">
        <v>18971540.15992</v>
      </c>
      <c r="N32" s="111">
        <v>16837820.170160003</v>
      </c>
      <c r="O32" s="111">
        <v>17686181.674429998</v>
      </c>
      <c r="P32" s="116"/>
      <c r="Q32" s="116"/>
      <c r="R32" s="116"/>
      <c r="S32" s="116"/>
      <c r="T32" s="16"/>
    </row>
    <row r="33" spans="1:20">
      <c r="A33" s="63">
        <f>A32+1</f>
        <v>18</v>
      </c>
      <c r="B33" s="34" t="s">
        <v>38</v>
      </c>
      <c r="C33" s="63" t="s">
        <v>21</v>
      </c>
      <c r="D33" s="111">
        <v>1673810.56</v>
      </c>
      <c r="E33" s="111">
        <v>1616459.1400000001</v>
      </c>
      <c r="F33" s="111">
        <v>1701878.5699999998</v>
      </c>
      <c r="G33" s="111">
        <v>1670170.8599999999</v>
      </c>
      <c r="H33" s="217">
        <v>1663820.94</v>
      </c>
      <c r="I33" s="111">
        <v>1674661.8900000001</v>
      </c>
      <c r="J33" s="111">
        <v>1675705.24</v>
      </c>
      <c r="K33" s="111">
        <v>1676355.2</v>
      </c>
      <c r="L33" s="111">
        <v>1631204.44</v>
      </c>
      <c r="M33" s="111">
        <v>1716520.9400000002</v>
      </c>
      <c r="N33" s="111">
        <v>1658885.5</v>
      </c>
      <c r="O33" s="111">
        <v>1680360.3900000001</v>
      </c>
      <c r="P33" s="116"/>
      <c r="Q33" s="116"/>
      <c r="R33" s="116"/>
      <c r="S33" s="116"/>
      <c r="T33" s="16"/>
    </row>
    <row r="34" spans="1:20">
      <c r="A34" s="63">
        <f>A33+1</f>
        <v>19</v>
      </c>
      <c r="B34" s="6" t="s">
        <v>41</v>
      </c>
      <c r="C34" s="63" t="s">
        <v>21</v>
      </c>
      <c r="D34" s="112">
        <v>179506335.33200002</v>
      </c>
      <c r="E34" s="112">
        <v>176387989.83200002</v>
      </c>
      <c r="F34" s="112">
        <v>169824262.03900003</v>
      </c>
      <c r="G34" s="112">
        <v>162046752.50199997</v>
      </c>
      <c r="H34" s="218">
        <v>174360483.80799997</v>
      </c>
      <c r="I34" s="112">
        <v>184858484.44</v>
      </c>
      <c r="J34" s="112">
        <v>199230125.49899998</v>
      </c>
      <c r="K34" s="112">
        <v>198610181.51300004</v>
      </c>
      <c r="L34" s="112">
        <v>173798213.252</v>
      </c>
      <c r="M34" s="112">
        <v>189099379.097</v>
      </c>
      <c r="N34" s="112">
        <v>163525025.52900004</v>
      </c>
      <c r="O34" s="112">
        <v>176620049.192</v>
      </c>
      <c r="P34" s="125"/>
      <c r="Q34" s="125"/>
      <c r="R34" s="125"/>
      <c r="S34" s="125"/>
      <c r="T34" s="16"/>
    </row>
    <row r="35" spans="1:20" ht="26.25">
      <c r="A35" s="63">
        <f>A34+1</f>
        <v>20</v>
      </c>
      <c r="B35" s="16" t="s">
        <v>39</v>
      </c>
      <c r="C35" s="113" t="s">
        <v>89</v>
      </c>
      <c r="D35" s="114">
        <v>1.9E-2</v>
      </c>
      <c r="E35" s="114">
        <v>1.9E-2</v>
      </c>
      <c r="F35" s="114">
        <v>1.9E-2</v>
      </c>
      <c r="G35" s="114">
        <v>1.9E-2</v>
      </c>
      <c r="H35" s="219">
        <v>1.9E-2</v>
      </c>
      <c r="I35" s="114">
        <v>1.9E-2</v>
      </c>
      <c r="J35" s="114">
        <v>1.9E-2</v>
      </c>
      <c r="K35" s="114">
        <v>1.9E-2</v>
      </c>
      <c r="L35" s="114">
        <v>1.9E-2</v>
      </c>
      <c r="M35" s="114">
        <v>1.9E-2</v>
      </c>
      <c r="N35" s="114">
        <v>1.9E-2</v>
      </c>
      <c r="O35" s="114">
        <v>1.9E-2</v>
      </c>
      <c r="P35" s="129"/>
      <c r="Q35" s="129"/>
      <c r="R35" s="129"/>
      <c r="S35" s="129"/>
      <c r="T35" s="130"/>
    </row>
    <row r="36" spans="1:20">
      <c r="A36" s="63">
        <f>A35+1</f>
        <v>21</v>
      </c>
      <c r="B36" s="34" t="s">
        <v>40</v>
      </c>
      <c r="C36" s="63" t="str">
        <f>"("&amp;A34&amp;") x ("&amp;A35&amp;")"</f>
        <v>(19) x (20)</v>
      </c>
      <c r="D36" s="67">
        <f t="shared" ref="D36:O36" si="16">D34*D35</f>
        <v>3410620.3713080003</v>
      </c>
      <c r="E36" s="67">
        <f t="shared" si="16"/>
        <v>3351371.8068080004</v>
      </c>
      <c r="F36" s="67">
        <f t="shared" si="16"/>
        <v>3226660.9787410004</v>
      </c>
      <c r="G36" s="67">
        <f t="shared" si="16"/>
        <v>3078888.2975379992</v>
      </c>
      <c r="H36" s="68">
        <f t="shared" si="16"/>
        <v>3312849.1923519992</v>
      </c>
      <c r="I36" s="67">
        <f t="shared" si="16"/>
        <v>3512311.2043599999</v>
      </c>
      <c r="J36" s="67">
        <f t="shared" si="16"/>
        <v>3785372.3844809998</v>
      </c>
      <c r="K36" s="67">
        <f t="shared" si="16"/>
        <v>3773593.4487470007</v>
      </c>
      <c r="L36" s="67">
        <f t="shared" si="16"/>
        <v>3302166.0517879999</v>
      </c>
      <c r="M36" s="67">
        <f t="shared" si="16"/>
        <v>3592888.2028430002</v>
      </c>
      <c r="N36" s="67">
        <f t="shared" si="16"/>
        <v>3106975.485051001</v>
      </c>
      <c r="O36" s="67">
        <f t="shared" si="16"/>
        <v>3355780.9346480002</v>
      </c>
      <c r="P36" s="116"/>
      <c r="Q36" s="116"/>
      <c r="R36" s="116"/>
      <c r="S36" s="116"/>
      <c r="T36" s="127"/>
    </row>
    <row r="37" spans="1:20">
      <c r="A37" s="63">
        <f>A36+1</f>
        <v>22</v>
      </c>
      <c r="B37" s="34" t="s">
        <v>25</v>
      </c>
      <c r="C37" s="63" t="str">
        <f>"("&amp;A32&amp;") - ("&amp;A33&amp;") -("&amp;A36&amp;")"</f>
        <v>(17) - (18) -(21)</v>
      </c>
      <c r="D37" s="67">
        <f>D32-D33-D36</f>
        <v>12872994.581691999</v>
      </c>
      <c r="E37" s="67">
        <f t="shared" ref="E37:O37" si="17">E32-E33-E36</f>
        <v>12864578.483242003</v>
      </c>
      <c r="F37" s="67">
        <f t="shared" si="17"/>
        <v>12452923.293088999</v>
      </c>
      <c r="G37" s="67">
        <f t="shared" si="17"/>
        <v>11733298.046172</v>
      </c>
      <c r="H37" s="68">
        <f t="shared" si="17"/>
        <v>12421731.944148</v>
      </c>
      <c r="I37" s="67">
        <f t="shared" si="17"/>
        <v>13030347.158490002</v>
      </c>
      <c r="J37" s="67">
        <f t="shared" si="17"/>
        <v>13930274.720599005</v>
      </c>
      <c r="K37" s="67">
        <f t="shared" si="17"/>
        <v>14043072.120582998</v>
      </c>
      <c r="L37" s="67">
        <f t="shared" si="17"/>
        <v>12394361.472551998</v>
      </c>
      <c r="M37" s="67">
        <f t="shared" si="17"/>
        <v>13662131.017076999</v>
      </c>
      <c r="N37" s="67">
        <f t="shared" si="17"/>
        <v>12071959.185109003</v>
      </c>
      <c r="O37" s="67">
        <f t="shared" si="17"/>
        <v>12650040.349781998</v>
      </c>
      <c r="P37" s="116">
        <f>SUM(D37:F37)</f>
        <v>38190496.358023003</v>
      </c>
      <c r="Q37" s="116">
        <f>SUM(G37:I37)</f>
        <v>37185377.148809999</v>
      </c>
      <c r="R37" s="116">
        <f>SUM(J37:L37)</f>
        <v>40367708.313733995</v>
      </c>
      <c r="S37" s="116">
        <f>SUM(M37:O37)</f>
        <v>38384130.551968001</v>
      </c>
      <c r="T37" s="127">
        <f>SUM(D37:O37)</f>
        <v>154127712.37253499</v>
      </c>
    </row>
    <row r="38" spans="1:20">
      <c r="A38" s="63"/>
      <c r="B38" s="63" t="s">
        <v>34</v>
      </c>
      <c r="C38" s="63"/>
      <c r="D38" s="31">
        <f t="shared" ref="D38:O38" si="18">D37/D28</f>
        <v>347.3648663399444</v>
      </c>
      <c r="E38" s="31">
        <f t="shared" si="18"/>
        <v>347.14713376982036</v>
      </c>
      <c r="F38" s="31">
        <f t="shared" si="18"/>
        <v>339.97442717761879</v>
      </c>
      <c r="G38" s="31">
        <f t="shared" si="18"/>
        <v>317.6484391729926</v>
      </c>
      <c r="H38" s="220">
        <f t="shared" si="18"/>
        <v>334.50200468959201</v>
      </c>
      <c r="I38" s="31">
        <f t="shared" si="18"/>
        <v>352.35248258538172</v>
      </c>
      <c r="J38" s="31">
        <f t="shared" si="18"/>
        <v>376.1787345899113</v>
      </c>
      <c r="K38" s="31">
        <f t="shared" si="18"/>
        <v>378.42766230787674</v>
      </c>
      <c r="L38" s="31">
        <f t="shared" si="18"/>
        <v>340.46702210064819</v>
      </c>
      <c r="M38" s="31">
        <f t="shared" si="18"/>
        <v>360.30726876620599</v>
      </c>
      <c r="N38" s="31">
        <f t="shared" si="18"/>
        <v>327.33078050729398</v>
      </c>
      <c r="O38" s="31">
        <f t="shared" si="18"/>
        <v>340.93467954349927</v>
      </c>
      <c r="P38" s="131">
        <f>P37/P28</f>
        <v>344.8476365559298</v>
      </c>
      <c r="Q38" s="131">
        <f>Q37/Q28</f>
        <v>334.84050235750175</v>
      </c>
      <c r="R38" s="131">
        <f>R37/R28</f>
        <v>365.17321893304018</v>
      </c>
      <c r="S38" s="131">
        <f>S37/S28</f>
        <v>343.0155899981055</v>
      </c>
      <c r="T38" s="131">
        <f>T37/T28</f>
        <v>346.94226255843608</v>
      </c>
    </row>
    <row r="39" spans="1:20">
      <c r="A39" s="63">
        <v>23</v>
      </c>
      <c r="B39" s="34" t="s">
        <v>27</v>
      </c>
      <c r="C39" s="63" t="str">
        <f>"("&amp;A$30&amp;") - ("&amp;A37&amp;")"</f>
        <v>(16) - (22)</v>
      </c>
      <c r="D39" s="116">
        <f t="shared" ref="D39:O39" si="19">D30-D37</f>
        <v>461085.35256387852</v>
      </c>
      <c r="E39" s="116">
        <f t="shared" si="19"/>
        <v>-381234.32080589421</v>
      </c>
      <c r="F39" s="116">
        <f t="shared" si="19"/>
        <v>245012.18426242284</v>
      </c>
      <c r="G39" s="116">
        <f t="shared" si="19"/>
        <v>428508.05218192004</v>
      </c>
      <c r="H39" s="221">
        <f t="shared" si="19"/>
        <v>1091862.2071052678</v>
      </c>
      <c r="I39" s="116">
        <f t="shared" si="19"/>
        <v>754729.53439184465</v>
      </c>
      <c r="J39" s="116">
        <f t="shared" si="19"/>
        <v>1273020.1654792447</v>
      </c>
      <c r="K39" s="116">
        <f t="shared" si="19"/>
        <v>303390.58587101661</v>
      </c>
      <c r="L39" s="116">
        <f t="shared" si="19"/>
        <v>829398.88834960759</v>
      </c>
      <c r="M39" s="116">
        <f t="shared" si="19"/>
        <v>272062.61107357591</v>
      </c>
      <c r="N39" s="116">
        <f t="shared" si="19"/>
        <v>-13798.307145277038</v>
      </c>
      <c r="O39" s="116">
        <f t="shared" si="19"/>
        <v>1778853.2293135282</v>
      </c>
      <c r="P39" s="116">
        <f>SUM(D39:F39)</f>
        <v>324863.21602040716</v>
      </c>
      <c r="Q39" s="116">
        <f>SUM(G39:I39)</f>
        <v>2275099.7936790325</v>
      </c>
      <c r="R39" s="116">
        <f>SUM(J39:L39)</f>
        <v>2405809.6396998689</v>
      </c>
      <c r="S39" s="116">
        <f>SUM(M39:O39)</f>
        <v>2037117.533241827</v>
      </c>
      <c r="T39" s="127">
        <f>SUM(D39:O39)</f>
        <v>7042890.1826411355</v>
      </c>
    </row>
    <row r="40" spans="1:20">
      <c r="A40" s="63">
        <v>24</v>
      </c>
      <c r="B40" s="34" t="s">
        <v>28</v>
      </c>
      <c r="C40" s="15" t="s">
        <v>29</v>
      </c>
      <c r="D40" s="116">
        <f>D39*-0.046677</f>
        <v>-21522.081001624159</v>
      </c>
      <c r="E40" s="116">
        <f t="shared" ref="E40:O40" si="20">E39*-0.046677</f>
        <v>17794.874392256726</v>
      </c>
      <c r="F40" s="116">
        <f t="shared" si="20"/>
        <v>-11436.433724817112</v>
      </c>
      <c r="G40" s="116">
        <f t="shared" si="20"/>
        <v>-20001.470351695483</v>
      </c>
      <c r="H40" s="116">
        <f t="shared" si="20"/>
        <v>-50964.852241052591</v>
      </c>
      <c r="I40" s="116">
        <f t="shared" si="20"/>
        <v>-35228.510476808136</v>
      </c>
      <c r="J40" s="116">
        <f t="shared" si="20"/>
        <v>-59420.762264074707</v>
      </c>
      <c r="K40" s="116">
        <f t="shared" si="20"/>
        <v>-14161.362376701443</v>
      </c>
      <c r="L40" s="116">
        <f t="shared" si="20"/>
        <v>-38713.851911494639</v>
      </c>
      <c r="M40" s="116">
        <f t="shared" si="20"/>
        <v>-12699.066497081303</v>
      </c>
      <c r="N40" s="116">
        <f t="shared" si="20"/>
        <v>644.06358262009633</v>
      </c>
      <c r="O40" s="116">
        <f t="shared" si="20"/>
        <v>-83031.532184667565</v>
      </c>
      <c r="P40" s="116">
        <f>SUM(D40:F40)</f>
        <v>-15163.640334184545</v>
      </c>
      <c r="Q40" s="116">
        <f>SUM(G40:I40)</f>
        <v>-106194.8330695562</v>
      </c>
      <c r="R40" s="116">
        <f>SUM(J40:L40)</f>
        <v>-112295.97655227079</v>
      </c>
      <c r="S40" s="116">
        <f>SUM(M40:O40)</f>
        <v>-95086.535099128771</v>
      </c>
      <c r="T40" s="127">
        <f>SUM(D40:O40)</f>
        <v>-328740.98505514034</v>
      </c>
    </row>
    <row r="41" spans="1:20">
      <c r="A41" s="63"/>
      <c r="B41" s="34"/>
      <c r="C41" s="63" t="s">
        <v>30</v>
      </c>
      <c r="D41" s="117">
        <f t="shared" ref="D41:O41" si="21">D22</f>
        <v>5.1799999999999999E-2</v>
      </c>
      <c r="E41" s="117">
        <f t="shared" si="21"/>
        <v>5.1799999999999999E-2</v>
      </c>
      <c r="F41" s="117">
        <f t="shared" si="21"/>
        <v>5.1799999999999999E-2</v>
      </c>
      <c r="G41" s="117">
        <f t="shared" si="21"/>
        <v>5.45E-2</v>
      </c>
      <c r="H41" s="222">
        <f t="shared" si="21"/>
        <v>5.45E-2</v>
      </c>
      <c r="I41" s="117">
        <f t="shared" si="21"/>
        <v>5.45E-2</v>
      </c>
      <c r="J41" s="117">
        <f t="shared" si="21"/>
        <v>5.5E-2</v>
      </c>
      <c r="K41" s="117">
        <f t="shared" si="21"/>
        <v>5.5E-2</v>
      </c>
      <c r="L41" s="117">
        <f t="shared" si="21"/>
        <v>5.5E-2</v>
      </c>
      <c r="M41" s="117">
        <f t="shared" si="21"/>
        <v>5.4199999999999998E-2</v>
      </c>
      <c r="N41" s="117">
        <f t="shared" si="21"/>
        <v>5.4199999999999998E-2</v>
      </c>
      <c r="O41" s="117">
        <f t="shared" si="21"/>
        <v>5.4199999999999998E-2</v>
      </c>
      <c r="P41" s="117"/>
      <c r="Q41" s="117"/>
      <c r="R41" s="117"/>
      <c r="S41" s="117"/>
      <c r="T41" s="127"/>
    </row>
    <row r="42" spans="1:20" ht="14.45" customHeight="1">
      <c r="A42" s="63">
        <v>25</v>
      </c>
      <c r="B42" s="34" t="s">
        <v>31</v>
      </c>
      <c r="C42" s="63" t="s">
        <v>35</v>
      </c>
      <c r="D42" s="9">
        <f>(D39+D40)/2*D41/12</f>
        <v>948.7240611218657</v>
      </c>
      <c r="E42" s="9">
        <f t="shared" ref="E42:O42" si="22">(D44+(E39+E40)/2)*E41/12</f>
        <v>1117.1199759314729</v>
      </c>
      <c r="F42" s="9">
        <f t="shared" si="22"/>
        <v>841.65306689514216</v>
      </c>
      <c r="G42" s="9">
        <f t="shared" si="22"/>
        <v>2347.4074851614955</v>
      </c>
      <c r="H42" s="223">
        <f t="shared" si="22"/>
        <v>5649.4234004002274</v>
      </c>
      <c r="I42" s="9">
        <f t="shared" si="22"/>
        <v>9672.652516821594</v>
      </c>
      <c r="J42" s="9">
        <f t="shared" si="22"/>
        <v>14235.747251044071</v>
      </c>
      <c r="K42" s="9">
        <f t="shared" si="22"/>
        <v>17744.976695487261</v>
      </c>
      <c r="L42" s="9">
        <f t="shared" si="22"/>
        <v>20301.111351020056</v>
      </c>
      <c r="M42" s="9">
        <f t="shared" si="22"/>
        <v>22468.875523701678</v>
      </c>
      <c r="N42" s="9">
        <f t="shared" si="22"/>
        <v>23126.382616273317</v>
      </c>
      <c r="O42" s="9">
        <f t="shared" si="22"/>
        <v>27030.86077706049</v>
      </c>
      <c r="P42" s="116">
        <f>SUM(D42:F42)</f>
        <v>2907.4971039484808</v>
      </c>
      <c r="Q42" s="116">
        <f>SUM(G42:I42)</f>
        <v>17669.483402383317</v>
      </c>
      <c r="R42" s="116">
        <f>SUM(J42:L42)</f>
        <v>52281.835297551384</v>
      </c>
      <c r="S42" s="116">
        <f>SUM(M42:O42)</f>
        <v>72626.118917035477</v>
      </c>
      <c r="T42" s="127">
        <f>SUM(D42:O42)</f>
        <v>145484.93472091868</v>
      </c>
    </row>
    <row r="43" spans="1:20" ht="15.75" thickBot="1">
      <c r="A43" s="63"/>
      <c r="B43" s="10" t="s">
        <v>36</v>
      </c>
      <c r="C43" s="63"/>
      <c r="D43" s="12">
        <f>D39+D40+D42</f>
        <v>440511.99562337622</v>
      </c>
      <c r="E43" s="12">
        <f t="shared" ref="E43:T43" si="23">E39+E40+E42</f>
        <v>-362322.32643770601</v>
      </c>
      <c r="F43" s="12">
        <f t="shared" si="23"/>
        <v>234417.40360450087</v>
      </c>
      <c r="G43" s="12">
        <f t="shared" si="23"/>
        <v>410853.98931538605</v>
      </c>
      <c r="H43" s="12">
        <f t="shared" si="23"/>
        <v>1046546.7782646155</v>
      </c>
      <c r="I43" s="12">
        <f t="shared" si="23"/>
        <v>729173.6764318581</v>
      </c>
      <c r="J43" s="12">
        <f t="shared" si="23"/>
        <v>1227835.1504662139</v>
      </c>
      <c r="K43" s="12">
        <f t="shared" si="23"/>
        <v>306974.20018980245</v>
      </c>
      <c r="L43" s="12">
        <f t="shared" si="23"/>
        <v>810986.14778913301</v>
      </c>
      <c r="M43" s="12">
        <f t="shared" si="23"/>
        <v>281832.42010019626</v>
      </c>
      <c r="N43" s="12">
        <f t="shared" si="23"/>
        <v>9972.1390536163744</v>
      </c>
      <c r="O43" s="12">
        <f t="shared" si="23"/>
        <v>1722852.557905921</v>
      </c>
      <c r="P43" s="132">
        <f t="shared" si="23"/>
        <v>312607.07279017108</v>
      </c>
      <c r="Q43" s="132">
        <f t="shared" si="23"/>
        <v>2186574.4440118596</v>
      </c>
      <c r="R43" s="132">
        <f t="shared" si="23"/>
        <v>2345795.4984451495</v>
      </c>
      <c r="S43" s="132">
        <f t="shared" si="23"/>
        <v>2014657.1170597337</v>
      </c>
      <c r="T43" s="132">
        <f t="shared" si="23"/>
        <v>6859634.1323069138</v>
      </c>
    </row>
    <row r="44" spans="1:20" ht="26.25">
      <c r="A44" s="63">
        <v>26</v>
      </c>
      <c r="B44" s="135" t="s">
        <v>95</v>
      </c>
      <c r="C44" s="63" t="str">
        <f>"Σ(("&amp;A$39&amp;") ~ ("&amp;A42&amp;"))"</f>
        <v>Σ((23) ~ (25))</v>
      </c>
      <c r="D44" s="67">
        <f>D39+D40+D42</f>
        <v>440511.99562337622</v>
      </c>
      <c r="E44" s="67">
        <f t="shared" ref="E44:O44" si="24">D44+E39+E40+E42</f>
        <v>78189.669185670209</v>
      </c>
      <c r="F44" s="67">
        <f t="shared" si="24"/>
        <v>312607.07279017108</v>
      </c>
      <c r="G44" s="67">
        <f t="shared" si="24"/>
        <v>723461.06210555707</v>
      </c>
      <c r="H44" s="68">
        <f t="shared" si="24"/>
        <v>1770007.8403701724</v>
      </c>
      <c r="I44" s="67">
        <f t="shared" si="24"/>
        <v>2499181.5168020306</v>
      </c>
      <c r="J44" s="67">
        <f t="shared" si="24"/>
        <v>3727016.6672682445</v>
      </c>
      <c r="K44" s="67">
        <f t="shared" si="24"/>
        <v>4033990.8674580469</v>
      </c>
      <c r="L44" s="67">
        <f t="shared" si="24"/>
        <v>4844977.0152471801</v>
      </c>
      <c r="M44" s="67">
        <f t="shared" si="24"/>
        <v>5126809.4353473764</v>
      </c>
      <c r="N44" s="67">
        <f t="shared" si="24"/>
        <v>5136781.5744009921</v>
      </c>
      <c r="O44" s="211">
        <f t="shared" si="24"/>
        <v>6859634.1323069129</v>
      </c>
      <c r="P44" s="116"/>
      <c r="Q44" s="116"/>
      <c r="R44" s="116"/>
      <c r="S44" s="116"/>
      <c r="T44" s="127"/>
    </row>
    <row r="45" spans="1:20" ht="14.45" hidden="1" customHeight="1" thickBot="1">
      <c r="A45" s="63"/>
      <c r="B45" s="147"/>
      <c r="C45" s="63"/>
      <c r="D45" s="67"/>
      <c r="E45" s="67"/>
      <c r="F45" s="67"/>
      <c r="G45" s="67"/>
      <c r="H45" s="68"/>
      <c r="I45" s="67"/>
      <c r="J45" s="67"/>
      <c r="K45" s="67"/>
      <c r="L45" s="67"/>
      <c r="M45" s="67"/>
      <c r="N45" s="67"/>
      <c r="O45" s="28"/>
      <c r="P45" s="132">
        <f>P41+P42+P44</f>
        <v>2907.4971039484808</v>
      </c>
      <c r="Q45" s="132">
        <f>Q41+Q42+Q44</f>
        <v>17669.483402383317</v>
      </c>
      <c r="R45" s="132">
        <f>R41+R42+R44</f>
        <v>52281.835297551384</v>
      </c>
      <c r="S45" s="132">
        <f>S41+S42+S44</f>
        <v>72626.118917035477</v>
      </c>
      <c r="T45" s="132">
        <f>T41+T42+T44</f>
        <v>145484.93472091868</v>
      </c>
    </row>
    <row r="46" spans="1:20" ht="21.75" customHeight="1" thickBot="1">
      <c r="A46" s="2">
        <v>27</v>
      </c>
      <c r="B46" s="119" t="s">
        <v>96</v>
      </c>
      <c r="C46" s="2" t="str">
        <f>"("&amp;A$25&amp;") + ("&amp;A44&amp;")"</f>
        <v>(13) + (26)</v>
      </c>
      <c r="D46" s="14">
        <f t="shared" ref="D46:O46" si="25">D25+D44</f>
        <v>976904.8853265068</v>
      </c>
      <c r="E46" s="14">
        <f t="shared" si="25"/>
        <v>-49171.366633911515</v>
      </c>
      <c r="F46" s="14">
        <f t="shared" si="25"/>
        <v>-2699877.0701291692</v>
      </c>
      <c r="G46" s="14">
        <f t="shared" si="25"/>
        <v>-1025936.2281841746</v>
      </c>
      <c r="H46" s="225">
        <f t="shared" si="25"/>
        <v>794584.35499780055</v>
      </c>
      <c r="I46" s="14">
        <f t="shared" si="25"/>
        <v>1815906.4844565275</v>
      </c>
      <c r="J46" s="14">
        <f t="shared" si="25"/>
        <v>4418857.5929543022</v>
      </c>
      <c r="K46" s="14">
        <f t="shared" si="25"/>
        <v>4134553.3310479643</v>
      </c>
      <c r="L46" s="14">
        <f t="shared" si="25"/>
        <v>5991785.2699840562</v>
      </c>
      <c r="M46" s="14">
        <f t="shared" si="25"/>
        <v>5635707.4115234762</v>
      </c>
      <c r="N46" s="14">
        <f t="shared" si="25"/>
        <v>5903966.3055013195</v>
      </c>
      <c r="O46" s="210">
        <f t="shared" si="25"/>
        <v>8041666.7742202161</v>
      </c>
      <c r="P46" s="134"/>
      <c r="Q46" s="134"/>
      <c r="R46" s="134"/>
      <c r="S46" s="134"/>
      <c r="T46" s="16"/>
    </row>
  </sheetData>
  <printOptions horizontalCentered="1"/>
  <pageMargins left="0.7" right="0.71" top="1.0900000000000001" bottom="0.75" header="0.5" footer="0.5"/>
  <pageSetup scale="64" orientation="landscape" r:id="rId1"/>
  <headerFooter scaleWithDoc="0">
    <oddHeader>&amp;CAvista Corporation Decoupling Mechanism
Washington Jurisdiction
Quarterly Report for 4th Quarter 2019</oddHeader>
    <oddFooter>&amp;Cfile: &amp;F / &amp;A&amp;R1 of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152"/>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tabSelected="1" topLeftCell="C4" zoomScaleNormal="100" workbookViewId="0">
      <selection activeCell="D1" sqref="D1:L1048576"/>
    </sheetView>
  </sheetViews>
  <sheetFormatPr defaultRowHeight="15"/>
  <cols>
    <col min="1" max="1" width="7.28515625" customWidth="1"/>
    <col min="2" max="2" width="35" customWidth="1"/>
    <col min="3" max="3" width="18.7109375" customWidth="1"/>
    <col min="4" max="4" width="13.28515625" hidden="1" customWidth="1"/>
    <col min="5" max="5" width="12.140625" hidden="1" customWidth="1"/>
    <col min="6" max="6" width="12.42578125" hidden="1" customWidth="1"/>
    <col min="7" max="7" width="12.140625" hidden="1" customWidth="1"/>
    <col min="8" max="8" width="11.7109375" hidden="1" customWidth="1"/>
    <col min="9" max="9" width="12" hidden="1" customWidth="1"/>
    <col min="10" max="10" width="11.28515625" hidden="1" customWidth="1"/>
    <col min="11" max="11" width="11.85546875" hidden="1" customWidth="1"/>
    <col min="12" max="12" width="11.28515625" hidden="1" customWidth="1"/>
    <col min="13" max="13" width="12.28515625" customWidth="1"/>
    <col min="14" max="14" width="11.5703125" customWidth="1"/>
    <col min="15" max="15" width="12.28515625" customWidth="1"/>
    <col min="16" max="16" width="12.7109375" style="62" customWidth="1"/>
    <col min="17" max="17" width="12.85546875" style="24" customWidth="1"/>
    <col min="18" max="18" width="12.28515625" style="62" customWidth="1"/>
    <col min="19" max="19" width="12.28515625" style="72" customWidth="1"/>
    <col min="20" max="20" width="12.42578125" customWidth="1"/>
  </cols>
  <sheetData>
    <row r="1" spans="1:20" ht="15.75">
      <c r="A1" s="136" t="s">
        <v>0</v>
      </c>
      <c r="B1" s="136"/>
      <c r="C1" s="136"/>
      <c r="D1" s="136"/>
      <c r="E1" s="136"/>
      <c r="F1" s="136"/>
      <c r="G1" s="136"/>
      <c r="H1" s="136"/>
      <c r="I1" s="136"/>
      <c r="J1" s="136"/>
      <c r="K1" s="136"/>
      <c r="L1" s="136"/>
      <c r="M1" s="136"/>
      <c r="N1" s="136"/>
      <c r="O1" s="136"/>
      <c r="P1" s="136"/>
      <c r="Q1" s="136"/>
      <c r="R1" s="136"/>
      <c r="S1" s="136"/>
      <c r="T1" s="136"/>
    </row>
    <row r="2" spans="1:20" ht="18.75">
      <c r="A2" s="136" t="s">
        <v>157</v>
      </c>
      <c r="B2" s="136"/>
      <c r="C2" s="136"/>
      <c r="D2" s="136"/>
      <c r="E2" s="136"/>
      <c r="F2" s="136"/>
      <c r="G2" s="136"/>
      <c r="H2" s="136"/>
      <c r="I2" s="136"/>
      <c r="J2" s="136"/>
      <c r="K2" s="136"/>
      <c r="L2" s="136"/>
      <c r="M2" s="136"/>
      <c r="N2" s="136"/>
      <c r="O2" s="136"/>
      <c r="P2" s="138"/>
      <c r="Q2" s="138"/>
      <c r="R2" s="138"/>
      <c r="S2" s="138"/>
      <c r="T2" s="138"/>
    </row>
    <row r="3" spans="1:20" ht="15.75">
      <c r="A3" s="136" t="s">
        <v>158</v>
      </c>
      <c r="B3" s="136"/>
      <c r="C3" s="136"/>
      <c r="D3" s="136"/>
      <c r="E3" s="136"/>
      <c r="F3" s="136"/>
      <c r="G3" s="136"/>
      <c r="H3" s="136"/>
      <c r="I3" s="136"/>
      <c r="J3" s="136"/>
      <c r="K3" s="136"/>
      <c r="L3" s="136"/>
      <c r="M3" s="136"/>
      <c r="N3" s="136"/>
      <c r="O3" s="136"/>
      <c r="P3" s="137"/>
      <c r="Q3" s="137"/>
      <c r="R3" s="137"/>
      <c r="S3" s="137"/>
      <c r="T3" s="137"/>
    </row>
    <row r="4" spans="1:20" ht="15" customHeight="1">
      <c r="A4" s="137"/>
      <c r="B4" s="13"/>
      <c r="C4" s="13"/>
      <c r="D4" s="13"/>
      <c r="E4" s="13"/>
      <c r="F4" s="13"/>
      <c r="G4" s="13"/>
      <c r="H4" s="13"/>
      <c r="I4" s="13"/>
      <c r="J4" s="13"/>
      <c r="K4" s="13"/>
      <c r="L4" s="13"/>
      <c r="M4" s="13"/>
      <c r="N4" s="13"/>
      <c r="O4" s="13"/>
      <c r="P4" s="71"/>
      <c r="Q4" s="60"/>
      <c r="R4" s="71"/>
      <c r="S4" s="77"/>
      <c r="T4" s="1"/>
    </row>
    <row r="5" spans="1:20" ht="26.25">
      <c r="A5" s="34"/>
      <c r="B5" s="34"/>
      <c r="C5" s="34"/>
      <c r="D5" s="63"/>
      <c r="E5" s="10"/>
      <c r="F5" s="10"/>
      <c r="G5" s="10"/>
      <c r="H5" s="10"/>
      <c r="I5" s="10"/>
      <c r="J5" s="10"/>
      <c r="K5" s="10"/>
      <c r="L5" s="10"/>
      <c r="M5" s="10"/>
      <c r="N5" s="10"/>
      <c r="O5" s="10"/>
      <c r="P5" s="61" t="s">
        <v>149</v>
      </c>
      <c r="Q5" s="61" t="s">
        <v>150</v>
      </c>
      <c r="R5" s="61" t="s">
        <v>156</v>
      </c>
      <c r="S5" s="61" t="s">
        <v>152</v>
      </c>
      <c r="T5" s="59" t="s">
        <v>153</v>
      </c>
    </row>
    <row r="6" spans="1:20" ht="25.5">
      <c r="A6" s="106" t="s">
        <v>1</v>
      </c>
      <c r="B6" s="107"/>
      <c r="C6" s="102" t="s">
        <v>2</v>
      </c>
      <c r="D6" s="139">
        <v>43466</v>
      </c>
      <c r="E6" s="108">
        <f t="shared" ref="E6:O6" si="0">EDATE(D6,1)</f>
        <v>43497</v>
      </c>
      <c r="F6" s="108">
        <f t="shared" si="0"/>
        <v>43525</v>
      </c>
      <c r="G6" s="108">
        <f t="shared" si="0"/>
        <v>43556</v>
      </c>
      <c r="H6" s="108">
        <f t="shared" si="0"/>
        <v>43586</v>
      </c>
      <c r="I6" s="108">
        <f t="shared" si="0"/>
        <v>43617</v>
      </c>
      <c r="J6" s="108">
        <f t="shared" si="0"/>
        <v>43647</v>
      </c>
      <c r="K6" s="108">
        <f t="shared" si="0"/>
        <v>43678</v>
      </c>
      <c r="L6" s="108">
        <f t="shared" si="0"/>
        <v>43709</v>
      </c>
      <c r="M6" s="108">
        <f t="shared" si="0"/>
        <v>43739</v>
      </c>
      <c r="N6" s="108">
        <f t="shared" si="0"/>
        <v>43770</v>
      </c>
      <c r="O6" s="108">
        <f t="shared" si="0"/>
        <v>43800</v>
      </c>
      <c r="P6" s="108" t="s">
        <v>3</v>
      </c>
      <c r="Q6" s="23" t="s">
        <v>3</v>
      </c>
      <c r="R6" s="23" t="s">
        <v>3</v>
      </c>
      <c r="S6" s="23" t="s">
        <v>3</v>
      </c>
      <c r="T6" s="3" t="s">
        <v>3</v>
      </c>
    </row>
    <row r="7" spans="1:20">
      <c r="A7" s="63"/>
      <c r="B7" s="63" t="s">
        <v>4</v>
      </c>
      <c r="C7" s="63" t="s">
        <v>5</v>
      </c>
      <c r="D7" s="63" t="s">
        <v>6</v>
      </c>
      <c r="E7" s="63" t="s">
        <v>7</v>
      </c>
      <c r="F7" s="63" t="s">
        <v>8</v>
      </c>
      <c r="G7" s="63" t="s">
        <v>9</v>
      </c>
      <c r="H7" s="213" t="s">
        <v>10</v>
      </c>
      <c r="I7" s="63" t="s">
        <v>11</v>
      </c>
      <c r="J7" s="63" t="s">
        <v>12</v>
      </c>
      <c r="K7" s="63" t="s">
        <v>13</v>
      </c>
      <c r="L7" s="63" t="s">
        <v>14</v>
      </c>
      <c r="M7" s="63" t="s">
        <v>15</v>
      </c>
      <c r="N7" s="63" t="s">
        <v>16</v>
      </c>
      <c r="O7" s="63" t="s">
        <v>17</v>
      </c>
      <c r="P7" s="63" t="s">
        <v>18</v>
      </c>
      <c r="Q7" s="25"/>
      <c r="R7" s="63"/>
      <c r="S7" s="63"/>
      <c r="T7" s="4" t="s">
        <v>18</v>
      </c>
    </row>
    <row r="8" spans="1:20">
      <c r="A8" s="63"/>
      <c r="B8" s="2" t="s">
        <v>19</v>
      </c>
      <c r="C8" s="63"/>
      <c r="D8" s="63"/>
      <c r="E8" s="63"/>
      <c r="F8" s="63"/>
      <c r="G8" s="63"/>
      <c r="H8" s="213"/>
      <c r="I8" s="63"/>
      <c r="J8" s="63"/>
      <c r="K8" s="63"/>
      <c r="L8" s="63"/>
      <c r="M8" s="63"/>
      <c r="N8" s="63"/>
      <c r="O8" s="63"/>
      <c r="P8" s="67"/>
      <c r="Q8" s="27"/>
      <c r="R8" s="67"/>
      <c r="S8" s="67"/>
      <c r="T8" s="5"/>
    </row>
    <row r="9" spans="1:20">
      <c r="A9" s="63">
        <v>1</v>
      </c>
      <c r="B9" s="34" t="s">
        <v>20</v>
      </c>
      <c r="C9" s="63" t="s">
        <v>21</v>
      </c>
      <c r="D9" s="140">
        <v>164455</v>
      </c>
      <c r="E9" s="140">
        <v>164455</v>
      </c>
      <c r="F9" s="140">
        <v>164201</v>
      </c>
      <c r="G9" s="140">
        <v>163106</v>
      </c>
      <c r="H9" s="226">
        <v>166886</v>
      </c>
      <c r="I9" s="140">
        <v>164587</v>
      </c>
      <c r="J9" s="140">
        <v>165355</v>
      </c>
      <c r="K9" s="140">
        <v>165693</v>
      </c>
      <c r="L9" s="140">
        <v>162332</v>
      </c>
      <c r="M9" s="140">
        <v>169448</v>
      </c>
      <c r="N9" s="140">
        <v>166729</v>
      </c>
      <c r="O9" s="140">
        <v>167092</v>
      </c>
      <c r="P9" s="66">
        <f>SUM(D9:F9)</f>
        <v>493111</v>
      </c>
      <c r="Q9" s="66">
        <f>SUM(G9:I9)</f>
        <v>494579</v>
      </c>
      <c r="R9" s="66">
        <f>SUM(J9:L9)</f>
        <v>493380</v>
      </c>
      <c r="S9" s="66">
        <f>SUM(M9:O9)</f>
        <v>503269</v>
      </c>
      <c r="T9" s="66">
        <f>SUM(D9:O9)</f>
        <v>1984339</v>
      </c>
    </row>
    <row r="10" spans="1:20" s="72" customFormat="1">
      <c r="A10" s="141">
        <f>A9+1</f>
        <v>2</v>
      </c>
      <c r="B10" s="109" t="s">
        <v>22</v>
      </c>
      <c r="C10" s="113" t="s">
        <v>91</v>
      </c>
      <c r="D10" s="142">
        <v>55.60659793197712</v>
      </c>
      <c r="E10" s="142">
        <v>44.263101987627543</v>
      </c>
      <c r="F10" s="142">
        <v>36.07004415129321</v>
      </c>
      <c r="G10" s="142">
        <v>22.057270366230398</v>
      </c>
      <c r="H10" s="227">
        <v>12.847310592119427</v>
      </c>
      <c r="I10" s="142">
        <v>8.3048388322355109</v>
      </c>
      <c r="J10" s="142">
        <v>6.0444731289140226</v>
      </c>
      <c r="K10" s="142">
        <v>6.2059465105473501</v>
      </c>
      <c r="L10" s="142">
        <v>7.9044427835798148</v>
      </c>
      <c r="M10" s="142">
        <v>19.75096016113789</v>
      </c>
      <c r="N10" s="142">
        <v>38.296167944879095</v>
      </c>
      <c r="O10" s="142">
        <v>57.078845609458618</v>
      </c>
      <c r="P10" s="146">
        <f>P11/P9</f>
        <v>45.318009170278252</v>
      </c>
      <c r="Q10" s="146">
        <f>Q11/Q9</f>
        <v>14.372987782966854</v>
      </c>
      <c r="R10" s="146">
        <f>R11/R9</f>
        <v>6.7106687651460923</v>
      </c>
      <c r="S10" s="146">
        <f>S11/S9</f>
        <v>38.288193696098709</v>
      </c>
      <c r="T10" s="146">
        <f>T11/T9</f>
        <v>26.223118858857646</v>
      </c>
    </row>
    <row r="11" spans="1:20">
      <c r="A11" s="63">
        <f>A10+1</f>
        <v>3</v>
      </c>
      <c r="B11" s="34" t="s">
        <v>23</v>
      </c>
      <c r="C11" s="63" t="str">
        <f>"("&amp;A9&amp;") x ("&amp;A10&amp;")"</f>
        <v>(1) x (2)</v>
      </c>
      <c r="D11" s="67">
        <f t="shared" ref="D11:O11" si="1">D9*D10</f>
        <v>9144783.0629032981</v>
      </c>
      <c r="E11" s="67">
        <f t="shared" si="1"/>
        <v>7279288.4373752875</v>
      </c>
      <c r="F11" s="67">
        <f t="shared" si="1"/>
        <v>5922737.3196864966</v>
      </c>
      <c r="G11" s="67">
        <f t="shared" si="1"/>
        <v>3597673.1403543754</v>
      </c>
      <c r="H11" s="68">
        <f t="shared" si="1"/>
        <v>2144036.2754764426</v>
      </c>
      <c r="I11" s="67">
        <f t="shared" si="1"/>
        <v>1366868.5088811461</v>
      </c>
      <c r="J11" s="67">
        <f t="shared" si="1"/>
        <v>999483.85423157818</v>
      </c>
      <c r="K11" s="67">
        <f t="shared" si="1"/>
        <v>1028281.8951721221</v>
      </c>
      <c r="L11" s="67">
        <f t="shared" si="1"/>
        <v>1283144.0059440786</v>
      </c>
      <c r="M11" s="67">
        <f t="shared" si="1"/>
        <v>3346760.697384493</v>
      </c>
      <c r="N11" s="67">
        <f t="shared" si="1"/>
        <v>6385081.7852817466</v>
      </c>
      <c r="O11" s="67">
        <f t="shared" si="1"/>
        <v>9537418.4705756586</v>
      </c>
      <c r="P11" s="67">
        <f>SUM(D11:F11)</f>
        <v>22346808.819965079</v>
      </c>
      <c r="Q11" s="67">
        <f>SUM(G11:I11)</f>
        <v>7108577.9247119641</v>
      </c>
      <c r="R11" s="67">
        <f>SUM(J11:L11)</f>
        <v>3310909.755347779</v>
      </c>
      <c r="S11" s="67">
        <f>SUM(M11:O11)</f>
        <v>19269260.9532419</v>
      </c>
      <c r="T11" s="67">
        <f>SUM(D11:O11)</f>
        <v>52035557.453266725</v>
      </c>
    </row>
    <row r="12" spans="1:20">
      <c r="A12" s="63"/>
      <c r="B12" s="34"/>
      <c r="C12" s="63"/>
      <c r="D12" s="67"/>
      <c r="E12" s="67"/>
      <c r="F12" s="67"/>
      <c r="G12" s="67"/>
      <c r="H12" s="68"/>
      <c r="I12" s="67"/>
      <c r="J12" s="67"/>
      <c r="K12" s="67"/>
      <c r="L12" s="67"/>
      <c r="M12" s="67"/>
      <c r="N12" s="67"/>
      <c r="O12" s="67"/>
      <c r="P12" s="64"/>
      <c r="Q12" s="64"/>
      <c r="R12" s="64"/>
      <c r="S12" s="64"/>
      <c r="T12" s="64"/>
    </row>
    <row r="13" spans="1:20">
      <c r="A13" s="63"/>
      <c r="B13" s="34" t="s">
        <v>92</v>
      </c>
      <c r="C13" s="63" t="s">
        <v>21</v>
      </c>
      <c r="D13" s="140">
        <v>21097779.06749</v>
      </c>
      <c r="E13" s="140">
        <v>23418618.537940003</v>
      </c>
      <c r="F13" s="140">
        <v>18495518.434899997</v>
      </c>
      <c r="G13" s="140">
        <v>8688149.8068300001</v>
      </c>
      <c r="H13" s="226">
        <v>4317307.7046499997</v>
      </c>
      <c r="I13" s="140">
        <v>2499965.9128</v>
      </c>
      <c r="J13" s="140">
        <v>2395099.96147</v>
      </c>
      <c r="K13" s="140">
        <v>2219193.12733</v>
      </c>
      <c r="L13" s="140">
        <v>3672892.1403299998</v>
      </c>
      <c r="M13" s="140">
        <v>12761927.928239999</v>
      </c>
      <c r="N13" s="140">
        <v>17329272.246089999</v>
      </c>
      <c r="O13" s="140">
        <v>19625255.084459998</v>
      </c>
      <c r="P13" s="64"/>
      <c r="Q13" s="64"/>
      <c r="R13" s="64"/>
      <c r="S13" s="64"/>
      <c r="T13" s="64"/>
    </row>
    <row r="14" spans="1:20" ht="26.25">
      <c r="A14" s="63">
        <v>4</v>
      </c>
      <c r="B14" s="143" t="s">
        <v>93</v>
      </c>
      <c r="C14" s="63" t="s">
        <v>21</v>
      </c>
      <c r="D14" s="144">
        <v>10669188.535250001</v>
      </c>
      <c r="E14" s="144">
        <v>10924265.97978</v>
      </c>
      <c r="F14" s="144">
        <v>7990455.5639699996</v>
      </c>
      <c r="G14" s="144">
        <v>4849756.6280499958</v>
      </c>
      <c r="H14" s="228">
        <v>3122405.1209899997</v>
      </c>
      <c r="I14" s="144">
        <v>2515508.9652599953</v>
      </c>
      <c r="J14" s="144">
        <v>2534302.0002199993</v>
      </c>
      <c r="K14" s="144">
        <v>2514716.8812400047</v>
      </c>
      <c r="L14" s="144">
        <v>2922891.9679500023</v>
      </c>
      <c r="M14" s="144">
        <v>6570619.3250099979</v>
      </c>
      <c r="N14" s="144">
        <v>7577650.5810799981</v>
      </c>
      <c r="O14" s="144">
        <v>10002366.166820001</v>
      </c>
      <c r="P14" s="36"/>
      <c r="Q14" s="36"/>
      <c r="R14" s="36"/>
      <c r="S14" s="36"/>
      <c r="T14" s="36"/>
    </row>
    <row r="15" spans="1:20">
      <c r="A15" s="63">
        <v>5</v>
      </c>
      <c r="B15" s="34" t="s">
        <v>24</v>
      </c>
      <c r="C15" s="63" t="s">
        <v>21</v>
      </c>
      <c r="D15" s="144">
        <v>1579269.5</v>
      </c>
      <c r="E15" s="144">
        <v>1549602</v>
      </c>
      <c r="F15" s="144">
        <v>1605794.5</v>
      </c>
      <c r="G15" s="144">
        <v>1569814</v>
      </c>
      <c r="H15" s="228">
        <v>1612539.5</v>
      </c>
      <c r="I15" s="144">
        <v>1593454</v>
      </c>
      <c r="J15" s="144">
        <v>1603229.5</v>
      </c>
      <c r="K15" s="144">
        <v>1605186.5</v>
      </c>
      <c r="L15" s="144">
        <v>1568317.5</v>
      </c>
      <c r="M15" s="144">
        <v>1633848</v>
      </c>
      <c r="N15" s="144">
        <v>1605196.5</v>
      </c>
      <c r="O15" s="144">
        <v>1607998</v>
      </c>
      <c r="P15" s="36"/>
      <c r="Q15" s="36"/>
      <c r="R15" s="36"/>
      <c r="S15" s="36"/>
      <c r="T15" s="36"/>
    </row>
    <row r="16" spans="1:20">
      <c r="A16" s="63">
        <v>6</v>
      </c>
      <c r="B16" s="34" t="s">
        <v>25</v>
      </c>
      <c r="C16" s="63" t="str">
        <f>"("&amp;A14&amp;") - ("&amp;A15&amp;")"</f>
        <v>(4) - (5)</v>
      </c>
      <c r="D16" s="67">
        <f>D14-D15</f>
        <v>9089919.0352500007</v>
      </c>
      <c r="E16" s="67">
        <f t="shared" ref="E16:O16" si="2">E14-E15</f>
        <v>9374663.9797799997</v>
      </c>
      <c r="F16" s="67">
        <f t="shared" si="2"/>
        <v>6384661.0639699996</v>
      </c>
      <c r="G16" s="67">
        <f t="shared" si="2"/>
        <v>3279942.6280499958</v>
      </c>
      <c r="H16" s="68">
        <f t="shared" si="2"/>
        <v>1509865.6209899997</v>
      </c>
      <c r="I16" s="67">
        <f t="shared" si="2"/>
        <v>922054.96525999531</v>
      </c>
      <c r="J16" s="67">
        <f t="shared" si="2"/>
        <v>931072.50021999935</v>
      </c>
      <c r="K16" s="67">
        <f t="shared" si="2"/>
        <v>909530.38124000467</v>
      </c>
      <c r="L16" s="67">
        <f t="shared" si="2"/>
        <v>1354574.4679500023</v>
      </c>
      <c r="M16" s="67">
        <f t="shared" si="2"/>
        <v>4936771.3250099979</v>
      </c>
      <c r="N16" s="67">
        <f t="shared" si="2"/>
        <v>5972454.0810799981</v>
      </c>
      <c r="O16" s="67">
        <f t="shared" si="2"/>
        <v>8394368.1668200009</v>
      </c>
      <c r="P16" s="67">
        <f>SUM(D16:F16)</f>
        <v>24849244.079</v>
      </c>
      <c r="Q16" s="67">
        <f>SUM(G16:I16)</f>
        <v>5711863.2142999908</v>
      </c>
      <c r="R16" s="67">
        <f>SUM(J16:L16)</f>
        <v>3195177.3494100063</v>
      </c>
      <c r="S16" s="67">
        <f>SUM(M16:O16)</f>
        <v>19303593.572909996</v>
      </c>
      <c r="T16" s="67">
        <f>SUM(D16:O16)</f>
        <v>53059878.215619996</v>
      </c>
    </row>
    <row r="17" spans="1:20">
      <c r="A17" s="63"/>
      <c r="B17" s="7" t="s">
        <v>26</v>
      </c>
      <c r="C17" s="63"/>
      <c r="D17" s="11">
        <f>D16/D9</f>
        <v>55.272986745614304</v>
      </c>
      <c r="E17" s="11">
        <f t="shared" ref="E17:O17" si="3">E16/E9</f>
        <v>57.004432700617187</v>
      </c>
      <c r="F17" s="11">
        <f t="shared" si="3"/>
        <v>38.883204511361072</v>
      </c>
      <c r="G17" s="11">
        <f t="shared" si="3"/>
        <v>20.109270217220676</v>
      </c>
      <c r="H17" s="229">
        <f t="shared" si="3"/>
        <v>9.0472874955957945</v>
      </c>
      <c r="I17" s="11">
        <f t="shared" si="3"/>
        <v>5.6022344733180347</v>
      </c>
      <c r="J17" s="11">
        <f t="shared" si="3"/>
        <v>5.6307489959178696</v>
      </c>
      <c r="K17" s="11">
        <f t="shared" si="3"/>
        <v>5.4892504887955722</v>
      </c>
      <c r="L17" s="11">
        <f t="shared" si="3"/>
        <v>8.34446977767786</v>
      </c>
      <c r="M17" s="11">
        <f t="shared" si="3"/>
        <v>29.134432539835217</v>
      </c>
      <c r="N17" s="11">
        <f t="shared" si="3"/>
        <v>35.821327310066025</v>
      </c>
      <c r="O17" s="11">
        <f t="shared" si="3"/>
        <v>50.238001620783763</v>
      </c>
      <c r="P17" s="146">
        <f>P16/P9</f>
        <v>50.392800158584983</v>
      </c>
      <c r="Q17" s="146">
        <f>Q16/Q9</f>
        <v>11.548940036475448</v>
      </c>
      <c r="R17" s="146">
        <f>R16/R9</f>
        <v>6.4760982395111402</v>
      </c>
      <c r="S17" s="146">
        <f>S16/S9</f>
        <v>38.356412918161055</v>
      </c>
      <c r="T17" s="146">
        <f>T16/T9</f>
        <v>26.739321363748832</v>
      </c>
    </row>
    <row r="18" spans="1:20">
      <c r="A18" s="63">
        <v>7</v>
      </c>
      <c r="B18" s="34" t="s">
        <v>27</v>
      </c>
      <c r="C18" s="63" t="str">
        <f>"("&amp;A$11&amp;") - ("&amp;A16&amp;")"</f>
        <v>(3) - (6)</v>
      </c>
      <c r="D18" s="145">
        <f t="shared" ref="D18:O18" si="4">D11-D16</f>
        <v>54864.027653297409</v>
      </c>
      <c r="E18" s="145">
        <f t="shared" si="4"/>
        <v>-2095375.5424047122</v>
      </c>
      <c r="F18" s="145">
        <f t="shared" si="4"/>
        <v>-461923.74428350292</v>
      </c>
      <c r="G18" s="145">
        <f t="shared" si="4"/>
        <v>317730.5123043796</v>
      </c>
      <c r="H18" s="145">
        <f t="shared" si="4"/>
        <v>634170.65448644292</v>
      </c>
      <c r="I18" s="145">
        <f t="shared" si="4"/>
        <v>444813.54362115078</v>
      </c>
      <c r="J18" s="145">
        <f t="shared" si="4"/>
        <v>68411.354011578835</v>
      </c>
      <c r="K18" s="145">
        <f t="shared" si="4"/>
        <v>118751.51393211738</v>
      </c>
      <c r="L18" s="145">
        <f t="shared" si="4"/>
        <v>-71430.462005923735</v>
      </c>
      <c r="M18" s="145">
        <f t="shared" si="4"/>
        <v>-1590010.627625505</v>
      </c>
      <c r="N18" s="145">
        <f t="shared" si="4"/>
        <v>412627.70420174859</v>
      </c>
      <c r="O18" s="145">
        <f t="shared" si="4"/>
        <v>1143050.3037556577</v>
      </c>
      <c r="P18" s="67">
        <f>SUM(D18:F18)</f>
        <v>-2502435.2590349177</v>
      </c>
      <c r="Q18" s="67">
        <f>SUM(G18:I18)</f>
        <v>1396714.7104119733</v>
      </c>
      <c r="R18" s="67">
        <f>SUM(J18:L18)</f>
        <v>115732.40593777248</v>
      </c>
      <c r="S18" s="67">
        <f>SUM(M18:O18)</f>
        <v>-34332.619668098632</v>
      </c>
      <c r="T18" s="67">
        <f>SUM(D18:O18)</f>
        <v>-1024320.7623532703</v>
      </c>
    </row>
    <row r="19" spans="1:20">
      <c r="A19" s="63">
        <v>8</v>
      </c>
      <c r="B19" s="34" t="s">
        <v>28</v>
      </c>
      <c r="C19" s="63" t="s">
        <v>29</v>
      </c>
      <c r="D19" s="116">
        <f>D18*-0.046465</f>
        <v>-2549.2570449104642</v>
      </c>
      <c r="E19" s="116">
        <f>E18*-0.046465</f>
        <v>97361.624577834955</v>
      </c>
      <c r="F19" s="116">
        <f>F18*-0.046465</f>
        <v>21463.286778132962</v>
      </c>
      <c r="G19" s="116">
        <f t="shared" ref="G19:O19" si="5">G18*-0.046465</f>
        <v>-14763.348254222998</v>
      </c>
      <c r="H19" s="116">
        <f t="shared" si="5"/>
        <v>-29466.739460712568</v>
      </c>
      <c r="I19" s="116">
        <f t="shared" si="5"/>
        <v>-20668.261304356769</v>
      </c>
      <c r="J19" s="116">
        <f t="shared" si="5"/>
        <v>-3178.7335641480104</v>
      </c>
      <c r="K19" s="116">
        <f t="shared" si="5"/>
        <v>-5517.7890948558343</v>
      </c>
      <c r="L19" s="116">
        <f t="shared" si="5"/>
        <v>3319.0164171052461</v>
      </c>
      <c r="M19" s="116">
        <f t="shared" si="5"/>
        <v>73879.843812619089</v>
      </c>
      <c r="N19" s="116">
        <f t="shared" si="5"/>
        <v>-19172.746275734247</v>
      </c>
      <c r="O19" s="116">
        <f t="shared" si="5"/>
        <v>-53111.832364006637</v>
      </c>
      <c r="P19" s="67">
        <f>SUM(D19:F19)</f>
        <v>116275.65431105744</v>
      </c>
      <c r="Q19" s="67">
        <f>SUM(G19:I19)</f>
        <v>-64898.349019292335</v>
      </c>
      <c r="R19" s="67">
        <f>SUM(J19:L19)</f>
        <v>-5377.5062418985981</v>
      </c>
      <c r="S19" s="67">
        <f>SUM(M19:O19)</f>
        <v>1595.2651728782075</v>
      </c>
      <c r="T19" s="67">
        <f>SUM(D19:O19)</f>
        <v>47595.064222744724</v>
      </c>
    </row>
    <row r="20" spans="1:20" ht="14.45" customHeight="1">
      <c r="A20" s="63"/>
      <c r="B20" s="34"/>
      <c r="C20" s="8" t="s">
        <v>30</v>
      </c>
      <c r="D20" s="117">
        <v>5.1799999999999999E-2</v>
      </c>
      <c r="E20" s="117">
        <f t="shared" ref="E20:I20" si="6">D20</f>
        <v>5.1799999999999999E-2</v>
      </c>
      <c r="F20" s="117">
        <f>E20</f>
        <v>5.1799999999999999E-2</v>
      </c>
      <c r="G20" s="117">
        <v>5.45E-2</v>
      </c>
      <c r="H20" s="222">
        <f t="shared" si="6"/>
        <v>5.45E-2</v>
      </c>
      <c r="I20" s="117">
        <f t="shared" si="6"/>
        <v>5.45E-2</v>
      </c>
      <c r="J20" s="117">
        <v>5.5E-2</v>
      </c>
      <c r="K20" s="117">
        <f t="shared" ref="K20" si="7">J20</f>
        <v>5.5E-2</v>
      </c>
      <c r="L20" s="117">
        <f t="shared" ref="L20" si="8">K20</f>
        <v>5.5E-2</v>
      </c>
      <c r="M20" s="117">
        <v>5.4199999999999998E-2</v>
      </c>
      <c r="N20" s="117">
        <f t="shared" ref="N20" si="9">M20</f>
        <v>5.4199999999999998E-2</v>
      </c>
      <c r="O20" s="117">
        <f t="shared" ref="O20" si="10">N20</f>
        <v>5.4199999999999998E-2</v>
      </c>
      <c r="P20" s="73"/>
      <c r="Q20" s="73"/>
      <c r="R20" s="73"/>
      <c r="S20" s="73"/>
      <c r="T20" s="73"/>
    </row>
    <row r="21" spans="1:20">
      <c r="A21" s="63">
        <v>9</v>
      </c>
      <c r="B21" s="34" t="s">
        <v>31</v>
      </c>
      <c r="C21" s="8" t="s">
        <v>35</v>
      </c>
      <c r="D21" s="9">
        <f>(D18+D19)/2*D20/12</f>
        <v>112.91271322976849</v>
      </c>
      <c r="E21" s="9">
        <f>(D23+(E18+E19)/2)*E20/12</f>
        <v>-4086.0672063046973</v>
      </c>
      <c r="F21" s="9">
        <f t="shared" ref="F21:O21" si="11">(E23+(F18+F19)/2)*F20/12</f>
        <v>-9366.7459231706798</v>
      </c>
      <c r="G21" s="9">
        <f t="shared" si="11"/>
        <v>-10209.73898414742</v>
      </c>
      <c r="H21" s="223">
        <f t="shared" si="11"/>
        <v>-8194.9384732989274</v>
      </c>
      <c r="I21" s="9">
        <f t="shared" si="11"/>
        <v>-5895.8120998998447</v>
      </c>
      <c r="J21" s="9">
        <f t="shared" si="11"/>
        <v>-4855.4335641215075</v>
      </c>
      <c r="K21" s="9">
        <f>(J23+(K18+K19)/2)*K20/12</f>
        <v>-4468.7022600129776</v>
      </c>
      <c r="L21" s="9">
        <f t="shared" si="11"/>
        <v>-4385.778588760355</v>
      </c>
      <c r="M21" s="9">
        <f t="shared" si="11"/>
        <v>-7919.5415803425303</v>
      </c>
      <c r="N21" s="9">
        <f t="shared" si="11"/>
        <v>-10490.687749941597</v>
      </c>
      <c r="O21" s="9">
        <f t="shared" si="11"/>
        <v>-7188.0738617364377</v>
      </c>
      <c r="P21" s="67">
        <f>SUM(D21:F21)</f>
        <v>-13339.900416245608</v>
      </c>
      <c r="Q21" s="67">
        <f>SUM(G21:I21)</f>
        <v>-24300.489557346194</v>
      </c>
      <c r="R21" s="67">
        <f>SUM(J21:L21)</f>
        <v>-13709.914412894841</v>
      </c>
      <c r="S21" s="67">
        <f>SUM(M21:O21)</f>
        <v>-25598.303192020565</v>
      </c>
      <c r="T21" s="9">
        <f>SUM(D21:O21)</f>
        <v>-76948.607578507203</v>
      </c>
    </row>
    <row r="22" spans="1:20" ht="15.75" thickBot="1">
      <c r="A22" s="63"/>
      <c r="B22" s="10" t="s">
        <v>32</v>
      </c>
      <c r="C22" s="63"/>
      <c r="D22" s="12">
        <f>D18+D19+D21</f>
        <v>52427.683321616707</v>
      </c>
      <c r="E22" s="12">
        <f t="shared" ref="E22:O22" si="12">E18+E19+E21</f>
        <v>-2002099.985033182</v>
      </c>
      <c r="F22" s="12">
        <f t="shared" si="12"/>
        <v>-449827.20342854067</v>
      </c>
      <c r="G22" s="12">
        <f t="shared" si="12"/>
        <v>292757.42506600916</v>
      </c>
      <c r="H22" s="12">
        <f t="shared" si="12"/>
        <v>596508.97655243147</v>
      </c>
      <c r="I22" s="12">
        <f t="shared" si="12"/>
        <v>418249.47021689417</v>
      </c>
      <c r="J22" s="12">
        <f t="shared" si="12"/>
        <v>60377.186883309318</v>
      </c>
      <c r="K22" s="12">
        <f t="shared" si="12"/>
        <v>108765.02257724857</v>
      </c>
      <c r="L22" s="12">
        <f t="shared" si="12"/>
        <v>-72497.224177578843</v>
      </c>
      <c r="M22" s="12">
        <f t="shared" si="12"/>
        <v>-1524050.3253932283</v>
      </c>
      <c r="N22" s="12">
        <f t="shared" si="12"/>
        <v>382964.27017607272</v>
      </c>
      <c r="O22" s="12">
        <f t="shared" si="12"/>
        <v>1082750.3975299147</v>
      </c>
      <c r="P22" s="69">
        <f>P18+P19+P21</f>
        <v>-2399499.5051401057</v>
      </c>
      <c r="Q22" s="69">
        <f>Q18+Q19+Q21</f>
        <v>1307515.8718353349</v>
      </c>
      <c r="R22" s="69">
        <f>R18+R19+R21</f>
        <v>96644.985282979032</v>
      </c>
      <c r="S22" s="69">
        <f>S18+S19+S21</f>
        <v>-58335.657687240993</v>
      </c>
      <c r="T22" s="69">
        <f>T18+T19+T21</f>
        <v>-1053674.3057090328</v>
      </c>
    </row>
    <row r="23" spans="1:20" ht="27" thickBot="1">
      <c r="A23" s="63">
        <v>10</v>
      </c>
      <c r="B23" s="135" t="s">
        <v>94</v>
      </c>
      <c r="C23" s="63" t="str">
        <f>"Σ(("&amp;A$18&amp;") ~ ("&amp;A21&amp;"))"</f>
        <v>Σ((7) ~ (9))</v>
      </c>
      <c r="D23" s="67">
        <f>D18+D19+D21</f>
        <v>52427.683321616707</v>
      </c>
      <c r="E23" s="67">
        <f>D23+E18+E19+E21</f>
        <v>-1949672.3017115653</v>
      </c>
      <c r="F23" s="67">
        <f t="shared" ref="F23:N23" si="13">E23+F18+F19+F21</f>
        <v>-2399499.5051401062</v>
      </c>
      <c r="G23" s="67">
        <f t="shared" si="13"/>
        <v>-2106742.080074097</v>
      </c>
      <c r="H23" s="68">
        <f t="shared" si="13"/>
        <v>-1510233.1035216656</v>
      </c>
      <c r="I23" s="67">
        <f t="shared" si="13"/>
        <v>-1091983.6333047715</v>
      </c>
      <c r="J23" s="67">
        <f t="shared" si="13"/>
        <v>-1031606.4464214621</v>
      </c>
      <c r="K23" s="67">
        <f t="shared" si="13"/>
        <v>-922841.4238442136</v>
      </c>
      <c r="L23" s="67">
        <f t="shared" si="13"/>
        <v>-995338.64802179253</v>
      </c>
      <c r="M23" s="67">
        <f t="shared" si="13"/>
        <v>-2519388.9734150213</v>
      </c>
      <c r="N23" s="67">
        <f t="shared" si="13"/>
        <v>-2136424.7032389482</v>
      </c>
      <c r="O23" s="118">
        <f>N23+O18+O19+O21</f>
        <v>-1053674.3057090335</v>
      </c>
      <c r="P23" s="67"/>
      <c r="Q23" s="27"/>
      <c r="R23" s="67"/>
      <c r="S23" s="67"/>
      <c r="T23" s="1"/>
    </row>
    <row r="24" spans="1:20">
      <c r="A24" s="63"/>
      <c r="B24" s="34"/>
      <c r="C24" s="63"/>
      <c r="D24" s="64"/>
      <c r="E24" s="64"/>
      <c r="F24" s="64"/>
      <c r="G24" s="64"/>
      <c r="H24" s="216"/>
      <c r="I24" s="64"/>
      <c r="J24" s="64"/>
      <c r="K24" s="64"/>
      <c r="L24" s="64"/>
      <c r="M24" s="64"/>
      <c r="N24" s="64"/>
      <c r="O24" s="64"/>
      <c r="P24" s="67"/>
      <c r="Q24" s="27"/>
      <c r="R24" s="67"/>
      <c r="S24" s="67"/>
      <c r="T24" s="1"/>
    </row>
    <row r="25" spans="1:20">
      <c r="A25" s="63"/>
      <c r="B25" s="2" t="s">
        <v>33</v>
      </c>
      <c r="C25" s="63"/>
      <c r="D25" s="63"/>
      <c r="E25" s="63"/>
      <c r="F25" s="63"/>
      <c r="G25" s="63"/>
      <c r="H25" s="213"/>
      <c r="I25" s="63"/>
      <c r="J25" s="63"/>
      <c r="K25" s="63"/>
      <c r="L25" s="63"/>
      <c r="M25" s="63"/>
      <c r="N25" s="63"/>
      <c r="O25" s="63"/>
      <c r="P25" s="67"/>
      <c r="Q25" s="35"/>
      <c r="R25" s="67"/>
      <c r="S25" s="67"/>
      <c r="T25" s="5"/>
    </row>
    <row r="26" spans="1:20">
      <c r="A26" s="63">
        <v>11</v>
      </c>
      <c r="B26" s="34" t="s">
        <v>20</v>
      </c>
      <c r="C26" s="63" t="s">
        <v>21</v>
      </c>
      <c r="D26" s="140">
        <v>3104</v>
      </c>
      <c r="E26" s="140">
        <v>3105</v>
      </c>
      <c r="F26" s="140">
        <v>3105</v>
      </c>
      <c r="G26" s="140">
        <v>3108</v>
      </c>
      <c r="H26" s="226">
        <v>3110</v>
      </c>
      <c r="I26" s="140">
        <v>3089</v>
      </c>
      <c r="J26" s="140">
        <v>3114</v>
      </c>
      <c r="K26" s="140">
        <v>3107</v>
      </c>
      <c r="L26" s="140">
        <v>3042</v>
      </c>
      <c r="M26" s="140">
        <v>3142</v>
      </c>
      <c r="N26" s="140">
        <v>3087</v>
      </c>
      <c r="O26" s="140">
        <v>3132</v>
      </c>
      <c r="P26" s="66">
        <f>SUM(D26:F26)</f>
        <v>9314</v>
      </c>
      <c r="Q26" s="66">
        <f>SUM(G26:I26)</f>
        <v>9307</v>
      </c>
      <c r="R26" s="66">
        <f>SUM(J26:L26)</f>
        <v>9263</v>
      </c>
      <c r="S26" s="66">
        <f>SUM(M26:O26)</f>
        <v>9361</v>
      </c>
      <c r="T26" s="66">
        <f>SUM(D26:O26)</f>
        <v>37245</v>
      </c>
    </row>
    <row r="27" spans="1:20" s="72" customFormat="1">
      <c r="A27" s="141">
        <v>12</v>
      </c>
      <c r="B27" s="109" t="s">
        <v>22</v>
      </c>
      <c r="C27" s="113" t="s">
        <v>91</v>
      </c>
      <c r="D27" s="142">
        <v>644.72071006316287</v>
      </c>
      <c r="E27" s="142">
        <v>572.95798240681665</v>
      </c>
      <c r="F27" s="142">
        <v>501.96685841519201</v>
      </c>
      <c r="G27" s="142">
        <v>351.39303933924487</v>
      </c>
      <c r="H27" s="227">
        <v>270.89587418127491</v>
      </c>
      <c r="I27" s="142">
        <v>181.96563697969282</v>
      </c>
      <c r="J27" s="142">
        <v>155.9609268589395</v>
      </c>
      <c r="K27" s="142">
        <v>163.10613396324226</v>
      </c>
      <c r="L27" s="142">
        <v>199.46971218804904</v>
      </c>
      <c r="M27" s="142">
        <v>369.63584080802372</v>
      </c>
      <c r="N27" s="142">
        <v>494.51412130939275</v>
      </c>
      <c r="O27" s="142">
        <v>714.9331634869684</v>
      </c>
      <c r="P27" s="146">
        <f>P28/P26</f>
        <v>573.20750641919631</v>
      </c>
      <c r="Q27" s="146">
        <f>Q28/Q26</f>
        <v>268.26126438169217</v>
      </c>
      <c r="R27" s="146">
        <f>R28/R26</f>
        <v>172.64600549914462</v>
      </c>
      <c r="S27" s="146">
        <f>S28/S26</f>
        <v>526.34671213995193</v>
      </c>
      <c r="T27" s="146">
        <f>T28/T26</f>
        <v>385.60649278210417</v>
      </c>
    </row>
    <row r="28" spans="1:20">
      <c r="A28" s="63">
        <v>13</v>
      </c>
      <c r="B28" s="34" t="s">
        <v>23</v>
      </c>
      <c r="C28" s="63" t="str">
        <f>"("&amp;A26&amp;") x ("&amp;A27&amp;")"</f>
        <v>(11) x (12)</v>
      </c>
      <c r="D28" s="67">
        <f t="shared" ref="D28:O28" si="14">D26*D27</f>
        <v>2001213.0840360576</v>
      </c>
      <c r="E28" s="67">
        <f t="shared" si="14"/>
        <v>1779034.5353731657</v>
      </c>
      <c r="F28" s="67">
        <f t="shared" si="14"/>
        <v>1558607.0953791712</v>
      </c>
      <c r="G28" s="67">
        <f t="shared" si="14"/>
        <v>1092129.566266373</v>
      </c>
      <c r="H28" s="68">
        <f t="shared" si="14"/>
        <v>842486.16870376491</v>
      </c>
      <c r="I28" s="67">
        <f t="shared" si="14"/>
        <v>562091.85263027111</v>
      </c>
      <c r="J28" s="67">
        <f t="shared" si="14"/>
        <v>485662.32623873762</v>
      </c>
      <c r="K28" s="67">
        <f t="shared" si="14"/>
        <v>506770.7582237937</v>
      </c>
      <c r="L28" s="67">
        <f t="shared" si="14"/>
        <v>606786.86447604524</v>
      </c>
      <c r="M28" s="67">
        <f t="shared" si="14"/>
        <v>1161395.8118188104</v>
      </c>
      <c r="N28" s="67">
        <f t="shared" si="14"/>
        <v>1526565.0924820954</v>
      </c>
      <c r="O28" s="67">
        <f t="shared" si="14"/>
        <v>2239170.668041185</v>
      </c>
      <c r="P28" s="67">
        <f>SUM(D28:F28)</f>
        <v>5338854.714788394</v>
      </c>
      <c r="Q28" s="67">
        <f>SUM(G28:I28)</f>
        <v>2496707.5876004091</v>
      </c>
      <c r="R28" s="67">
        <f>SUM(J28:L28)</f>
        <v>1599219.9489385765</v>
      </c>
      <c r="S28" s="67">
        <f>SUM(M28:O28)</f>
        <v>4927131.5723420903</v>
      </c>
      <c r="T28" s="67">
        <f>SUM(D28:O28)</f>
        <v>14361913.823669469</v>
      </c>
    </row>
    <row r="29" spans="1:20">
      <c r="A29" s="63"/>
      <c r="B29" s="34"/>
      <c r="C29" s="63"/>
      <c r="D29" s="67"/>
      <c r="E29" s="67"/>
      <c r="F29" s="67"/>
      <c r="G29" s="67"/>
      <c r="H29" s="68"/>
      <c r="I29" s="67"/>
      <c r="J29" s="67"/>
      <c r="K29" s="67"/>
      <c r="L29" s="67"/>
      <c r="M29" s="67"/>
      <c r="N29" s="67"/>
      <c r="O29" s="67"/>
      <c r="P29" s="64"/>
      <c r="Q29" s="64"/>
      <c r="R29" s="64"/>
      <c r="S29" s="64"/>
      <c r="T29" s="64"/>
    </row>
    <row r="30" spans="1:20">
      <c r="A30" s="63"/>
      <c r="B30" s="34" t="s">
        <v>92</v>
      </c>
      <c r="C30" s="63"/>
      <c r="D30" s="140">
        <v>8210392.0812400002</v>
      </c>
      <c r="E30" s="140">
        <v>9238294.3179899994</v>
      </c>
      <c r="F30" s="140">
        <v>7010693.9129900001</v>
      </c>
      <c r="G30" s="140">
        <v>4691448.634779999</v>
      </c>
      <c r="H30" s="226">
        <v>2535742.6242300002</v>
      </c>
      <c r="I30" s="140">
        <v>2351006.50722</v>
      </c>
      <c r="J30" s="140">
        <v>1986504.76923</v>
      </c>
      <c r="K30" s="140">
        <v>1996824.1103099999</v>
      </c>
      <c r="L30" s="140">
        <v>2999537.9689300004</v>
      </c>
      <c r="M30" s="140">
        <v>5544724.5913500004</v>
      </c>
      <c r="N30" s="140">
        <v>7158607.0081899995</v>
      </c>
      <c r="O30" s="140">
        <v>8056572.1063599996</v>
      </c>
      <c r="P30" s="64"/>
      <c r="Q30" s="64"/>
      <c r="R30" s="64"/>
      <c r="S30" s="64"/>
      <c r="T30" s="64"/>
    </row>
    <row r="31" spans="1:20" ht="26.25">
      <c r="A31" s="63">
        <v>14</v>
      </c>
      <c r="B31" s="143" t="s">
        <v>93</v>
      </c>
      <c r="C31" s="63" t="s">
        <v>21</v>
      </c>
      <c r="D31" s="144">
        <v>2240673.3227400002</v>
      </c>
      <c r="E31" s="144">
        <v>2439374.6760000004</v>
      </c>
      <c r="F31" s="144">
        <v>1856133.3134100002</v>
      </c>
      <c r="G31" s="144">
        <v>1471430.3849599999</v>
      </c>
      <c r="H31" s="228">
        <v>894058.42724999983</v>
      </c>
      <c r="I31" s="144">
        <v>842351.76428999996</v>
      </c>
      <c r="J31" s="144">
        <v>743187.63459000003</v>
      </c>
      <c r="K31" s="144">
        <v>749321.16916000005</v>
      </c>
      <c r="L31" s="144">
        <v>998397.24438999989</v>
      </c>
      <c r="M31" s="144">
        <v>1653595.4731600003</v>
      </c>
      <c r="N31" s="144">
        <v>1712358.0068000003</v>
      </c>
      <c r="O31" s="144">
        <v>2335771.0180500001</v>
      </c>
      <c r="P31" s="36"/>
      <c r="Q31" s="36"/>
      <c r="R31" s="36"/>
      <c r="S31" s="36"/>
      <c r="T31" s="36"/>
    </row>
    <row r="32" spans="1:20">
      <c r="A32" s="63">
        <v>15</v>
      </c>
      <c r="B32" s="34" t="s">
        <v>24</v>
      </c>
      <c r="C32" s="63" t="s">
        <v>21</v>
      </c>
      <c r="D32" s="144">
        <v>304123.82</v>
      </c>
      <c r="E32" s="144">
        <v>297416.03000000003</v>
      </c>
      <c r="F32" s="144">
        <v>308252.99</v>
      </c>
      <c r="G32" s="144">
        <v>304279.39</v>
      </c>
      <c r="H32" s="228">
        <v>304303.33</v>
      </c>
      <c r="I32" s="144">
        <v>300937.48</v>
      </c>
      <c r="J32" s="144">
        <v>304541.84000000003</v>
      </c>
      <c r="K32" s="144">
        <v>303206.39</v>
      </c>
      <c r="L32" s="144">
        <v>298093.89999999997</v>
      </c>
      <c r="M32" s="144">
        <v>306902.67000000004</v>
      </c>
      <c r="N32" s="144">
        <v>309489.36</v>
      </c>
      <c r="O32" s="144">
        <v>306623.76999999996</v>
      </c>
      <c r="P32" s="36"/>
      <c r="Q32" s="36"/>
      <c r="R32" s="36"/>
      <c r="S32" s="36"/>
      <c r="T32" s="36"/>
    </row>
    <row r="33" spans="1:20">
      <c r="A33" s="63">
        <v>16</v>
      </c>
      <c r="B33" s="34" t="s">
        <v>25</v>
      </c>
      <c r="C33" s="63" t="str">
        <f>"("&amp;A31&amp;") - ("&amp;A32&amp;")"</f>
        <v>(14) - (15)</v>
      </c>
      <c r="D33" s="67">
        <f t="shared" ref="D33:O33" si="15">D31-D32</f>
        <v>1936549.5027400001</v>
      </c>
      <c r="E33" s="67">
        <f t="shared" si="15"/>
        <v>2141958.6460000006</v>
      </c>
      <c r="F33" s="67">
        <f t="shared" si="15"/>
        <v>1547880.3234100002</v>
      </c>
      <c r="G33" s="67">
        <f t="shared" si="15"/>
        <v>1167150.9949599998</v>
      </c>
      <c r="H33" s="68">
        <f t="shared" si="15"/>
        <v>589755.09724999988</v>
      </c>
      <c r="I33" s="67">
        <f t="shared" si="15"/>
        <v>541414.28428999998</v>
      </c>
      <c r="J33" s="67">
        <f t="shared" si="15"/>
        <v>438645.79459</v>
      </c>
      <c r="K33" s="67">
        <f t="shared" si="15"/>
        <v>446114.77916000003</v>
      </c>
      <c r="L33" s="67">
        <f t="shared" si="15"/>
        <v>700303.34438999998</v>
      </c>
      <c r="M33" s="67">
        <f t="shared" si="15"/>
        <v>1346692.8031600001</v>
      </c>
      <c r="N33" s="67">
        <f t="shared" si="15"/>
        <v>1402868.6468000002</v>
      </c>
      <c r="O33" s="67">
        <f t="shared" si="15"/>
        <v>2029147.2480500001</v>
      </c>
      <c r="P33" s="67">
        <f>SUM(D33:F33)</f>
        <v>5626388.4721500017</v>
      </c>
      <c r="Q33" s="67">
        <f>SUM(G33:I33)</f>
        <v>2298320.3764999998</v>
      </c>
      <c r="R33" s="67">
        <f>SUM(J33:L33)</f>
        <v>1585063.91814</v>
      </c>
      <c r="S33" s="67">
        <f>SUM(M33:O33)</f>
        <v>4778708.6980100004</v>
      </c>
      <c r="T33" s="67">
        <f>SUM(D33:O33)</f>
        <v>14288481.464800002</v>
      </c>
    </row>
    <row r="34" spans="1:20">
      <c r="A34" s="6"/>
      <c r="B34" s="63" t="s">
        <v>34</v>
      </c>
      <c r="C34" s="63"/>
      <c r="D34" s="70">
        <f>D33/D26</f>
        <v>623.88837072809281</v>
      </c>
      <c r="E34" s="70">
        <f t="shared" ref="E34:O34" si="16">E33/E26</f>
        <v>689.84175394524982</v>
      </c>
      <c r="F34" s="70">
        <f t="shared" si="16"/>
        <v>498.51218145249601</v>
      </c>
      <c r="G34" s="70">
        <f t="shared" si="16"/>
        <v>375.53120815958812</v>
      </c>
      <c r="H34" s="230">
        <f t="shared" si="16"/>
        <v>189.63186406752408</v>
      </c>
      <c r="I34" s="70">
        <f t="shared" si="16"/>
        <v>175.27170096795078</v>
      </c>
      <c r="J34" s="70">
        <f t="shared" si="16"/>
        <v>140.86249023442517</v>
      </c>
      <c r="K34" s="70">
        <f t="shared" si="16"/>
        <v>143.58377185709688</v>
      </c>
      <c r="L34" s="70">
        <f t="shared" si="16"/>
        <v>230.21148730769229</v>
      </c>
      <c r="M34" s="70">
        <f t="shared" si="16"/>
        <v>428.61005829408026</v>
      </c>
      <c r="N34" s="70">
        <f t="shared" si="16"/>
        <v>454.44400609005515</v>
      </c>
      <c r="O34" s="70">
        <f t="shared" si="16"/>
        <v>647.87587741060031</v>
      </c>
      <c r="P34" s="146">
        <f>P33/P26</f>
        <v>604.07864206033946</v>
      </c>
      <c r="Q34" s="146">
        <f>Q33/Q26</f>
        <v>246.94535043515631</v>
      </c>
      <c r="R34" s="146">
        <f>R33/R26</f>
        <v>171.11777157940193</v>
      </c>
      <c r="S34" s="146">
        <f>S33/S26</f>
        <v>510.49126140476449</v>
      </c>
      <c r="T34" s="146">
        <f>T33/T26</f>
        <v>383.63488964424761</v>
      </c>
    </row>
    <row r="35" spans="1:20">
      <c r="A35" s="63">
        <v>17</v>
      </c>
      <c r="B35" s="34" t="s">
        <v>27</v>
      </c>
      <c r="C35" s="63" t="str">
        <f>"("&amp;A28&amp;") - ("&amp;A33&amp;")"</f>
        <v>(13) - (16)</v>
      </c>
      <c r="D35" s="116">
        <f>D28-D33</f>
        <v>64663.58129605744</v>
      </c>
      <c r="E35" s="116">
        <f t="shared" ref="E35:O35" si="17">E28-E33</f>
        <v>-362924.11062683491</v>
      </c>
      <c r="F35" s="116">
        <f t="shared" si="17"/>
        <v>10726.771969171008</v>
      </c>
      <c r="G35" s="116">
        <f t="shared" si="17"/>
        <v>-75021.428693626774</v>
      </c>
      <c r="H35" s="221">
        <f t="shared" si="17"/>
        <v>252731.07145376503</v>
      </c>
      <c r="I35" s="116">
        <f t="shared" si="17"/>
        <v>20677.568340271129</v>
      </c>
      <c r="J35" s="116">
        <f t="shared" si="17"/>
        <v>47016.531648737611</v>
      </c>
      <c r="K35" s="116">
        <f t="shared" si="17"/>
        <v>60655.979063793668</v>
      </c>
      <c r="L35" s="116">
        <f t="shared" si="17"/>
        <v>-93516.479913954739</v>
      </c>
      <c r="M35" s="116">
        <f t="shared" si="17"/>
        <v>-185296.99134118971</v>
      </c>
      <c r="N35" s="116">
        <f t="shared" si="17"/>
        <v>123696.44568209513</v>
      </c>
      <c r="O35" s="116">
        <f t="shared" si="17"/>
        <v>210023.41999118496</v>
      </c>
      <c r="P35" s="67">
        <f>SUM(D35:F35)</f>
        <v>-287533.75736160646</v>
      </c>
      <c r="Q35" s="67">
        <f>SUM(G35:I35)</f>
        <v>198387.21110040939</v>
      </c>
      <c r="R35" s="67">
        <f>SUM(J35:L35)</f>
        <v>14156.030798576539</v>
      </c>
      <c r="S35" s="67">
        <f>SUM(M35:O35)</f>
        <v>148422.87433209037</v>
      </c>
      <c r="T35" s="67">
        <f>SUM(D35:O35)</f>
        <v>73432.358869469841</v>
      </c>
    </row>
    <row r="36" spans="1:20">
      <c r="A36" s="63">
        <v>18</v>
      </c>
      <c r="B36" s="34" t="s">
        <v>28</v>
      </c>
      <c r="C36" s="63" t="s">
        <v>29</v>
      </c>
      <c r="D36" s="116">
        <f>D35*-0.046465</f>
        <v>-3004.593304921309</v>
      </c>
      <c r="E36" s="116">
        <f t="shared" ref="E36:O36" si="18">E35*-0.046465</f>
        <v>16863.268800275884</v>
      </c>
      <c r="F36" s="116">
        <f t="shared" si="18"/>
        <v>-498.41945954753089</v>
      </c>
      <c r="G36" s="116">
        <f t="shared" si="18"/>
        <v>3485.870684249368</v>
      </c>
      <c r="H36" s="116">
        <f t="shared" si="18"/>
        <v>-11743.149235099192</v>
      </c>
      <c r="I36" s="116">
        <f t="shared" si="18"/>
        <v>-960.78321293069803</v>
      </c>
      <c r="J36" s="116">
        <f t="shared" si="18"/>
        <v>-2184.6231430585931</v>
      </c>
      <c r="K36" s="116">
        <f t="shared" si="18"/>
        <v>-2818.3800671991726</v>
      </c>
      <c r="L36" s="116">
        <f t="shared" si="18"/>
        <v>4345.2432392019073</v>
      </c>
      <c r="M36" s="116">
        <f t="shared" si="18"/>
        <v>8609.8247026683803</v>
      </c>
      <c r="N36" s="116">
        <f t="shared" si="18"/>
        <v>-5747.5553486185499</v>
      </c>
      <c r="O36" s="116">
        <f t="shared" si="18"/>
        <v>-9758.7382098904091</v>
      </c>
      <c r="P36" s="67">
        <f>SUM(D36:F36)</f>
        <v>13360.256035807044</v>
      </c>
      <c r="Q36" s="67">
        <f>SUM(G36:I36)</f>
        <v>-9218.0617637805226</v>
      </c>
      <c r="R36" s="67">
        <f>SUM(J36:L36)</f>
        <v>-657.75997105585884</v>
      </c>
      <c r="S36" s="67">
        <f>SUM(M36:O36)</f>
        <v>-6896.4688558405787</v>
      </c>
      <c r="T36" s="67">
        <f>SUM(D36:O36)</f>
        <v>-3412.0345548699161</v>
      </c>
    </row>
    <row r="37" spans="1:20" ht="14.45" customHeight="1">
      <c r="A37" s="8"/>
      <c r="B37" s="16"/>
      <c r="C37" s="63" t="s">
        <v>30</v>
      </c>
      <c r="D37" s="117">
        <f t="shared" ref="D37:O37" si="19">D20</f>
        <v>5.1799999999999999E-2</v>
      </c>
      <c r="E37" s="117">
        <f t="shared" si="19"/>
        <v>5.1799999999999999E-2</v>
      </c>
      <c r="F37" s="117">
        <f t="shared" si="19"/>
        <v>5.1799999999999999E-2</v>
      </c>
      <c r="G37" s="117">
        <f t="shared" si="19"/>
        <v>5.45E-2</v>
      </c>
      <c r="H37" s="222">
        <f t="shared" si="19"/>
        <v>5.45E-2</v>
      </c>
      <c r="I37" s="117">
        <f t="shared" si="19"/>
        <v>5.45E-2</v>
      </c>
      <c r="J37" s="117">
        <f t="shared" si="19"/>
        <v>5.5E-2</v>
      </c>
      <c r="K37" s="117">
        <f t="shared" si="19"/>
        <v>5.5E-2</v>
      </c>
      <c r="L37" s="117">
        <f t="shared" si="19"/>
        <v>5.5E-2</v>
      </c>
      <c r="M37" s="117">
        <f t="shared" si="19"/>
        <v>5.4199999999999998E-2</v>
      </c>
      <c r="N37" s="117">
        <f t="shared" si="19"/>
        <v>5.4199999999999998E-2</v>
      </c>
      <c r="O37" s="117">
        <f t="shared" si="19"/>
        <v>5.4199999999999998E-2</v>
      </c>
      <c r="P37" s="73"/>
      <c r="Q37" s="73"/>
      <c r="R37" s="73"/>
      <c r="S37" s="73"/>
      <c r="T37" s="73"/>
    </row>
    <row r="38" spans="1:20">
      <c r="A38" s="63">
        <v>19</v>
      </c>
      <c r="B38" s="34" t="s">
        <v>31</v>
      </c>
      <c r="C38" s="63" t="s">
        <v>35</v>
      </c>
      <c r="D38" s="9">
        <f>(D35+D36)/2*D37/12</f>
        <v>133.08064908086882</v>
      </c>
      <c r="E38" s="9">
        <f>(D40+(E35+E36)/2)*E37/12</f>
        <v>-480.17888731205318</v>
      </c>
      <c r="F38" s="9">
        <f t="shared" ref="F38:O38" si="20">(E40+(F35+F36)/2)*F37/12</f>
        <v>-1207.0901156180028</v>
      </c>
      <c r="G38" s="9">
        <f t="shared" si="20"/>
        <v>-1414.7085869413656</v>
      </c>
      <c r="H38" s="223">
        <f t="shared" si="20"/>
        <v>-1036.3356447151316</v>
      </c>
      <c r="I38" s="9">
        <f t="shared" si="20"/>
        <v>-449.02539616999024</v>
      </c>
      <c r="J38" s="9">
        <f t="shared" si="20"/>
        <v>-307.27883870753095</v>
      </c>
      <c r="K38" s="9">
        <f t="shared" si="20"/>
        <v>-73.402912025563651</v>
      </c>
      <c r="L38" s="9">
        <f t="shared" si="20"/>
        <v>-145.54559505146031</v>
      </c>
      <c r="M38" s="9">
        <f t="shared" si="20"/>
        <v>-744.48284330114132</v>
      </c>
      <c r="N38" s="9">
        <f t="shared" si="20"/>
        <v>-880.49603146561094</v>
      </c>
      <c r="O38" s="9">
        <f t="shared" si="20"/>
        <v>-165.84062151520578</v>
      </c>
      <c r="P38" s="67">
        <f>SUM(D38:F38)</f>
        <v>-1554.188353849187</v>
      </c>
      <c r="Q38" s="67">
        <f>SUM(G38:I38)</f>
        <v>-2900.0696278264877</v>
      </c>
      <c r="R38" s="67">
        <f>SUM(J38:L38)</f>
        <v>-526.22734578455493</v>
      </c>
      <c r="S38" s="67">
        <f>SUM(M38:O38)</f>
        <v>-1790.819496281958</v>
      </c>
      <c r="T38" s="9">
        <f>SUM(D38:O38)</f>
        <v>-6771.3048237421872</v>
      </c>
    </row>
    <row r="39" spans="1:20" ht="15.75" thickBot="1">
      <c r="A39" s="63"/>
      <c r="B39" s="10" t="s">
        <v>36</v>
      </c>
      <c r="C39" s="63"/>
      <c r="D39" s="12">
        <f>D35+D36+D38</f>
        <v>61792.068640217003</v>
      </c>
      <c r="E39" s="12">
        <f t="shared" ref="E39:O39" si="21">E35+E36+E38</f>
        <v>-346541.02071387111</v>
      </c>
      <c r="F39" s="12">
        <f t="shared" si="21"/>
        <v>9021.2623940054746</v>
      </c>
      <c r="G39" s="12">
        <f t="shared" si="21"/>
        <v>-72950.266596318776</v>
      </c>
      <c r="H39" s="12">
        <f t="shared" si="21"/>
        <v>239951.58657395068</v>
      </c>
      <c r="I39" s="12">
        <f t="shared" si="21"/>
        <v>19267.759731170441</v>
      </c>
      <c r="J39" s="12">
        <f t="shared" si="21"/>
        <v>44524.629666971487</v>
      </c>
      <c r="K39" s="12">
        <f t="shared" si="21"/>
        <v>57764.196084568932</v>
      </c>
      <c r="L39" s="12">
        <f t="shared" si="21"/>
        <v>-89316.782269804287</v>
      </c>
      <c r="M39" s="12">
        <f t="shared" si="21"/>
        <v>-177431.64948182247</v>
      </c>
      <c r="N39" s="12">
        <f t="shared" si="21"/>
        <v>117068.39430201097</v>
      </c>
      <c r="O39" s="12">
        <f t="shared" si="21"/>
        <v>200098.84115977935</v>
      </c>
      <c r="P39" s="69">
        <f>P35+P36+P38</f>
        <v>-275727.68967964861</v>
      </c>
      <c r="Q39" s="69">
        <f>Q35+Q36+Q38</f>
        <v>186269.0797088024</v>
      </c>
      <c r="R39" s="69">
        <f>R35+R36+R38</f>
        <v>12972.043481736126</v>
      </c>
      <c r="S39" s="69">
        <f>S35+S36+S38</f>
        <v>139735.58597996781</v>
      </c>
      <c r="T39" s="69">
        <f>T35+T36+T38</f>
        <v>63249.01949085774</v>
      </c>
    </row>
    <row r="40" spans="1:20" ht="27" thickBot="1">
      <c r="A40" s="63">
        <v>20</v>
      </c>
      <c r="B40" s="135" t="s">
        <v>95</v>
      </c>
      <c r="C40" s="63" t="str">
        <f>"Σ(("&amp;A35&amp;") ~ ("&amp;A38&amp;"))"</f>
        <v>Σ((17) ~ (19))</v>
      </c>
      <c r="D40" s="67">
        <f>D35+D36+D38</f>
        <v>61792.068640217003</v>
      </c>
      <c r="E40" s="67">
        <f>D40+E35+E36+E38</f>
        <v>-284748.9520736541</v>
      </c>
      <c r="F40" s="67">
        <f t="shared" ref="F40:O40" si="22">E40+F35+F36+F38</f>
        <v>-275727.68967964867</v>
      </c>
      <c r="G40" s="67">
        <f t="shared" si="22"/>
        <v>-348677.95627596742</v>
      </c>
      <c r="H40" s="68">
        <f t="shared" si="22"/>
        <v>-108726.3697020167</v>
      </c>
      <c r="I40" s="67">
        <f t="shared" si="22"/>
        <v>-89458.609970846257</v>
      </c>
      <c r="J40" s="67">
        <f t="shared" si="22"/>
        <v>-44933.98030387477</v>
      </c>
      <c r="K40" s="67">
        <f t="shared" si="22"/>
        <v>12830.215780694161</v>
      </c>
      <c r="L40" s="67">
        <f t="shared" si="22"/>
        <v>-76486.566489110133</v>
      </c>
      <c r="M40" s="67">
        <f t="shared" si="22"/>
        <v>-253918.21597093259</v>
      </c>
      <c r="N40" s="67">
        <f t="shared" si="22"/>
        <v>-136849.82166892162</v>
      </c>
      <c r="O40" s="118">
        <f t="shared" si="22"/>
        <v>63249.019490857725</v>
      </c>
      <c r="P40" s="68"/>
      <c r="Q40" s="30"/>
      <c r="R40" s="68"/>
      <c r="S40" s="68"/>
    </row>
    <row r="41" spans="1:20" ht="15.75" thickBot="1">
      <c r="A41" s="63"/>
      <c r="B41" s="34"/>
      <c r="C41" s="34"/>
      <c r="D41" s="34"/>
      <c r="E41" s="34"/>
      <c r="F41" s="34"/>
      <c r="G41" s="34"/>
      <c r="H41" s="231"/>
      <c r="I41" s="34"/>
      <c r="J41" s="34"/>
      <c r="K41" s="34"/>
      <c r="L41" s="34"/>
      <c r="M41" s="34"/>
      <c r="N41" s="34"/>
      <c r="O41" s="34"/>
      <c r="P41" s="65"/>
      <c r="Q41" s="26"/>
      <c r="R41" s="65"/>
      <c r="S41" s="65"/>
      <c r="T41" s="1"/>
    </row>
    <row r="42" spans="1:20" ht="15.75" thickBot="1">
      <c r="A42" s="2">
        <v>21</v>
      </c>
      <c r="B42" s="10" t="s">
        <v>63</v>
      </c>
      <c r="C42" s="2" t="str">
        <f>"("&amp;A23&amp;") + ("&amp;A40&amp;")"</f>
        <v>(10) + (20)</v>
      </c>
      <c r="D42" s="67">
        <f t="shared" ref="D42:O42" si="23">D23+D40</f>
        <v>114219.75196183371</v>
      </c>
      <c r="E42" s="67">
        <f t="shared" si="23"/>
        <v>-2234421.2537852195</v>
      </c>
      <c r="F42" s="67">
        <f t="shared" si="23"/>
        <v>-2675227.1948197549</v>
      </c>
      <c r="G42" s="67">
        <f t="shared" si="23"/>
        <v>-2455420.0363500644</v>
      </c>
      <c r="H42" s="68">
        <f t="shared" si="23"/>
        <v>-1618959.4732236823</v>
      </c>
      <c r="I42" s="67">
        <f t="shared" si="23"/>
        <v>-1181442.2432756177</v>
      </c>
      <c r="J42" s="67">
        <f t="shared" si="23"/>
        <v>-1076540.4267253368</v>
      </c>
      <c r="K42" s="67">
        <f t="shared" si="23"/>
        <v>-910011.20806351944</v>
      </c>
      <c r="L42" s="67">
        <f t="shared" si="23"/>
        <v>-1071825.2145109028</v>
      </c>
      <c r="M42" s="67">
        <f t="shared" si="23"/>
        <v>-2773307.1893859538</v>
      </c>
      <c r="N42" s="67">
        <f t="shared" si="23"/>
        <v>-2273274.5249078698</v>
      </c>
      <c r="O42" s="118">
        <f t="shared" si="23"/>
        <v>-990425.28621817578</v>
      </c>
    </row>
  </sheetData>
  <printOptions horizontalCentered="1"/>
  <pageMargins left="0.7" right="0.71" top="1.1299999999999999" bottom="0.75" header="0.5" footer="0.5"/>
  <pageSetup scale="69" firstPageNumber="2" orientation="landscape" useFirstPageNumber="1" r:id="rId1"/>
  <headerFooter scaleWithDoc="0">
    <oddHeader>&amp;CAvista Corporation Decoupling Mechanism
Washington Jurisdiction
Quarterly Report for 4th Quarter 2019</oddHeader>
    <oddFooter>&amp;Cfile: &amp;F / &amp;A&amp;R2 of 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abSelected="1" showWhiteSpace="0" view="pageLayout" topLeftCell="A180" zoomScaleNormal="100" workbookViewId="0">
      <selection activeCell="D1" sqref="D1:L1048576"/>
    </sheetView>
  </sheetViews>
  <sheetFormatPr defaultRowHeight="15"/>
  <cols>
    <col min="1" max="1" width="7.28515625" customWidth="1"/>
    <col min="2" max="2" width="36.28515625" customWidth="1"/>
    <col min="3" max="3" width="6.28515625" customWidth="1"/>
    <col min="4" max="4" width="9.85546875" customWidth="1"/>
    <col min="5" max="5" width="12.28515625" customWidth="1"/>
    <col min="6" max="6" width="13.28515625" customWidth="1"/>
    <col min="7" max="7" width="13.42578125" customWidth="1"/>
    <col min="8" max="8" width="3" customWidth="1"/>
    <col min="9" max="9" width="17.42578125" bestFit="1" customWidth="1"/>
    <col min="10" max="11" width="14" customWidth="1"/>
    <col min="12" max="12" width="12.42578125" bestFit="1" customWidth="1"/>
    <col min="13" max="14" width="11.42578125" customWidth="1"/>
    <col min="15" max="15" width="13.28515625" bestFit="1" customWidth="1"/>
  </cols>
  <sheetData>
    <row r="1" spans="1:12" ht="31.15" customHeight="1">
      <c r="A1" s="245" t="s">
        <v>42</v>
      </c>
      <c r="B1" s="245"/>
      <c r="C1" s="245"/>
      <c r="D1" s="245"/>
      <c r="E1" s="245"/>
      <c r="F1" s="245"/>
      <c r="G1" s="245"/>
      <c r="H1" s="245"/>
      <c r="I1" s="72"/>
      <c r="J1" s="72"/>
      <c r="K1" s="72"/>
    </row>
    <row r="2" spans="1:12" ht="19.149999999999999" customHeight="1">
      <c r="A2" s="72"/>
      <c r="B2" s="72"/>
      <c r="C2" s="72"/>
      <c r="D2" s="72"/>
      <c r="E2" s="72"/>
      <c r="F2" s="72"/>
      <c r="G2" s="72"/>
      <c r="H2" s="72"/>
      <c r="I2" s="72"/>
      <c r="J2" s="72"/>
      <c r="K2" s="72"/>
    </row>
    <row r="3" spans="1:12">
      <c r="A3" s="38" t="s">
        <v>43</v>
      </c>
      <c r="B3" s="72"/>
      <c r="C3" s="17" t="s">
        <v>120</v>
      </c>
      <c r="D3" s="72"/>
      <c r="E3" s="72"/>
      <c r="F3" s="72"/>
      <c r="G3" s="72"/>
      <c r="H3" s="72"/>
      <c r="I3" s="72"/>
      <c r="J3" s="72"/>
      <c r="K3" s="72"/>
    </row>
    <row r="4" spans="1:12">
      <c r="A4" s="72"/>
      <c r="B4" s="72"/>
      <c r="C4" s="72"/>
      <c r="D4" s="72"/>
      <c r="E4" s="72"/>
      <c r="F4" s="72"/>
      <c r="G4" s="72"/>
      <c r="H4" s="72"/>
      <c r="I4" s="72"/>
      <c r="J4" s="72"/>
      <c r="K4" s="72"/>
    </row>
    <row r="5" spans="1:12" ht="26.25">
      <c r="A5" s="88" t="s">
        <v>44</v>
      </c>
      <c r="B5" s="89" t="s">
        <v>45</v>
      </c>
      <c r="C5" s="90" t="s">
        <v>46</v>
      </c>
      <c r="D5" s="88" t="s">
        <v>47</v>
      </c>
      <c r="E5" s="88" t="s">
        <v>48</v>
      </c>
      <c r="F5" s="88" t="s">
        <v>49</v>
      </c>
      <c r="G5" s="88" t="s">
        <v>50</v>
      </c>
      <c r="H5" s="72"/>
      <c r="I5" s="233"/>
      <c r="J5" s="37"/>
      <c r="K5" s="37"/>
      <c r="L5" s="233"/>
    </row>
    <row r="6" spans="1:12" ht="14.45" customHeight="1">
      <c r="A6" s="40" t="s">
        <v>51</v>
      </c>
      <c r="B6" s="39" t="s">
        <v>52</v>
      </c>
      <c r="C6" s="41" t="s">
        <v>53</v>
      </c>
      <c r="D6" s="42" t="s">
        <v>160</v>
      </c>
      <c r="E6" s="43">
        <v>1146808.27</v>
      </c>
      <c r="F6" s="44">
        <v>-637910.28</v>
      </c>
      <c r="G6" s="43">
        <v>508897.99</v>
      </c>
      <c r="H6" s="72"/>
      <c r="I6" s="29"/>
      <c r="J6" s="72"/>
      <c r="K6" s="72"/>
    </row>
    <row r="7" spans="1:12">
      <c r="A7" s="45"/>
      <c r="B7" s="39" t="s">
        <v>52</v>
      </c>
      <c r="C7" s="46"/>
      <c r="D7" s="42" t="s">
        <v>161</v>
      </c>
      <c r="E7" s="43">
        <v>508897.99</v>
      </c>
      <c r="F7" s="44">
        <v>258286.76</v>
      </c>
      <c r="G7" s="43">
        <v>767184.75</v>
      </c>
      <c r="H7" s="72"/>
      <c r="I7" s="29"/>
      <c r="J7" s="72"/>
      <c r="K7" s="72"/>
    </row>
    <row r="8" spans="1:12">
      <c r="A8" s="45"/>
      <c r="B8" s="39" t="s">
        <v>52</v>
      </c>
      <c r="C8" s="47"/>
      <c r="D8" s="42" t="s">
        <v>162</v>
      </c>
      <c r="E8" s="43">
        <v>767184.75</v>
      </c>
      <c r="F8" s="44">
        <v>414847.91</v>
      </c>
      <c r="G8" s="43">
        <v>1182032.6599999999</v>
      </c>
      <c r="H8" s="72"/>
      <c r="I8" s="29"/>
      <c r="J8" s="72"/>
      <c r="K8" s="72"/>
    </row>
    <row r="9" spans="1:12">
      <c r="A9" s="45"/>
      <c r="B9" s="80"/>
      <c r="C9" s="81"/>
      <c r="D9" s="80"/>
      <c r="E9" s="82"/>
      <c r="F9" s="83">
        <f>SUM(F6:F8)</f>
        <v>35224.389999999956</v>
      </c>
      <c r="G9" s="82"/>
      <c r="H9" s="72"/>
      <c r="I9" s="72"/>
      <c r="J9" s="72"/>
      <c r="K9" s="72"/>
    </row>
    <row r="10" spans="1:12">
      <c r="A10" s="45"/>
      <c r="B10" s="39" t="s">
        <v>52</v>
      </c>
      <c r="C10" s="41" t="s">
        <v>54</v>
      </c>
      <c r="D10" s="42" t="s">
        <v>160</v>
      </c>
      <c r="E10" s="43">
        <v>-995338.67</v>
      </c>
      <c r="F10" s="44">
        <v>-1524050.32</v>
      </c>
      <c r="G10" s="43">
        <v>-2519388.9900000002</v>
      </c>
      <c r="H10" s="72"/>
      <c r="J10" s="72"/>
      <c r="K10" s="72"/>
      <c r="L10" s="29"/>
    </row>
    <row r="11" spans="1:12">
      <c r="A11" s="45"/>
      <c r="B11" s="39" t="s">
        <v>52</v>
      </c>
      <c r="C11" s="46"/>
      <c r="D11" s="42" t="s">
        <v>161</v>
      </c>
      <c r="E11" s="43">
        <v>-2519388.9900000002</v>
      </c>
      <c r="F11" s="44">
        <v>382964.27</v>
      </c>
      <c r="G11" s="43">
        <v>-2136424.7200000002</v>
      </c>
      <c r="H11" s="72"/>
      <c r="J11" s="72"/>
      <c r="K11" s="72"/>
      <c r="L11" s="29"/>
    </row>
    <row r="12" spans="1:12">
      <c r="A12" s="45"/>
      <c r="B12" s="39" t="s">
        <v>52</v>
      </c>
      <c r="C12" s="47"/>
      <c r="D12" s="42" t="s">
        <v>162</v>
      </c>
      <c r="E12" s="43">
        <v>-2136424.7200000002</v>
      </c>
      <c r="F12" s="44">
        <v>1082750.3999999999</v>
      </c>
      <c r="G12" s="43">
        <v>-1053674.32</v>
      </c>
      <c r="H12" s="72"/>
      <c r="J12" s="72"/>
      <c r="K12" s="72"/>
      <c r="L12" s="29"/>
    </row>
    <row r="13" spans="1:12">
      <c r="A13" s="48"/>
      <c r="B13" s="80"/>
      <c r="C13" s="81"/>
      <c r="D13" s="80"/>
      <c r="E13" s="82"/>
      <c r="F13" s="83">
        <f>SUM(F10:F12)</f>
        <v>-58335.65000000014</v>
      </c>
      <c r="G13" s="82"/>
      <c r="H13" s="72"/>
      <c r="I13" s="72"/>
      <c r="J13" s="72"/>
      <c r="K13" s="72"/>
    </row>
    <row r="14" spans="1:12" ht="14.45" customHeight="1">
      <c r="A14" s="84"/>
      <c r="B14" s="85"/>
      <c r="C14" s="84"/>
      <c r="D14" s="84"/>
      <c r="E14" s="86"/>
      <c r="F14" s="87">
        <f>F9+F13</f>
        <v>-23111.260000000184</v>
      </c>
      <c r="G14" s="86"/>
      <c r="H14" s="72"/>
      <c r="I14" s="72"/>
      <c r="J14" s="72"/>
      <c r="K14" s="72"/>
    </row>
    <row r="15" spans="1:12" ht="14.45" customHeight="1">
      <c r="A15" s="40" t="s">
        <v>55</v>
      </c>
      <c r="B15" s="39" t="s">
        <v>56</v>
      </c>
      <c r="C15" s="41" t="s">
        <v>53</v>
      </c>
      <c r="D15" s="42" t="s">
        <v>160</v>
      </c>
      <c r="E15" s="43">
        <v>4844976.99</v>
      </c>
      <c r="F15" s="44">
        <v>281832.42</v>
      </c>
      <c r="G15" s="43">
        <v>5126809.41</v>
      </c>
      <c r="H15" s="72"/>
      <c r="I15" s="29"/>
      <c r="J15" s="72"/>
      <c r="K15" s="72"/>
    </row>
    <row r="16" spans="1:12">
      <c r="A16" s="45"/>
      <c r="B16" s="39" t="s">
        <v>56</v>
      </c>
      <c r="C16" s="46"/>
      <c r="D16" s="42" t="s">
        <v>161</v>
      </c>
      <c r="E16" s="43">
        <v>5126809.41</v>
      </c>
      <c r="F16" s="44">
        <v>9972.14</v>
      </c>
      <c r="G16" s="43">
        <v>5136781.55</v>
      </c>
      <c r="H16" s="72"/>
      <c r="I16" s="29"/>
      <c r="J16" s="72"/>
      <c r="K16" s="72"/>
    </row>
    <row r="17" spans="1:12">
      <c r="A17" s="45"/>
      <c r="B17" s="39" t="s">
        <v>56</v>
      </c>
      <c r="C17" s="47"/>
      <c r="D17" s="42" t="s">
        <v>162</v>
      </c>
      <c r="E17" s="43">
        <v>5136781.55</v>
      </c>
      <c r="F17" s="44">
        <v>1722852.56</v>
      </c>
      <c r="G17" s="43">
        <v>6859634.1100000003</v>
      </c>
      <c r="H17" s="72"/>
      <c r="I17" s="29"/>
      <c r="J17" s="72"/>
      <c r="K17" s="72"/>
    </row>
    <row r="18" spans="1:12">
      <c r="A18" s="45"/>
      <c r="B18" s="80"/>
      <c r="C18" s="81"/>
      <c r="D18" s="80"/>
      <c r="E18" s="82"/>
      <c r="F18" s="83">
        <f>SUM(F15:F17)</f>
        <v>2014657.12</v>
      </c>
      <c r="G18" s="82"/>
      <c r="H18" s="72"/>
      <c r="I18" s="72"/>
      <c r="J18" s="72"/>
      <c r="K18" s="72"/>
    </row>
    <row r="19" spans="1:12">
      <c r="A19" s="45"/>
      <c r="B19" s="39" t="s">
        <v>56</v>
      </c>
      <c r="C19" s="41" t="s">
        <v>54</v>
      </c>
      <c r="D19" s="42" t="s">
        <v>160</v>
      </c>
      <c r="E19" s="43">
        <v>-76486.58</v>
      </c>
      <c r="F19" s="44">
        <v>-177431.65</v>
      </c>
      <c r="G19" s="43">
        <v>-253918.23</v>
      </c>
      <c r="H19" s="72"/>
      <c r="J19" s="72"/>
      <c r="K19" s="72"/>
      <c r="L19" s="29"/>
    </row>
    <row r="20" spans="1:12">
      <c r="A20" s="45"/>
      <c r="B20" s="39" t="s">
        <v>56</v>
      </c>
      <c r="C20" s="46"/>
      <c r="D20" s="42" t="s">
        <v>161</v>
      </c>
      <c r="E20" s="43">
        <v>-253918.23</v>
      </c>
      <c r="F20" s="44">
        <v>117068.39</v>
      </c>
      <c r="G20" s="43">
        <v>-136849.84</v>
      </c>
      <c r="H20" s="72"/>
      <c r="J20" s="72"/>
      <c r="K20" s="72"/>
      <c r="L20" s="29"/>
    </row>
    <row r="21" spans="1:12">
      <c r="A21" s="45"/>
      <c r="B21" s="39" t="s">
        <v>56</v>
      </c>
      <c r="C21" s="47"/>
      <c r="D21" s="42" t="s">
        <v>162</v>
      </c>
      <c r="E21" s="43">
        <v>-136849.84</v>
      </c>
      <c r="F21" s="44">
        <v>200098.84</v>
      </c>
      <c r="G21" s="43">
        <v>63249</v>
      </c>
      <c r="H21" s="72"/>
      <c r="J21" s="72"/>
      <c r="K21" s="72"/>
      <c r="L21" s="29"/>
    </row>
    <row r="22" spans="1:12">
      <c r="A22" s="48"/>
      <c r="B22" s="80"/>
      <c r="C22" s="81"/>
      <c r="D22" s="80"/>
      <c r="E22" s="82"/>
      <c r="F22" s="83">
        <f>SUM(F19:F21)</f>
        <v>139735.58000000002</v>
      </c>
      <c r="G22" s="82"/>
      <c r="H22" s="72"/>
      <c r="I22" s="72"/>
      <c r="J22" s="72"/>
      <c r="K22" s="72"/>
    </row>
    <row r="23" spans="1:12">
      <c r="A23" s="84"/>
      <c r="B23" s="85"/>
      <c r="C23" s="84"/>
      <c r="D23" s="84"/>
      <c r="E23" s="86"/>
      <c r="F23" s="87">
        <f>F18+F22</f>
        <v>2154392.7000000002</v>
      </c>
      <c r="G23" s="86"/>
      <c r="H23" s="72"/>
      <c r="I23" s="72"/>
      <c r="J23" s="72"/>
      <c r="K23" s="72"/>
    </row>
    <row r="24" spans="1:12">
      <c r="A24" s="18"/>
      <c r="B24" s="18"/>
      <c r="C24" s="18"/>
      <c r="D24" s="18"/>
      <c r="E24" s="19"/>
      <c r="F24" s="20"/>
      <c r="G24" s="19"/>
      <c r="H24" s="72"/>
      <c r="I24" s="72"/>
      <c r="J24" s="72"/>
      <c r="K24" s="72"/>
    </row>
    <row r="25" spans="1:12">
      <c r="A25" s="38" t="s">
        <v>43</v>
      </c>
      <c r="B25" s="72"/>
      <c r="C25" s="168" t="s">
        <v>159</v>
      </c>
      <c r="D25" s="72"/>
      <c r="E25" s="72"/>
      <c r="F25" s="72"/>
      <c r="G25" s="72"/>
      <c r="H25" s="72"/>
      <c r="I25" s="72"/>
      <c r="J25" s="72"/>
      <c r="K25" s="72"/>
    </row>
    <row r="26" spans="1:12">
      <c r="A26" s="72"/>
      <c r="B26" s="72"/>
      <c r="C26" s="72"/>
      <c r="D26" s="72"/>
      <c r="E26" s="72"/>
      <c r="F26" s="72"/>
      <c r="G26" s="72"/>
      <c r="H26" s="72"/>
      <c r="I26" s="72"/>
      <c r="J26" s="72"/>
      <c r="K26" s="72"/>
    </row>
    <row r="27" spans="1:12" ht="26.25">
      <c r="A27" s="88" t="s">
        <v>44</v>
      </c>
      <c r="B27" s="89" t="s">
        <v>45</v>
      </c>
      <c r="C27" s="90" t="s">
        <v>46</v>
      </c>
      <c r="D27" s="88" t="s">
        <v>47</v>
      </c>
      <c r="E27" s="88" t="s">
        <v>48</v>
      </c>
      <c r="F27" s="88" t="s">
        <v>49</v>
      </c>
      <c r="G27" s="88" t="s">
        <v>50</v>
      </c>
      <c r="H27" s="72"/>
      <c r="I27" s="72"/>
      <c r="J27" s="72"/>
      <c r="K27" s="72"/>
    </row>
    <row r="28" spans="1:12">
      <c r="A28" s="40" t="s">
        <v>97</v>
      </c>
      <c r="B28" s="39" t="s">
        <v>98</v>
      </c>
      <c r="C28" s="41" t="s">
        <v>53</v>
      </c>
      <c r="D28" s="42" t="s">
        <v>160</v>
      </c>
      <c r="E28" s="43">
        <v>8974166.1999999993</v>
      </c>
      <c r="F28" s="44">
        <v>41131.599999999999</v>
      </c>
      <c r="G28" s="43">
        <v>9015297.8000000007</v>
      </c>
      <c r="H28" s="72"/>
      <c r="I28" s="29"/>
      <c r="J28" s="72"/>
      <c r="K28" s="72"/>
    </row>
    <row r="29" spans="1:12">
      <c r="A29" s="45"/>
      <c r="B29" s="39" t="s">
        <v>98</v>
      </c>
      <c r="C29" s="46"/>
      <c r="D29" s="42" t="s">
        <v>161</v>
      </c>
      <c r="E29" s="43">
        <v>9015297.8000000007</v>
      </c>
      <c r="F29" s="44">
        <v>-9015297.8000000007</v>
      </c>
      <c r="G29" s="43">
        <v>0</v>
      </c>
      <c r="H29" s="72"/>
      <c r="I29" s="29"/>
      <c r="J29" s="72"/>
      <c r="K29" s="72"/>
    </row>
    <row r="30" spans="1:12">
      <c r="A30" s="45"/>
      <c r="B30" s="39" t="s">
        <v>98</v>
      </c>
      <c r="C30" s="47"/>
      <c r="D30" s="42" t="s">
        <v>162</v>
      </c>
      <c r="E30" s="43">
        <v>0</v>
      </c>
      <c r="F30" s="44">
        <v>0</v>
      </c>
      <c r="G30" s="43">
        <v>0</v>
      </c>
      <c r="H30" s="72"/>
      <c r="I30" s="29"/>
      <c r="J30" s="72"/>
      <c r="K30" s="72"/>
    </row>
    <row r="31" spans="1:12">
      <c r="A31" s="45"/>
      <c r="B31" s="80"/>
      <c r="C31" s="81"/>
      <c r="D31" s="80"/>
      <c r="E31" s="82"/>
      <c r="F31" s="83">
        <f>SUM(F28:F30)</f>
        <v>-8974166.2000000011</v>
      </c>
      <c r="G31" s="82"/>
      <c r="H31" s="72"/>
      <c r="I31" s="72"/>
      <c r="J31" s="72"/>
      <c r="K31" s="72"/>
    </row>
    <row r="32" spans="1:12" s="72" customFormat="1">
      <c r="A32" s="45"/>
      <c r="B32" s="39" t="s">
        <v>98</v>
      </c>
      <c r="C32" s="41" t="s">
        <v>54</v>
      </c>
      <c r="D32" s="42" t="s">
        <v>160</v>
      </c>
      <c r="E32" s="43">
        <v>573274.27</v>
      </c>
      <c r="F32" s="44">
        <v>2627.51</v>
      </c>
      <c r="G32" s="43">
        <v>575901.78</v>
      </c>
      <c r="L32" s="29"/>
    </row>
    <row r="33" spans="1:12" s="72" customFormat="1">
      <c r="A33" s="45"/>
      <c r="B33" s="39" t="s">
        <v>98</v>
      </c>
      <c r="C33" s="46"/>
      <c r="D33" s="42" t="s">
        <v>161</v>
      </c>
      <c r="E33" s="43">
        <v>575901.78</v>
      </c>
      <c r="F33" s="44">
        <v>-575901.78</v>
      </c>
      <c r="G33" s="43">
        <v>0</v>
      </c>
      <c r="L33" s="29"/>
    </row>
    <row r="34" spans="1:12" s="72" customFormat="1">
      <c r="A34" s="45"/>
      <c r="B34" s="39" t="s">
        <v>98</v>
      </c>
      <c r="C34" s="47"/>
      <c r="D34" s="42" t="s">
        <v>162</v>
      </c>
      <c r="E34" s="43">
        <v>0</v>
      </c>
      <c r="F34" s="44">
        <v>0</v>
      </c>
      <c r="G34" s="43">
        <v>0</v>
      </c>
      <c r="L34" s="29"/>
    </row>
    <row r="35" spans="1:12" s="72" customFormat="1">
      <c r="A35" s="48"/>
      <c r="B35" s="80"/>
      <c r="C35" s="81"/>
      <c r="D35" s="80"/>
      <c r="E35" s="82"/>
      <c r="F35" s="83">
        <f>SUM(F32:F34)</f>
        <v>-573274.27</v>
      </c>
      <c r="G35" s="82"/>
    </row>
    <row r="36" spans="1:12" s="72" customFormat="1">
      <c r="A36" s="84"/>
      <c r="B36" s="85"/>
      <c r="C36" s="84"/>
      <c r="D36" s="84"/>
      <c r="E36" s="86"/>
      <c r="F36" s="87">
        <f>F31+F35</f>
        <v>-9547440.4700000007</v>
      </c>
      <c r="G36" s="86"/>
    </row>
    <row r="37" spans="1:12" s="72" customFormat="1">
      <c r="A37" s="40" t="s">
        <v>99</v>
      </c>
      <c r="B37" s="39" t="s">
        <v>100</v>
      </c>
      <c r="C37" s="41" t="s">
        <v>53</v>
      </c>
      <c r="D37" s="42" t="s">
        <v>160</v>
      </c>
      <c r="E37" s="43">
        <v>7341339.5</v>
      </c>
      <c r="F37" s="44">
        <v>33647.81</v>
      </c>
      <c r="G37" s="43">
        <v>7374987.3099999996</v>
      </c>
      <c r="I37" s="29"/>
    </row>
    <row r="38" spans="1:12" s="72" customFormat="1">
      <c r="A38" s="45"/>
      <c r="B38" s="39" t="s">
        <v>100</v>
      </c>
      <c r="C38" s="46"/>
      <c r="D38" s="42" t="s">
        <v>161</v>
      </c>
      <c r="E38" s="43">
        <v>7374987.3099999996</v>
      </c>
      <c r="F38" s="44">
        <v>-7374987.3099999996</v>
      </c>
      <c r="G38" s="43">
        <v>0</v>
      </c>
      <c r="I38" s="29"/>
    </row>
    <row r="39" spans="1:12" s="72" customFormat="1">
      <c r="A39" s="45"/>
      <c r="B39" s="39" t="s">
        <v>100</v>
      </c>
      <c r="C39" s="47"/>
      <c r="D39" s="42" t="s">
        <v>162</v>
      </c>
      <c r="E39" s="43">
        <v>0</v>
      </c>
      <c r="F39" s="44">
        <v>0</v>
      </c>
      <c r="G39" s="43">
        <v>0</v>
      </c>
      <c r="I39" s="29"/>
    </row>
    <row r="40" spans="1:12" s="72" customFormat="1">
      <c r="A40" s="45"/>
      <c r="B40" s="80"/>
      <c r="C40" s="81"/>
      <c r="D40" s="80"/>
      <c r="E40" s="82"/>
      <c r="F40" s="83">
        <f>SUM(F37:F39)</f>
        <v>-7341339.5</v>
      </c>
      <c r="G40" s="82"/>
    </row>
    <row r="41" spans="1:12" s="72" customFormat="1" ht="18" customHeight="1">
      <c r="A41" s="45"/>
      <c r="B41" s="39" t="s">
        <v>100</v>
      </c>
      <c r="C41" s="41" t="s">
        <v>54</v>
      </c>
      <c r="D41" s="42" t="s">
        <v>160</v>
      </c>
      <c r="E41" s="43">
        <v>963034.92</v>
      </c>
      <c r="F41" s="44">
        <v>4413.91</v>
      </c>
      <c r="G41" s="43">
        <v>967448.83</v>
      </c>
      <c r="L41" s="29"/>
    </row>
    <row r="42" spans="1:12" s="72" customFormat="1">
      <c r="A42" s="45"/>
      <c r="B42" s="39" t="s">
        <v>100</v>
      </c>
      <c r="C42" s="46"/>
      <c r="D42" s="42" t="s">
        <v>161</v>
      </c>
      <c r="E42" s="43">
        <v>967448.83</v>
      </c>
      <c r="F42" s="44">
        <v>-967448.83</v>
      </c>
      <c r="G42" s="43">
        <v>0</v>
      </c>
      <c r="L42" s="29"/>
    </row>
    <row r="43" spans="1:12" s="72" customFormat="1" ht="18" customHeight="1">
      <c r="A43" s="45"/>
      <c r="B43" s="39" t="s">
        <v>100</v>
      </c>
      <c r="C43" s="47"/>
      <c r="D43" s="42" t="s">
        <v>162</v>
      </c>
      <c r="E43" s="43">
        <v>0</v>
      </c>
      <c r="F43" s="44">
        <v>0</v>
      </c>
      <c r="G43" s="43">
        <v>0</v>
      </c>
      <c r="L43" s="29"/>
    </row>
    <row r="44" spans="1:12" s="72" customFormat="1" ht="18" customHeight="1">
      <c r="A44" s="48"/>
      <c r="B44" s="80"/>
      <c r="C44" s="81"/>
      <c r="D44" s="80"/>
      <c r="E44" s="82"/>
      <c r="F44" s="83">
        <f>SUM(F41:F43)</f>
        <v>-963034.91999999993</v>
      </c>
      <c r="G44" s="82"/>
    </row>
    <row r="45" spans="1:12" s="72" customFormat="1" ht="18" customHeight="1">
      <c r="A45" s="84"/>
      <c r="B45" s="85"/>
      <c r="C45" s="84"/>
      <c r="D45" s="84"/>
      <c r="E45" s="86"/>
      <c r="F45" s="87">
        <f>F40+F44</f>
        <v>-8304374.4199999999</v>
      </c>
      <c r="G45" s="86"/>
    </row>
    <row r="46" spans="1:12" s="72" customFormat="1" ht="14.45" customHeight="1"/>
    <row r="47" spans="1:12" s="72" customFormat="1">
      <c r="A47" s="38" t="s">
        <v>43</v>
      </c>
      <c r="C47" s="168" t="s">
        <v>125</v>
      </c>
    </row>
    <row r="48" spans="1:12" s="72" customFormat="1">
      <c r="C48" s="169" t="s">
        <v>126</v>
      </c>
    </row>
    <row r="49" spans="1:12" s="72" customFormat="1" ht="25.5">
      <c r="A49" s="199" t="s">
        <v>44</v>
      </c>
      <c r="B49" s="163" t="s">
        <v>45</v>
      </c>
      <c r="C49" s="164" t="s">
        <v>46</v>
      </c>
      <c r="D49" s="165" t="s">
        <v>47</v>
      </c>
      <c r="E49" s="166" t="s">
        <v>48</v>
      </c>
      <c r="F49" s="165" t="s">
        <v>49</v>
      </c>
      <c r="G49" s="165" t="s">
        <v>50</v>
      </c>
    </row>
    <row r="50" spans="1:12" s="72" customFormat="1">
      <c r="A50" s="201" t="s">
        <v>57</v>
      </c>
      <c r="B50" s="39" t="s">
        <v>58</v>
      </c>
      <c r="C50" s="41" t="s">
        <v>53</v>
      </c>
      <c r="D50" s="42" t="s">
        <v>160</v>
      </c>
      <c r="E50" s="43">
        <v>0</v>
      </c>
      <c r="F50" s="44">
        <v>0</v>
      </c>
      <c r="G50" s="43">
        <v>0</v>
      </c>
      <c r="I50" s="29"/>
    </row>
    <row r="51" spans="1:12" s="72" customFormat="1">
      <c r="A51" s="202"/>
      <c r="B51" s="39" t="s">
        <v>58</v>
      </c>
      <c r="C51" s="46"/>
      <c r="D51" s="42" t="s">
        <v>161</v>
      </c>
      <c r="E51" s="43">
        <v>0</v>
      </c>
      <c r="F51" s="44">
        <v>8490124.6300000008</v>
      </c>
      <c r="G51" s="43">
        <v>8490124.6300000008</v>
      </c>
      <c r="I51" s="29"/>
    </row>
    <row r="52" spans="1:12" s="72" customFormat="1">
      <c r="A52" s="202"/>
      <c r="B52" s="39" t="s">
        <v>58</v>
      </c>
      <c r="C52" s="47"/>
      <c r="D52" s="42" t="s">
        <v>162</v>
      </c>
      <c r="E52" s="43">
        <v>8490124.6300000008</v>
      </c>
      <c r="F52" s="44">
        <v>-649331</v>
      </c>
      <c r="G52" s="43">
        <v>7840793.6299999999</v>
      </c>
      <c r="I52" s="29"/>
    </row>
    <row r="53" spans="1:12">
      <c r="A53" s="202"/>
      <c r="B53" s="80"/>
      <c r="C53" s="80"/>
      <c r="D53" s="80"/>
      <c r="E53" s="82"/>
      <c r="F53" s="83">
        <f>SUM(F50:F52)</f>
        <v>7840793.6300000008</v>
      </c>
      <c r="G53" s="82"/>
      <c r="H53" s="72"/>
      <c r="I53" s="72"/>
      <c r="J53" s="72"/>
      <c r="K53" s="72"/>
    </row>
    <row r="54" spans="1:12">
      <c r="A54" s="202"/>
      <c r="B54" s="39" t="s">
        <v>58</v>
      </c>
      <c r="C54" s="41" t="s">
        <v>54</v>
      </c>
      <c r="D54" s="42" t="s">
        <v>160</v>
      </c>
      <c r="E54" s="43">
        <v>0</v>
      </c>
      <c r="F54" s="44">
        <v>0</v>
      </c>
      <c r="G54" s="43">
        <v>0</v>
      </c>
      <c r="H54" s="72"/>
      <c r="J54" s="72"/>
      <c r="K54" s="72"/>
      <c r="L54" s="29"/>
    </row>
    <row r="55" spans="1:12">
      <c r="A55" s="202"/>
      <c r="B55" s="39" t="s">
        <v>58</v>
      </c>
      <c r="C55" s="46"/>
      <c r="D55" s="42" t="s">
        <v>161</v>
      </c>
      <c r="E55" s="43">
        <v>0</v>
      </c>
      <c r="F55" s="44">
        <v>605031.30000000005</v>
      </c>
      <c r="G55" s="43">
        <v>605031.30000000005</v>
      </c>
      <c r="H55" s="72"/>
      <c r="J55" s="72"/>
      <c r="K55" s="72"/>
      <c r="L55" s="29"/>
    </row>
    <row r="56" spans="1:12">
      <c r="A56" s="202"/>
      <c r="B56" s="39" t="s">
        <v>58</v>
      </c>
      <c r="C56" s="47"/>
      <c r="D56" s="42" t="s">
        <v>162</v>
      </c>
      <c r="E56" s="43">
        <v>605031.30000000005</v>
      </c>
      <c r="F56" s="44">
        <v>-74244.12</v>
      </c>
      <c r="G56" s="43">
        <v>530787.18000000005</v>
      </c>
      <c r="H56" s="72"/>
      <c r="J56" s="72"/>
      <c r="K56" s="72"/>
      <c r="L56" s="29"/>
    </row>
    <row r="57" spans="1:12">
      <c r="A57" s="203"/>
      <c r="B57" s="80"/>
      <c r="C57" s="80"/>
      <c r="D57" s="80"/>
      <c r="E57" s="82"/>
      <c r="F57" s="83">
        <f>SUM(F54:F56)</f>
        <v>530787.18000000005</v>
      </c>
      <c r="G57" s="82"/>
      <c r="H57" s="72"/>
      <c r="I57" s="72"/>
      <c r="J57" s="72"/>
      <c r="K57" s="72"/>
    </row>
    <row r="58" spans="1:12">
      <c r="A58" s="200"/>
      <c r="B58" s="84"/>
      <c r="C58" s="178"/>
      <c r="D58" s="84"/>
      <c r="E58" s="86"/>
      <c r="F58" s="87">
        <f>F53+F57</f>
        <v>8371580.8100000005</v>
      </c>
      <c r="G58" s="86"/>
      <c r="H58" s="72"/>
      <c r="I58" s="72"/>
      <c r="J58" s="72"/>
      <c r="K58" s="72"/>
    </row>
    <row r="59" spans="1:12" s="72" customFormat="1">
      <c r="A59" s="235"/>
      <c r="B59" s="39" t="s">
        <v>58</v>
      </c>
      <c r="C59" s="205" t="s">
        <v>53</v>
      </c>
      <c r="D59" s="179" t="s">
        <v>160</v>
      </c>
      <c r="E59" s="43">
        <v>122672.13</v>
      </c>
      <c r="F59" s="44">
        <v>-96687.14</v>
      </c>
      <c r="G59" s="43">
        <v>25984.99</v>
      </c>
      <c r="I59" s="29"/>
    </row>
    <row r="60" spans="1:12" s="72" customFormat="1">
      <c r="A60" s="206"/>
      <c r="B60" s="39" t="s">
        <v>58</v>
      </c>
      <c r="C60" s="206"/>
      <c r="D60" s="180" t="s">
        <v>161</v>
      </c>
      <c r="E60" s="43">
        <v>25984.99</v>
      </c>
      <c r="F60" s="44">
        <v>6821573.2999999998</v>
      </c>
      <c r="G60" s="43">
        <v>6847558.29</v>
      </c>
      <c r="I60" s="29"/>
    </row>
    <row r="61" spans="1:12" s="72" customFormat="1">
      <c r="A61" s="206"/>
      <c r="B61" s="39" t="s">
        <v>58</v>
      </c>
      <c r="C61" s="207"/>
      <c r="D61" s="180" t="s">
        <v>162</v>
      </c>
      <c r="E61" s="43">
        <v>6847558.29</v>
      </c>
      <c r="F61" s="44">
        <v>-571513.41</v>
      </c>
      <c r="G61" s="43">
        <v>6276044.8799999999</v>
      </c>
      <c r="I61" s="29"/>
    </row>
    <row r="62" spans="1:12" s="72" customFormat="1">
      <c r="A62" s="206"/>
      <c r="B62" s="80"/>
      <c r="C62" s="204"/>
      <c r="D62" s="80"/>
      <c r="E62" s="82"/>
      <c r="F62" s="83">
        <f>SUM(F59:F61)</f>
        <v>6153372.75</v>
      </c>
      <c r="G62" s="82"/>
    </row>
    <row r="63" spans="1:12" s="33" customFormat="1">
      <c r="A63" s="202" t="s">
        <v>118</v>
      </c>
      <c r="B63" s="39" t="s">
        <v>100</v>
      </c>
      <c r="C63" s="41" t="s">
        <v>54</v>
      </c>
      <c r="D63" s="42" t="s">
        <v>160</v>
      </c>
      <c r="E63" s="43">
        <v>69647.38</v>
      </c>
      <c r="F63" s="44">
        <v>-35992.080000000002</v>
      </c>
      <c r="G63" s="43">
        <v>33655.300000000003</v>
      </c>
      <c r="H63" s="72"/>
      <c r="J63" s="72"/>
      <c r="K63" s="72"/>
      <c r="L63" s="29"/>
    </row>
    <row r="64" spans="1:12" s="33" customFormat="1">
      <c r="A64" s="202"/>
      <c r="B64" s="39" t="s">
        <v>100</v>
      </c>
      <c r="C64" s="46"/>
      <c r="D64" s="42" t="s">
        <v>161</v>
      </c>
      <c r="E64" s="43">
        <v>33655.300000000003</v>
      </c>
      <c r="F64" s="44">
        <v>843764.25</v>
      </c>
      <c r="G64" s="43">
        <v>877419.55</v>
      </c>
      <c r="H64" s="72"/>
      <c r="J64" s="72"/>
      <c r="K64" s="72"/>
      <c r="L64" s="29"/>
    </row>
    <row r="65" spans="1:13">
      <c r="A65" s="202"/>
      <c r="B65" s="39" t="s">
        <v>100</v>
      </c>
      <c r="C65" s="47"/>
      <c r="D65" s="42" t="s">
        <v>162</v>
      </c>
      <c r="E65" s="43">
        <v>877419.55</v>
      </c>
      <c r="F65" s="44">
        <v>-136471.21</v>
      </c>
      <c r="G65" s="43">
        <v>740948.34</v>
      </c>
      <c r="H65" s="72"/>
      <c r="J65" s="72"/>
      <c r="K65" s="72"/>
      <c r="L65" s="29"/>
    </row>
    <row r="66" spans="1:13">
      <c r="A66" s="203"/>
      <c r="B66" s="80"/>
      <c r="C66" s="80"/>
      <c r="D66" s="80"/>
      <c r="E66" s="82"/>
      <c r="F66" s="83">
        <f>SUM(F63:F65)</f>
        <v>671300.96000000008</v>
      </c>
      <c r="G66" s="82"/>
      <c r="H66" s="72"/>
      <c r="I66" s="72"/>
      <c r="J66" s="72"/>
      <c r="K66" s="72"/>
      <c r="L66" s="21"/>
      <c r="M66" s="21"/>
    </row>
    <row r="67" spans="1:13">
      <c r="A67" s="234"/>
      <c r="B67" s="84"/>
      <c r="C67" s="84"/>
      <c r="D67" s="84"/>
      <c r="E67" s="86"/>
      <c r="F67" s="87">
        <f>F62+F66</f>
        <v>6824673.71</v>
      </c>
      <c r="G67" s="86"/>
      <c r="H67" s="72"/>
      <c r="I67" s="72"/>
      <c r="J67" s="72"/>
      <c r="K67" s="72"/>
      <c r="L67" s="21"/>
      <c r="M67" s="21"/>
    </row>
    <row r="68" spans="1:13">
      <c r="A68" s="38" t="s">
        <v>43</v>
      </c>
      <c r="B68" s="37"/>
      <c r="C68" s="49" t="s">
        <v>127</v>
      </c>
      <c r="D68" s="37"/>
      <c r="E68" s="37"/>
      <c r="F68" s="37"/>
      <c r="G68" s="37"/>
      <c r="H68" s="72"/>
      <c r="I68" s="72"/>
      <c r="J68" s="72"/>
      <c r="K68" s="72"/>
      <c r="L68" s="21"/>
      <c r="M68" s="21"/>
    </row>
    <row r="69" spans="1:13" ht="25.5">
      <c r="A69" s="162" t="s">
        <v>44</v>
      </c>
      <c r="B69" s="163" t="s">
        <v>45</v>
      </c>
      <c r="C69" s="164" t="s">
        <v>46</v>
      </c>
      <c r="D69" s="165" t="s">
        <v>47</v>
      </c>
      <c r="E69" s="166" t="s">
        <v>48</v>
      </c>
      <c r="F69" s="165" t="s">
        <v>49</v>
      </c>
      <c r="G69" s="165" t="s">
        <v>50</v>
      </c>
      <c r="H69" s="72"/>
      <c r="I69" s="72"/>
      <c r="J69" s="72"/>
      <c r="K69" s="72"/>
    </row>
    <row r="70" spans="1:13" s="72" customFormat="1">
      <c r="A70" s="40">
        <v>254328</v>
      </c>
      <c r="B70" s="39" t="s">
        <v>146</v>
      </c>
      <c r="C70" s="41" t="s">
        <v>53</v>
      </c>
      <c r="D70" s="42" t="s">
        <v>160</v>
      </c>
      <c r="E70" s="43">
        <v>-226760.85</v>
      </c>
      <c r="F70" s="44">
        <v>208531.26</v>
      </c>
      <c r="G70" s="43">
        <v>-18229.59</v>
      </c>
      <c r="I70" s="29"/>
    </row>
    <row r="71" spans="1:13" s="72" customFormat="1">
      <c r="A71" s="202"/>
      <c r="B71" s="39" t="s">
        <v>146</v>
      </c>
      <c r="C71" s="46"/>
      <c r="D71" s="42" t="s">
        <v>161</v>
      </c>
      <c r="E71" s="43">
        <v>-18229.59</v>
      </c>
      <c r="F71" s="44">
        <v>18229.59</v>
      </c>
      <c r="G71" s="43">
        <v>0</v>
      </c>
      <c r="I71" s="29"/>
    </row>
    <row r="72" spans="1:13" s="72" customFormat="1">
      <c r="A72" s="202"/>
      <c r="B72" s="39" t="s">
        <v>146</v>
      </c>
      <c r="C72" s="47"/>
      <c r="D72" s="42" t="s">
        <v>162</v>
      </c>
      <c r="E72" s="43">
        <v>0</v>
      </c>
      <c r="F72" s="44">
        <v>0</v>
      </c>
      <c r="G72" s="43">
        <v>0</v>
      </c>
      <c r="I72" s="29"/>
    </row>
    <row r="73" spans="1:13" s="72" customFormat="1">
      <c r="A73" s="202"/>
      <c r="B73" s="80"/>
      <c r="C73" s="80"/>
      <c r="D73" s="80"/>
      <c r="E73" s="82"/>
      <c r="F73" s="83">
        <f>SUM(F70:F72)</f>
        <v>226760.85</v>
      </c>
      <c r="G73" s="82"/>
      <c r="I73" s="232"/>
    </row>
    <row r="74" spans="1:13" s="72" customFormat="1">
      <c r="A74" s="202"/>
      <c r="B74" s="39" t="s">
        <v>146</v>
      </c>
      <c r="C74" s="41" t="s">
        <v>54</v>
      </c>
      <c r="D74" s="42" t="s">
        <v>160</v>
      </c>
      <c r="E74" s="43">
        <v>-234463.5</v>
      </c>
      <c r="F74" s="44">
        <v>331067.98</v>
      </c>
      <c r="G74" s="43">
        <v>96604.479999999996</v>
      </c>
      <c r="L74" s="29"/>
    </row>
    <row r="75" spans="1:13" s="72" customFormat="1">
      <c r="A75" s="202"/>
      <c r="B75" s="39" t="s">
        <v>146</v>
      </c>
      <c r="C75" s="46"/>
      <c r="D75" s="42" t="s">
        <v>161</v>
      </c>
      <c r="E75" s="43">
        <v>96604.479999999996</v>
      </c>
      <c r="F75" s="44">
        <v>-96604.479999999996</v>
      </c>
      <c r="G75" s="43">
        <v>0</v>
      </c>
      <c r="L75" s="29"/>
    </row>
    <row r="76" spans="1:13" s="72" customFormat="1">
      <c r="A76" s="202"/>
      <c r="B76" s="39" t="s">
        <v>146</v>
      </c>
      <c r="C76" s="47"/>
      <c r="D76" s="42" t="s">
        <v>162</v>
      </c>
      <c r="E76" s="43">
        <v>0</v>
      </c>
      <c r="F76" s="44">
        <v>0</v>
      </c>
      <c r="G76" s="43">
        <v>0</v>
      </c>
      <c r="L76" s="29"/>
    </row>
    <row r="77" spans="1:13" s="72" customFormat="1">
      <c r="A77" s="203"/>
      <c r="B77" s="80"/>
      <c r="C77" s="80"/>
      <c r="D77" s="80"/>
      <c r="E77" s="82"/>
      <c r="F77" s="83">
        <f>SUM(F74:F76)</f>
        <v>234463.5</v>
      </c>
      <c r="G77" s="82"/>
    </row>
    <row r="78" spans="1:13" s="72" customFormat="1">
      <c r="A78" s="200"/>
      <c r="B78" s="84"/>
      <c r="C78" s="178"/>
      <c r="D78" s="84"/>
      <c r="E78" s="86"/>
      <c r="F78" s="87">
        <f>F73+F77</f>
        <v>461224.35</v>
      </c>
      <c r="G78" s="86"/>
    </row>
    <row r="79" spans="1:13">
      <c r="A79" s="201" t="s">
        <v>123</v>
      </c>
      <c r="B79" s="39" t="s">
        <v>124</v>
      </c>
      <c r="C79" s="41" t="s">
        <v>53</v>
      </c>
      <c r="D79" s="42" t="s">
        <v>160</v>
      </c>
      <c r="E79" s="43">
        <v>0</v>
      </c>
      <c r="F79" s="43">
        <v>0</v>
      </c>
      <c r="G79" s="43">
        <v>0</v>
      </c>
      <c r="H79" s="72"/>
      <c r="I79" s="29"/>
      <c r="J79" s="72"/>
      <c r="K79" s="72"/>
    </row>
    <row r="80" spans="1:13" ht="15.75">
      <c r="A80" s="202"/>
      <c r="B80" s="39" t="s">
        <v>124</v>
      </c>
      <c r="C80" s="46"/>
      <c r="D80" s="42" t="s">
        <v>161</v>
      </c>
      <c r="E80" s="43">
        <v>0</v>
      </c>
      <c r="F80" s="43">
        <v>0</v>
      </c>
      <c r="G80" s="43">
        <v>0</v>
      </c>
      <c r="H80" s="167"/>
      <c r="I80" s="29"/>
      <c r="J80" s="72"/>
      <c r="K80" s="72"/>
    </row>
    <row r="81" spans="1:15" s="33" customFormat="1" ht="15.75">
      <c r="A81" s="202"/>
      <c r="B81" s="39" t="s">
        <v>124</v>
      </c>
      <c r="C81" s="47"/>
      <c r="D81" s="42" t="s">
        <v>162</v>
      </c>
      <c r="E81" s="43">
        <v>0</v>
      </c>
      <c r="F81" s="43">
        <v>0</v>
      </c>
      <c r="G81" s="43">
        <v>0</v>
      </c>
      <c r="H81" s="167"/>
      <c r="I81" s="29"/>
      <c r="J81" s="72"/>
      <c r="K81" s="72"/>
    </row>
    <row r="82" spans="1:15">
      <c r="A82" s="202"/>
      <c r="B82" s="80"/>
      <c r="C82" s="80"/>
      <c r="D82" s="80"/>
      <c r="E82" s="82"/>
      <c r="F82" s="83">
        <f>SUM(F79:F81)</f>
        <v>0</v>
      </c>
      <c r="G82" s="82"/>
      <c r="H82" s="72"/>
      <c r="I82" s="72"/>
      <c r="J82" s="72"/>
      <c r="K82" s="72"/>
    </row>
    <row r="83" spans="1:15">
      <c r="A83" s="202"/>
      <c r="B83" s="39" t="s">
        <v>124</v>
      </c>
      <c r="C83" s="41" t="s">
        <v>54</v>
      </c>
      <c r="D83" s="42" t="s">
        <v>160</v>
      </c>
      <c r="E83" s="43">
        <v>0</v>
      </c>
      <c r="F83" s="43">
        <v>0</v>
      </c>
      <c r="G83" s="43">
        <v>0</v>
      </c>
      <c r="H83" s="72"/>
      <c r="J83" s="72"/>
      <c r="K83" s="72"/>
      <c r="L83" s="29"/>
    </row>
    <row r="84" spans="1:15" s="72" customFormat="1">
      <c r="A84" s="202"/>
      <c r="B84" s="39" t="s">
        <v>124</v>
      </c>
      <c r="C84" s="46"/>
      <c r="D84" s="42" t="s">
        <v>161</v>
      </c>
      <c r="E84" s="43">
        <v>0</v>
      </c>
      <c r="F84" s="43">
        <v>0</v>
      </c>
      <c r="G84" s="43">
        <v>0</v>
      </c>
      <c r="L84" s="29"/>
    </row>
    <row r="85" spans="1:15" s="72" customFormat="1">
      <c r="A85" s="202"/>
      <c r="B85" s="39" t="s">
        <v>124</v>
      </c>
      <c r="C85" s="47"/>
      <c r="D85" s="42" t="s">
        <v>162</v>
      </c>
      <c r="E85" s="43">
        <v>0</v>
      </c>
      <c r="F85" s="43">
        <v>0</v>
      </c>
      <c r="G85" s="43">
        <v>0</v>
      </c>
      <c r="L85" s="29"/>
    </row>
    <row r="86" spans="1:15" s="72" customFormat="1">
      <c r="A86" s="203"/>
      <c r="B86" s="80"/>
      <c r="C86" s="80"/>
      <c r="D86" s="80"/>
      <c r="E86" s="82"/>
      <c r="F86" s="83">
        <f>SUM(F83:F85)</f>
        <v>0</v>
      </c>
      <c r="G86" s="82"/>
    </row>
    <row r="87" spans="1:15" s="72" customFormat="1">
      <c r="A87" s="200"/>
      <c r="B87" s="84"/>
      <c r="C87" s="178"/>
      <c r="D87" s="84"/>
      <c r="E87" s="86"/>
      <c r="F87" s="87">
        <f>F82+F86</f>
        <v>0</v>
      </c>
      <c r="G87" s="86"/>
    </row>
    <row r="88" spans="1:15">
      <c r="A88" s="72"/>
      <c r="B88" s="72"/>
      <c r="C88" s="72"/>
      <c r="D88" s="72"/>
      <c r="E88" s="72"/>
      <c r="F88" s="72"/>
      <c r="G88" s="72"/>
      <c r="H88" s="72"/>
      <c r="I88" s="72"/>
      <c r="J88" s="72"/>
      <c r="K88" s="72"/>
    </row>
    <row r="89" spans="1:15">
      <c r="A89" s="38" t="s">
        <v>43</v>
      </c>
      <c r="B89" s="37"/>
      <c r="C89" s="168" t="s">
        <v>121</v>
      </c>
      <c r="D89" s="37"/>
      <c r="E89" s="37"/>
      <c r="F89" s="37"/>
      <c r="G89" s="37"/>
      <c r="H89" s="72"/>
      <c r="I89" s="72"/>
      <c r="J89" s="72"/>
      <c r="K89" s="72"/>
    </row>
    <row r="90" spans="1:15">
      <c r="A90" s="37"/>
      <c r="B90" s="37"/>
      <c r="C90" s="37"/>
      <c r="D90" s="37"/>
      <c r="E90" s="37"/>
      <c r="F90" s="37"/>
      <c r="G90" s="37"/>
      <c r="H90" s="72"/>
      <c r="I90" s="72"/>
      <c r="J90" s="72"/>
      <c r="K90" s="72"/>
    </row>
    <row r="91" spans="1:15" s="72" customFormat="1" ht="31.15" customHeight="1">
      <c r="A91" s="88" t="s">
        <v>44</v>
      </c>
      <c r="B91" s="89" t="s">
        <v>45</v>
      </c>
      <c r="C91" s="90" t="s">
        <v>46</v>
      </c>
      <c r="D91" s="88" t="s">
        <v>47</v>
      </c>
      <c r="E91" s="88" t="s">
        <v>48</v>
      </c>
      <c r="F91" s="88" t="s">
        <v>49</v>
      </c>
      <c r="G91" s="88" t="s">
        <v>50</v>
      </c>
      <c r="J91" s="246" t="s">
        <v>145</v>
      </c>
      <c r="K91" s="246"/>
    </row>
    <row r="92" spans="1:15">
      <c r="A92" s="40" t="s">
        <v>59</v>
      </c>
      <c r="B92" s="39" t="s">
        <v>60</v>
      </c>
      <c r="C92" s="41" t="s">
        <v>53</v>
      </c>
      <c r="D92" s="42" t="s">
        <v>160</v>
      </c>
      <c r="E92" s="43">
        <v>-4662672.42</v>
      </c>
      <c r="F92" s="44">
        <v>35585.4</v>
      </c>
      <c r="G92" s="43">
        <v>-4627087.0199999996</v>
      </c>
      <c r="H92" s="72"/>
      <c r="I92" s="21"/>
      <c r="J92" s="190">
        <f>(G6+G15+G28+G37+G50+G59+G70+G79+G172+G181)*-0.21</f>
        <v>-4627087.0610999996</v>
      </c>
      <c r="K92" s="190">
        <f>J92-G92</f>
        <v>-4.1100000031292439E-2</v>
      </c>
      <c r="O92" s="21"/>
    </row>
    <row r="93" spans="1:15">
      <c r="A93" s="45"/>
      <c r="B93" s="39" t="s">
        <v>60</v>
      </c>
      <c r="C93" s="46"/>
      <c r="D93" s="42" t="s">
        <v>161</v>
      </c>
      <c r="E93" s="43">
        <v>-4627087.0199999996</v>
      </c>
      <c r="F93" s="44">
        <v>166340.72</v>
      </c>
      <c r="G93" s="43">
        <v>-4460746.3</v>
      </c>
      <c r="H93" s="72"/>
      <c r="I93" s="21"/>
      <c r="J93" s="190">
        <f>(G7+G16+G29+G38+G51+G60+G71+G80+G173+G182)*-0.21</f>
        <v>-4460746.3361999998</v>
      </c>
      <c r="K93" s="190">
        <f>J93-G93</f>
        <v>-3.619999997317791E-2</v>
      </c>
    </row>
    <row r="94" spans="1:15">
      <c r="A94" s="45"/>
      <c r="B94" s="39" t="s">
        <v>60</v>
      </c>
      <c r="C94" s="47"/>
      <c r="D94" s="42" t="s">
        <v>162</v>
      </c>
      <c r="E94" s="43">
        <v>-4460746.3</v>
      </c>
      <c r="F94" s="44">
        <v>-192539.77</v>
      </c>
      <c r="G94" s="43">
        <v>-4653286.07</v>
      </c>
      <c r="H94" s="184"/>
      <c r="I94" s="21"/>
      <c r="J94" s="190">
        <f>(G8+G17+G30+G39+G52+G61+G72+G81+G174+G183)*-0.21</f>
        <v>-4653286.1088000005</v>
      </c>
      <c r="K94" s="190">
        <f>J94-G94</f>
        <v>-3.8800000213086605E-2</v>
      </c>
    </row>
    <row r="95" spans="1:15" s="72" customFormat="1">
      <c r="A95" s="45"/>
      <c r="B95" s="80"/>
      <c r="C95" s="81"/>
      <c r="D95" s="80"/>
      <c r="E95" s="82"/>
      <c r="F95" s="83">
        <f>SUM(F92:F94)</f>
        <v>9386.3500000000058</v>
      </c>
      <c r="G95" s="82"/>
    </row>
    <row r="96" spans="1:15">
      <c r="A96" s="45"/>
      <c r="B96" s="39" t="s">
        <v>60</v>
      </c>
      <c r="C96" s="41" t="s">
        <v>54</v>
      </c>
      <c r="D96" s="42" t="s">
        <v>160</v>
      </c>
      <c r="E96" s="43">
        <v>-62930.41</v>
      </c>
      <c r="F96" s="44">
        <v>293866.58</v>
      </c>
      <c r="G96" s="43">
        <v>230936.17</v>
      </c>
      <c r="H96" s="72"/>
      <c r="I96" s="72"/>
      <c r="J96" s="190">
        <f>(G10+G19+G32+G41+G54+G63+G74+G83+G176+G185)*-0.21</f>
        <v>230936.33430000005</v>
      </c>
      <c r="K96" s="190">
        <f>J96-G96</f>
        <v>0.16430000003310852</v>
      </c>
    </row>
    <row r="97" spans="1:12">
      <c r="A97" s="45"/>
      <c r="B97" s="39" t="s">
        <v>60</v>
      </c>
      <c r="C97" s="46"/>
      <c r="D97" s="42" t="s">
        <v>161</v>
      </c>
      <c r="E97" s="43">
        <v>230936.17</v>
      </c>
      <c r="F97" s="44">
        <v>-64863.360000000001</v>
      </c>
      <c r="G97" s="43">
        <v>166072.81</v>
      </c>
      <c r="H97" s="72"/>
      <c r="I97" s="72"/>
      <c r="J97" s="190">
        <f>(G11+G20+G33+G42+G55+G64+G75+G84+G177+G186)*-0.21</f>
        <v>166072.9791</v>
      </c>
      <c r="K97" s="190">
        <f>J97-G97</f>
        <v>0.16909999999916181</v>
      </c>
    </row>
    <row r="98" spans="1:12">
      <c r="A98" s="45"/>
      <c r="B98" s="39" t="s">
        <v>60</v>
      </c>
      <c r="C98" s="47"/>
      <c r="D98" s="42" t="s">
        <v>162</v>
      </c>
      <c r="E98" s="43">
        <v>166072.81</v>
      </c>
      <c r="F98" s="44">
        <v>-225148.12</v>
      </c>
      <c r="G98" s="43">
        <v>-59075.31</v>
      </c>
      <c r="H98" s="184"/>
      <c r="I98" s="72"/>
      <c r="J98" s="190">
        <f>(G12+G21+G34+G43+G56+G65+G76+G85+G178+G187)*-0.21</f>
        <v>-59075.141999999985</v>
      </c>
      <c r="K98" s="190">
        <f>J98-G98</f>
        <v>0.16800000001239823</v>
      </c>
    </row>
    <row r="99" spans="1:12" s="72" customFormat="1">
      <c r="A99" s="48"/>
      <c r="B99" s="80"/>
      <c r="C99" s="81"/>
      <c r="D99" s="80"/>
      <c r="E99" s="82"/>
      <c r="F99" s="83">
        <f>SUM(F96:F98)</f>
        <v>3855.1000000000349</v>
      </c>
      <c r="G99" s="82"/>
    </row>
    <row r="100" spans="1:12">
      <c r="A100" s="84"/>
      <c r="B100" s="85"/>
      <c r="C100" s="84"/>
      <c r="D100" s="84"/>
      <c r="E100" s="86"/>
      <c r="F100" s="87">
        <f>F95+F99</f>
        <v>13241.450000000041</v>
      </c>
      <c r="G100" s="86"/>
      <c r="H100" s="72"/>
      <c r="I100" s="72"/>
      <c r="J100" s="72"/>
      <c r="K100" s="72"/>
    </row>
    <row r="101" spans="1:12" s="72" customFormat="1">
      <c r="A101" s="158"/>
      <c r="B101" s="161"/>
      <c r="C101" s="158"/>
      <c r="D101" s="158"/>
      <c r="E101" s="159"/>
      <c r="F101" s="160"/>
      <c r="G101" s="159"/>
    </row>
    <row r="102" spans="1:12" s="72" customFormat="1" ht="15.75">
      <c r="A102" s="245" t="s">
        <v>61</v>
      </c>
      <c r="B102" s="245"/>
      <c r="C102" s="245"/>
      <c r="D102" s="245"/>
      <c r="E102" s="245"/>
      <c r="F102" s="245"/>
      <c r="G102" s="245"/>
    </row>
    <row r="103" spans="1:12" s="72" customFormat="1" ht="15.75">
      <c r="A103" s="167"/>
      <c r="B103" s="167"/>
      <c r="C103" s="167"/>
      <c r="D103" s="167"/>
      <c r="E103" s="167"/>
      <c r="F103" s="167"/>
      <c r="G103" s="167"/>
    </row>
    <row r="104" spans="1:12" s="72" customFormat="1">
      <c r="A104" s="38" t="s">
        <v>43</v>
      </c>
      <c r="B104" s="37"/>
      <c r="C104" s="17" t="s">
        <v>120</v>
      </c>
      <c r="D104" s="37"/>
      <c r="E104" s="37"/>
      <c r="F104" s="37"/>
      <c r="G104" s="37"/>
    </row>
    <row r="105" spans="1:12" s="72" customFormat="1">
      <c r="A105" s="37"/>
      <c r="B105" s="37"/>
      <c r="C105" s="37"/>
      <c r="D105" s="37"/>
      <c r="E105" s="37"/>
      <c r="F105" s="37"/>
      <c r="G105" s="37"/>
    </row>
    <row r="106" spans="1:12" s="72" customFormat="1" ht="26.25">
      <c r="A106" s="88" t="s">
        <v>44</v>
      </c>
      <c r="B106" s="89" t="s">
        <v>45</v>
      </c>
      <c r="C106" s="90" t="s">
        <v>46</v>
      </c>
      <c r="D106" s="88" t="s">
        <v>47</v>
      </c>
      <c r="E106" s="88" t="s">
        <v>48</v>
      </c>
      <c r="F106" s="88" t="s">
        <v>49</v>
      </c>
      <c r="G106" s="88" t="s">
        <v>50</v>
      </c>
      <c r="K106" s="191"/>
    </row>
    <row r="107" spans="1:12" s="72" customFormat="1">
      <c r="A107" s="40" t="s">
        <v>64</v>
      </c>
      <c r="B107" s="39" t="s">
        <v>65</v>
      </c>
      <c r="C107" s="41" t="s">
        <v>53</v>
      </c>
      <c r="D107" s="42" t="s">
        <v>160</v>
      </c>
      <c r="E107" s="43">
        <v>-1167571.6000000001</v>
      </c>
      <c r="F107" s="44">
        <v>641640.99</v>
      </c>
      <c r="G107" s="43">
        <v>-525930.61</v>
      </c>
      <c r="I107" s="49"/>
      <c r="K107" s="190"/>
    </row>
    <row r="108" spans="1:12" s="72" customFormat="1">
      <c r="A108" s="45"/>
      <c r="B108" s="39" t="s">
        <v>65</v>
      </c>
      <c r="C108" s="46"/>
      <c r="D108" s="42" t="s">
        <v>161</v>
      </c>
      <c r="E108" s="43">
        <v>-525930.61</v>
      </c>
      <c r="F108" s="44">
        <v>-255411.43</v>
      </c>
      <c r="G108" s="43">
        <v>-781342.04</v>
      </c>
    </row>
    <row r="109" spans="1:12" s="72" customFormat="1">
      <c r="A109" s="45"/>
      <c r="B109" s="39" t="s">
        <v>65</v>
      </c>
      <c r="C109" s="47"/>
      <c r="D109" s="42" t="s">
        <v>162</v>
      </c>
      <c r="E109" s="43">
        <v>-781342.04</v>
      </c>
      <c r="F109" s="44">
        <v>-410455.85</v>
      </c>
      <c r="G109" s="43">
        <v>-1191797.8899999999</v>
      </c>
    </row>
    <row r="110" spans="1:12" s="72" customFormat="1">
      <c r="A110" s="48"/>
      <c r="B110" s="84"/>
      <c r="C110" s="91"/>
      <c r="D110" s="84"/>
      <c r="E110" s="86"/>
      <c r="F110" s="87">
        <f>SUM(F107:F109)</f>
        <v>-24226.289999999979</v>
      </c>
      <c r="G110" s="86"/>
    </row>
    <row r="111" spans="1:12">
      <c r="A111" s="40" t="s">
        <v>66</v>
      </c>
      <c r="B111" s="39" t="s">
        <v>67</v>
      </c>
      <c r="C111" s="41" t="s">
        <v>53</v>
      </c>
      <c r="D111" s="42" t="s">
        <v>160</v>
      </c>
      <c r="E111" s="43">
        <v>-4772118.18</v>
      </c>
      <c r="F111" s="44">
        <v>-259363.54</v>
      </c>
      <c r="G111" s="43">
        <v>-5031481.72</v>
      </c>
      <c r="H111" s="72"/>
      <c r="I111" s="72"/>
      <c r="J111" s="72"/>
      <c r="K111" s="190"/>
      <c r="L111" s="190"/>
    </row>
    <row r="112" spans="1:12">
      <c r="A112" s="45"/>
      <c r="B112" s="39" t="s">
        <v>67</v>
      </c>
      <c r="C112" s="46"/>
      <c r="D112" s="42" t="s">
        <v>161</v>
      </c>
      <c r="E112" s="43">
        <v>-5031481.72</v>
      </c>
      <c r="F112" s="44">
        <v>13154.24</v>
      </c>
      <c r="G112" s="43">
        <v>-5018327.4800000004</v>
      </c>
      <c r="H112" s="72"/>
      <c r="I112" s="72"/>
      <c r="J112" s="72"/>
      <c r="K112" s="72"/>
    </row>
    <row r="113" spans="1:11" s="72" customFormat="1">
      <c r="A113" s="45"/>
      <c r="B113" s="39" t="s">
        <v>67</v>
      </c>
      <c r="C113" s="47"/>
      <c r="D113" s="42" t="s">
        <v>162</v>
      </c>
      <c r="E113" s="43">
        <v>-5018327.4800000004</v>
      </c>
      <c r="F113" s="44">
        <v>-1695821.7</v>
      </c>
      <c r="G113" s="43">
        <v>-6714149.1799999997</v>
      </c>
    </row>
    <row r="114" spans="1:11">
      <c r="A114" s="48"/>
      <c r="B114" s="84"/>
      <c r="C114" s="91"/>
      <c r="D114" s="84"/>
      <c r="E114" s="86"/>
      <c r="F114" s="87">
        <f>SUM(F111:F113)</f>
        <v>-1942031</v>
      </c>
      <c r="G114" s="86"/>
      <c r="H114" s="72"/>
      <c r="I114" s="72"/>
      <c r="J114" s="72"/>
      <c r="K114" s="72"/>
    </row>
    <row r="115" spans="1:11">
      <c r="A115" s="40" t="s">
        <v>68</v>
      </c>
      <c r="B115" s="39" t="s">
        <v>65</v>
      </c>
      <c r="C115" s="41" t="s">
        <v>54</v>
      </c>
      <c r="D115" s="42" t="s">
        <v>160</v>
      </c>
      <c r="E115" s="43">
        <v>943988.36</v>
      </c>
      <c r="F115" s="44">
        <v>1516130.78</v>
      </c>
      <c r="G115" s="43">
        <v>2460119.14</v>
      </c>
      <c r="H115" s="72"/>
      <c r="I115" s="72"/>
      <c r="J115" s="72"/>
      <c r="K115" s="72"/>
    </row>
    <row r="116" spans="1:11">
      <c r="A116" s="45"/>
      <c r="B116" s="39" t="s">
        <v>65</v>
      </c>
      <c r="C116" s="46"/>
      <c r="D116" s="42" t="s">
        <v>161</v>
      </c>
      <c r="E116" s="43">
        <v>2460119.14</v>
      </c>
      <c r="F116" s="44">
        <v>-393454.96</v>
      </c>
      <c r="G116" s="43">
        <v>2066664.18</v>
      </c>
      <c r="H116" s="72"/>
      <c r="I116" s="72"/>
      <c r="J116" s="72"/>
      <c r="K116" s="72"/>
    </row>
    <row r="117" spans="1:11">
      <c r="A117" s="45"/>
      <c r="B117" s="39" t="s">
        <v>65</v>
      </c>
      <c r="C117" s="47"/>
      <c r="D117" s="42" t="s">
        <v>162</v>
      </c>
      <c r="E117" s="43">
        <v>2066664.18</v>
      </c>
      <c r="F117" s="44">
        <v>-1089938.47</v>
      </c>
      <c r="G117" s="43">
        <v>976725.71</v>
      </c>
      <c r="H117" s="72"/>
      <c r="I117" s="72"/>
      <c r="J117" s="72"/>
      <c r="K117" s="72"/>
    </row>
    <row r="118" spans="1:11">
      <c r="A118" s="48"/>
      <c r="B118" s="84"/>
      <c r="C118" s="91"/>
      <c r="D118" s="84"/>
      <c r="E118" s="86"/>
      <c r="F118" s="87">
        <f>SUM(F115:F117)</f>
        <v>32737.350000000093</v>
      </c>
      <c r="G118" s="86"/>
      <c r="H118" s="72"/>
      <c r="I118" s="72"/>
      <c r="J118" s="72"/>
      <c r="K118" s="72"/>
    </row>
    <row r="119" spans="1:11">
      <c r="A119" s="40" t="s">
        <v>69</v>
      </c>
      <c r="B119" s="39" t="s">
        <v>67</v>
      </c>
      <c r="C119" s="41" t="s">
        <v>54</v>
      </c>
      <c r="D119" s="42" t="s">
        <v>160</v>
      </c>
      <c r="E119" s="43">
        <v>71506.080000000002</v>
      </c>
      <c r="F119" s="44">
        <v>176687.17</v>
      </c>
      <c r="G119" s="43">
        <v>248193.25</v>
      </c>
      <c r="H119" s="72"/>
      <c r="I119" s="72"/>
      <c r="J119" s="72"/>
      <c r="K119" s="72"/>
    </row>
    <row r="120" spans="1:11">
      <c r="A120" s="45"/>
      <c r="B120" s="39" t="s">
        <v>67</v>
      </c>
      <c r="C120" s="46"/>
      <c r="D120" s="42" t="s">
        <v>161</v>
      </c>
      <c r="E120" s="43">
        <v>248193.25</v>
      </c>
      <c r="F120" s="44">
        <v>-117948.89</v>
      </c>
      <c r="G120" s="43">
        <v>130244.36</v>
      </c>
      <c r="H120" s="72"/>
      <c r="I120" s="72"/>
      <c r="J120" s="72"/>
      <c r="K120" s="72"/>
    </row>
    <row r="121" spans="1:11">
      <c r="A121" s="45"/>
      <c r="B121" s="39" t="s">
        <v>67</v>
      </c>
      <c r="C121" s="47"/>
      <c r="D121" s="42" t="s">
        <v>162</v>
      </c>
      <c r="E121" s="43">
        <v>130244.36</v>
      </c>
      <c r="F121" s="44">
        <v>-200264.68</v>
      </c>
      <c r="G121" s="43">
        <v>-70020.320000000007</v>
      </c>
      <c r="H121" s="72"/>
      <c r="I121" s="72"/>
      <c r="J121" s="72"/>
      <c r="K121" s="72"/>
    </row>
    <row r="122" spans="1:11">
      <c r="A122" s="48"/>
      <c r="B122" s="84"/>
      <c r="C122" s="91"/>
      <c r="D122" s="84"/>
      <c r="E122" s="86"/>
      <c r="F122" s="87">
        <f>SUM(F119:F121)</f>
        <v>-141526.39999999997</v>
      </c>
      <c r="G122" s="86"/>
      <c r="H122" s="72"/>
      <c r="I122" s="72"/>
      <c r="J122" s="72"/>
      <c r="K122" s="72"/>
    </row>
    <row r="123" spans="1:11">
      <c r="A123" s="72"/>
      <c r="B123" s="72"/>
      <c r="C123" s="72"/>
      <c r="D123" s="72"/>
      <c r="E123" s="72"/>
      <c r="F123" s="72"/>
      <c r="G123" s="72"/>
      <c r="H123" s="72"/>
      <c r="I123" s="72"/>
      <c r="J123" s="72"/>
      <c r="K123" s="72"/>
    </row>
    <row r="124" spans="1:11">
      <c r="A124" s="38" t="s">
        <v>43</v>
      </c>
      <c r="B124" s="72"/>
      <c r="C124" s="170" t="s">
        <v>128</v>
      </c>
      <c r="D124" s="72"/>
      <c r="E124" s="72"/>
      <c r="F124" s="72"/>
      <c r="G124" s="72"/>
      <c r="H124" s="72"/>
      <c r="I124" s="72"/>
      <c r="J124" s="72"/>
      <c r="K124" s="72"/>
    </row>
    <row r="125" spans="1:11">
      <c r="A125" s="72"/>
      <c r="B125" s="72"/>
      <c r="C125" s="72"/>
      <c r="D125" s="72"/>
      <c r="E125" s="72"/>
      <c r="F125" s="72"/>
      <c r="G125" s="72"/>
      <c r="H125" s="72"/>
      <c r="I125" s="72"/>
      <c r="J125" s="72"/>
      <c r="K125" s="72"/>
    </row>
    <row r="126" spans="1:11" ht="26.25">
      <c r="A126" s="208" t="s">
        <v>44</v>
      </c>
      <c r="B126" s="89" t="s">
        <v>45</v>
      </c>
      <c r="C126" s="90" t="s">
        <v>46</v>
      </c>
      <c r="D126" s="88" t="s">
        <v>47</v>
      </c>
      <c r="E126" s="88" t="s">
        <v>48</v>
      </c>
      <c r="F126" s="88" t="s">
        <v>49</v>
      </c>
      <c r="G126" s="88" t="s">
        <v>50</v>
      </c>
      <c r="H126" s="72"/>
      <c r="I126" s="72"/>
      <c r="J126" s="72"/>
      <c r="K126" s="72"/>
    </row>
    <row r="127" spans="1:11">
      <c r="A127" s="201" t="s">
        <v>129</v>
      </c>
      <c r="B127" s="172" t="s">
        <v>130</v>
      </c>
      <c r="C127" s="41" t="s">
        <v>53</v>
      </c>
      <c r="D127" s="42" t="s">
        <v>160</v>
      </c>
      <c r="E127" s="43">
        <v>-1952226.89</v>
      </c>
      <c r="F127" s="44">
        <v>-209091.41</v>
      </c>
      <c r="G127" s="43">
        <v>-2161318.2999999998</v>
      </c>
      <c r="H127" s="72"/>
      <c r="I127" s="72"/>
      <c r="J127" s="72"/>
      <c r="K127" s="72"/>
    </row>
    <row r="128" spans="1:11">
      <c r="A128" s="202"/>
      <c r="B128" s="172" t="s">
        <v>130</v>
      </c>
      <c r="C128" s="46"/>
      <c r="D128" s="42" t="s">
        <v>161</v>
      </c>
      <c r="E128" s="43">
        <v>-2161318.2999999998</v>
      </c>
      <c r="F128" s="44">
        <v>545755.04</v>
      </c>
      <c r="G128" s="43">
        <v>-1615563.26</v>
      </c>
      <c r="H128" s="72"/>
      <c r="I128" s="72"/>
      <c r="J128" s="72"/>
      <c r="K128" s="72"/>
    </row>
    <row r="129" spans="1:11" s="72" customFormat="1">
      <c r="A129" s="202"/>
      <c r="B129" s="172" t="s">
        <v>130</v>
      </c>
      <c r="C129" s="47"/>
      <c r="D129" s="42" t="s">
        <v>162</v>
      </c>
      <c r="E129" s="43">
        <v>-1615563.26</v>
      </c>
      <c r="F129" s="44">
        <v>686128.56</v>
      </c>
      <c r="G129" s="43">
        <v>-929434.7</v>
      </c>
    </row>
    <row r="130" spans="1:11">
      <c r="A130" s="203"/>
      <c r="B130" s="84"/>
      <c r="C130" s="91"/>
      <c r="D130" s="84"/>
      <c r="E130" s="86"/>
      <c r="F130" s="87">
        <f>SUM(F127:F129)</f>
        <v>1022792.1900000001</v>
      </c>
      <c r="G130" s="86"/>
      <c r="H130" s="72"/>
      <c r="I130" s="72"/>
      <c r="J130" s="72"/>
      <c r="K130" s="72"/>
    </row>
    <row r="131" spans="1:11">
      <c r="A131" s="201" t="s">
        <v>131</v>
      </c>
      <c r="B131" s="172" t="s">
        <v>132</v>
      </c>
      <c r="C131" s="41" t="s">
        <v>53</v>
      </c>
      <c r="D131" s="42" t="s">
        <v>160</v>
      </c>
      <c r="E131" s="43">
        <v>830425.24</v>
      </c>
      <c r="F131" s="44">
        <v>97027.03</v>
      </c>
      <c r="G131" s="43">
        <v>927452.27</v>
      </c>
      <c r="H131" s="72"/>
      <c r="I131" s="72"/>
      <c r="J131" s="72"/>
      <c r="K131" s="72"/>
    </row>
    <row r="132" spans="1:11">
      <c r="A132" s="202"/>
      <c r="B132" s="172" t="s">
        <v>132</v>
      </c>
      <c r="C132" s="46"/>
      <c r="D132" s="42" t="s">
        <v>161</v>
      </c>
      <c r="E132" s="43">
        <v>927452.27</v>
      </c>
      <c r="F132" s="44">
        <v>585025.06999999995</v>
      </c>
      <c r="G132" s="43">
        <v>1512477.34</v>
      </c>
      <c r="H132" s="72"/>
      <c r="I132" s="72"/>
      <c r="J132" s="72"/>
      <c r="K132" s="72"/>
    </row>
    <row r="133" spans="1:11" s="72" customFormat="1">
      <c r="A133" s="202"/>
      <c r="B133" s="172" t="s">
        <v>132</v>
      </c>
      <c r="C133" s="47"/>
      <c r="D133" s="42" t="s">
        <v>162</v>
      </c>
      <c r="E133" s="43">
        <v>1512477.34</v>
      </c>
      <c r="F133" s="44">
        <v>601085.21</v>
      </c>
      <c r="G133" s="43">
        <v>2113562.5499999998</v>
      </c>
    </row>
    <row r="134" spans="1:11">
      <c r="A134" s="203"/>
      <c r="B134" s="84"/>
      <c r="C134" s="91"/>
      <c r="D134" s="84"/>
      <c r="E134" s="86"/>
      <c r="F134" s="87">
        <f>SUM(F131:F133)</f>
        <v>1283137.31</v>
      </c>
      <c r="G134" s="86"/>
      <c r="H134" s="72"/>
      <c r="I134" s="72"/>
      <c r="J134" s="72"/>
      <c r="K134" s="72"/>
    </row>
    <row r="135" spans="1:11">
      <c r="A135" s="201" t="s">
        <v>133</v>
      </c>
      <c r="B135" s="172" t="s">
        <v>130</v>
      </c>
      <c r="C135" s="41" t="s">
        <v>54</v>
      </c>
      <c r="D135" s="42" t="s">
        <v>160</v>
      </c>
      <c r="E135" s="43">
        <v>-2255398.08</v>
      </c>
      <c r="F135" s="44">
        <v>-331383.18</v>
      </c>
      <c r="G135" s="43">
        <v>-2586781.2599999998</v>
      </c>
      <c r="H135" s="72"/>
      <c r="I135" s="72"/>
      <c r="J135" s="72"/>
      <c r="K135" s="72"/>
    </row>
    <row r="136" spans="1:11">
      <c r="A136" s="202"/>
      <c r="B136" s="172" t="s">
        <v>130</v>
      </c>
      <c r="C136" s="46"/>
      <c r="D136" s="42" t="s">
        <v>161</v>
      </c>
      <c r="E136" s="43">
        <v>-2586781.2599999998</v>
      </c>
      <c r="F136" s="44">
        <v>70320</v>
      </c>
      <c r="G136" s="43">
        <v>-2516461.2599999998</v>
      </c>
      <c r="H136" s="72"/>
      <c r="I136" s="72"/>
      <c r="J136" s="72"/>
      <c r="K136" s="72"/>
    </row>
    <row r="137" spans="1:11" s="72" customFormat="1">
      <c r="A137" s="202"/>
      <c r="B137" s="172" t="s">
        <v>130</v>
      </c>
      <c r="C137" s="47"/>
      <c r="D137" s="42" t="s">
        <v>162</v>
      </c>
      <c r="E137" s="43">
        <v>-2516461.2599999998</v>
      </c>
      <c r="F137" s="44">
        <v>76803.399999999994</v>
      </c>
      <c r="G137" s="43">
        <v>-2439657.86</v>
      </c>
    </row>
    <row r="138" spans="1:11">
      <c r="A138" s="203"/>
      <c r="B138" s="84"/>
      <c r="C138" s="91"/>
      <c r="D138" s="84"/>
      <c r="E138" s="86"/>
      <c r="F138" s="87">
        <f>SUM(F135:F137)</f>
        <v>-184259.78</v>
      </c>
      <c r="G138" s="86"/>
      <c r="H138" s="72"/>
      <c r="I138" s="72"/>
      <c r="J138" s="72"/>
      <c r="K138" s="72"/>
    </row>
    <row r="139" spans="1:11">
      <c r="A139" s="201" t="s">
        <v>134</v>
      </c>
      <c r="B139" s="172" t="s">
        <v>132</v>
      </c>
      <c r="C139" s="41" t="s">
        <v>54</v>
      </c>
      <c r="D139" s="42" t="s">
        <v>160</v>
      </c>
      <c r="E139" s="43">
        <v>267934.69</v>
      </c>
      <c r="F139" s="44">
        <v>36228.269999999997</v>
      </c>
      <c r="G139" s="43">
        <v>304162.96000000002</v>
      </c>
      <c r="H139" s="72"/>
      <c r="I139" s="72"/>
      <c r="J139" s="72"/>
      <c r="K139" s="72"/>
    </row>
    <row r="140" spans="1:11">
      <c r="A140" s="202"/>
      <c r="B140" s="172" t="s">
        <v>132</v>
      </c>
      <c r="C140" s="46"/>
      <c r="D140" s="42" t="s">
        <v>161</v>
      </c>
      <c r="E140" s="43">
        <v>304162.96000000002</v>
      </c>
      <c r="F140" s="44">
        <v>127849.57</v>
      </c>
      <c r="G140" s="43">
        <v>432012.53</v>
      </c>
      <c r="H140" s="72"/>
      <c r="I140" s="72"/>
      <c r="J140" s="72"/>
      <c r="K140" s="72"/>
    </row>
    <row r="141" spans="1:11" s="72" customFormat="1">
      <c r="A141" s="202"/>
      <c r="B141" s="172" t="s">
        <v>132</v>
      </c>
      <c r="C141" s="47"/>
      <c r="D141" s="42" t="s">
        <v>162</v>
      </c>
      <c r="E141" s="43">
        <v>432012.53</v>
      </c>
      <c r="F141" s="44">
        <v>140117.79</v>
      </c>
      <c r="G141" s="43">
        <v>572130.31999999995</v>
      </c>
    </row>
    <row r="142" spans="1:11">
      <c r="A142" s="203"/>
      <c r="B142" s="84"/>
      <c r="C142" s="91"/>
      <c r="D142" s="84"/>
      <c r="E142" s="86"/>
      <c r="F142" s="87">
        <f>SUM(F139:F141)</f>
        <v>304195.63</v>
      </c>
      <c r="G142" s="86"/>
      <c r="H142" s="72"/>
      <c r="I142" s="72"/>
      <c r="J142" s="72"/>
      <c r="K142" s="72"/>
    </row>
    <row r="143" spans="1:11">
      <c r="H143" s="72"/>
      <c r="I143" s="72"/>
      <c r="J143" s="72"/>
      <c r="K143" s="72"/>
    </row>
    <row r="144" spans="1:11">
      <c r="A144" s="72"/>
      <c r="B144" s="72"/>
      <c r="C144" s="72"/>
      <c r="D144" s="72"/>
      <c r="E144" s="72"/>
      <c r="F144" s="72"/>
      <c r="G144" s="72"/>
      <c r="H144" s="72"/>
      <c r="I144" s="72"/>
      <c r="J144" s="72"/>
      <c r="K144" s="72"/>
    </row>
    <row r="145" spans="1:11" s="72" customFormat="1">
      <c r="A145" s="38" t="s">
        <v>43</v>
      </c>
      <c r="B145" s="37"/>
      <c r="C145" s="171" t="s">
        <v>122</v>
      </c>
      <c r="D145" s="37"/>
      <c r="E145" s="37"/>
      <c r="F145" s="37"/>
      <c r="G145" s="37"/>
    </row>
    <row r="146" spans="1:11" s="72" customFormat="1">
      <c r="A146" s="37"/>
      <c r="B146" s="37"/>
      <c r="C146" s="37"/>
      <c r="D146" s="37"/>
      <c r="E146" s="37"/>
      <c r="F146" s="37"/>
      <c r="G146" s="37"/>
    </row>
    <row r="147" spans="1:11" s="72" customFormat="1" ht="26.25">
      <c r="A147" s="88" t="s">
        <v>44</v>
      </c>
      <c r="B147" s="89" t="s">
        <v>45</v>
      </c>
      <c r="C147" s="90" t="s">
        <v>46</v>
      </c>
      <c r="D147" s="88" t="s">
        <v>47</v>
      </c>
      <c r="E147" s="88" t="s">
        <v>48</v>
      </c>
      <c r="F147" s="88" t="s">
        <v>49</v>
      </c>
      <c r="G147" s="88" t="s">
        <v>50</v>
      </c>
    </row>
    <row r="148" spans="1:11" s="72" customFormat="1" ht="15.75">
      <c r="A148" s="40">
        <v>419328</v>
      </c>
      <c r="B148" s="39" t="s">
        <v>143</v>
      </c>
      <c r="C148" s="41" t="s">
        <v>53</v>
      </c>
      <c r="D148" s="42" t="s">
        <v>160</v>
      </c>
      <c r="E148" s="43">
        <v>-744390.36</v>
      </c>
      <c r="F148" s="44">
        <v>-101318.89</v>
      </c>
      <c r="G148" s="43">
        <v>-845709.25</v>
      </c>
      <c r="H148" s="167"/>
    </row>
    <row r="149" spans="1:11">
      <c r="A149" s="45"/>
      <c r="B149" s="39" t="s">
        <v>143</v>
      </c>
      <c r="C149" s="46"/>
      <c r="D149" s="42" t="s">
        <v>161</v>
      </c>
      <c r="E149" s="43">
        <v>-845709.25</v>
      </c>
      <c r="F149" s="44">
        <v>-96416.09</v>
      </c>
      <c r="G149" s="43">
        <v>-942125.34</v>
      </c>
      <c r="H149" s="72"/>
      <c r="I149" s="72"/>
      <c r="J149" s="72"/>
      <c r="K149" s="72"/>
    </row>
    <row r="150" spans="1:11">
      <c r="A150" s="45"/>
      <c r="B150" s="39" t="s">
        <v>143</v>
      </c>
      <c r="C150" s="47"/>
      <c r="D150" s="42" t="s">
        <v>162</v>
      </c>
      <c r="E150" s="43">
        <v>-942125.34</v>
      </c>
      <c r="F150" s="44">
        <v>-97792.28</v>
      </c>
      <c r="G150" s="43">
        <v>-1039917.62</v>
      </c>
      <c r="H150" s="72"/>
      <c r="I150" s="72"/>
      <c r="J150" s="72"/>
      <c r="K150" s="72"/>
    </row>
    <row r="151" spans="1:11">
      <c r="A151" s="45"/>
      <c r="B151" s="80"/>
      <c r="C151" s="81"/>
      <c r="D151" s="80"/>
      <c r="E151" s="82"/>
      <c r="F151" s="83">
        <f>SUM(F148:F150)</f>
        <v>-295527.26</v>
      </c>
      <c r="G151" s="82"/>
      <c r="H151" s="72"/>
      <c r="I151" s="72"/>
      <c r="J151" s="72"/>
      <c r="K151" s="72"/>
    </row>
    <row r="152" spans="1:11">
      <c r="A152" s="45"/>
      <c r="B152" s="39" t="s">
        <v>143</v>
      </c>
      <c r="C152" s="41" t="s">
        <v>54</v>
      </c>
      <c r="D152" s="42" t="s">
        <v>160</v>
      </c>
      <c r="E152" s="43">
        <v>-50628.55</v>
      </c>
      <c r="F152" s="44">
        <v>-7277.61</v>
      </c>
      <c r="G152" s="43">
        <v>-57906.16</v>
      </c>
      <c r="H152" s="72"/>
      <c r="I152" s="72"/>
      <c r="J152" s="72"/>
      <c r="K152" s="72"/>
    </row>
    <row r="153" spans="1:11">
      <c r="A153" s="45"/>
      <c r="B153" s="39" t="s">
        <v>143</v>
      </c>
      <c r="C153" s="46"/>
      <c r="D153" s="42" t="s">
        <v>161</v>
      </c>
      <c r="E153" s="43">
        <v>-57906.16</v>
      </c>
      <c r="F153" s="44">
        <v>-7005.45</v>
      </c>
      <c r="G153" s="43">
        <v>-64911.61</v>
      </c>
      <c r="H153" s="72"/>
      <c r="I153" s="72"/>
      <c r="J153" s="72"/>
      <c r="K153" s="72"/>
    </row>
    <row r="154" spans="1:11" s="72" customFormat="1">
      <c r="A154" s="45"/>
      <c r="B154" s="39" t="s">
        <v>143</v>
      </c>
      <c r="C154" s="47"/>
      <c r="D154" s="42" t="s">
        <v>162</v>
      </c>
      <c r="E154" s="43">
        <v>-64911.61</v>
      </c>
      <c r="F154" s="44">
        <v>-6205.86</v>
      </c>
      <c r="G154" s="43">
        <v>-71117.47</v>
      </c>
    </row>
    <row r="155" spans="1:11" s="72" customFormat="1">
      <c r="A155" s="48"/>
      <c r="B155" s="80"/>
      <c r="C155" s="81"/>
      <c r="D155" s="80"/>
      <c r="E155" s="82"/>
      <c r="F155" s="83">
        <f>SUM(F152:F154)</f>
        <v>-20488.919999999998</v>
      </c>
      <c r="G155" s="82"/>
    </row>
    <row r="156" spans="1:11">
      <c r="A156" s="84"/>
      <c r="B156" s="91"/>
      <c r="C156" s="84"/>
      <c r="D156" s="84"/>
      <c r="E156" s="86"/>
      <c r="F156" s="87">
        <f>F151+F155</f>
        <v>-316016.18</v>
      </c>
      <c r="G156" s="86"/>
      <c r="H156" s="72"/>
      <c r="I156" s="72"/>
      <c r="J156" s="72"/>
      <c r="K156" s="72"/>
    </row>
    <row r="157" spans="1:11" ht="16.5" customHeight="1">
      <c r="A157" s="40">
        <v>431328</v>
      </c>
      <c r="B157" s="39" t="s">
        <v>144</v>
      </c>
      <c r="C157" s="41" t="s">
        <v>53</v>
      </c>
      <c r="D157" s="42" t="s">
        <v>160</v>
      </c>
      <c r="E157" s="43">
        <v>70889.77</v>
      </c>
      <c r="F157" s="44">
        <v>560.15</v>
      </c>
      <c r="G157" s="43">
        <v>71449.919999999998</v>
      </c>
      <c r="H157" s="72"/>
      <c r="I157" s="72"/>
      <c r="J157" s="72"/>
      <c r="K157" s="72"/>
    </row>
    <row r="158" spans="1:11" ht="16.5" customHeight="1">
      <c r="A158" s="45"/>
      <c r="B158" s="39" t="s">
        <v>144</v>
      </c>
      <c r="C158" s="46"/>
      <c r="D158" s="42" t="s">
        <v>161</v>
      </c>
      <c r="E158" s="43">
        <v>71449.919999999998</v>
      </c>
      <c r="F158" s="44">
        <v>-8.14</v>
      </c>
      <c r="G158" s="43">
        <v>71441.78</v>
      </c>
      <c r="H158" s="72"/>
      <c r="I158" s="72"/>
      <c r="J158" s="72"/>
      <c r="K158" s="72"/>
    </row>
    <row r="159" spans="1:11" s="72" customFormat="1" ht="16.5" customHeight="1">
      <c r="A159" s="45"/>
      <c r="B159" s="39" t="s">
        <v>144</v>
      </c>
      <c r="C159" s="47"/>
      <c r="D159" s="42" t="s">
        <v>162</v>
      </c>
      <c r="E159" s="43">
        <v>71441.78</v>
      </c>
      <c r="F159" s="44">
        <v>0</v>
      </c>
      <c r="G159" s="43">
        <v>71441.78</v>
      </c>
    </row>
    <row r="160" spans="1:11" s="72" customFormat="1" ht="16.5" customHeight="1">
      <c r="A160" s="45"/>
      <c r="B160" s="80"/>
      <c r="C160" s="81"/>
      <c r="D160" s="80"/>
      <c r="E160" s="82"/>
      <c r="F160" s="83">
        <f>SUM(F157:F159)</f>
        <v>552.01</v>
      </c>
      <c r="G160" s="82"/>
    </row>
    <row r="161" spans="1:11" s="72" customFormat="1" ht="16.5" customHeight="1">
      <c r="A161" s="45"/>
      <c r="B161" s="39" t="s">
        <v>144</v>
      </c>
      <c r="C161" s="41" t="s">
        <v>54</v>
      </c>
      <c r="D161" s="42" t="s">
        <v>160</v>
      </c>
      <c r="E161" s="43">
        <v>73812.149999999994</v>
      </c>
      <c r="F161" s="44">
        <v>8979.2199999999993</v>
      </c>
      <c r="G161" s="43">
        <v>82791.37</v>
      </c>
    </row>
    <row r="162" spans="1:11" s="72" customFormat="1" ht="16.5" customHeight="1">
      <c r="A162" s="45"/>
      <c r="B162" s="39" t="s">
        <v>144</v>
      </c>
      <c r="C162" s="46"/>
      <c r="D162" s="42" t="s">
        <v>161</v>
      </c>
      <c r="E162" s="43">
        <v>82791.37</v>
      </c>
      <c r="F162" s="44">
        <v>11366.61</v>
      </c>
      <c r="G162" s="43">
        <v>94157.98</v>
      </c>
    </row>
    <row r="163" spans="1:11" s="72" customFormat="1" ht="16.5" customHeight="1">
      <c r="A163" s="45"/>
      <c r="B163" s="39" t="s">
        <v>144</v>
      </c>
      <c r="C163" s="47"/>
      <c r="D163" s="42" t="s">
        <v>162</v>
      </c>
      <c r="E163" s="43">
        <v>94157.98</v>
      </c>
      <c r="F163" s="44">
        <v>7353.91</v>
      </c>
      <c r="G163" s="43">
        <v>101511.89</v>
      </c>
    </row>
    <row r="164" spans="1:11" s="72" customFormat="1" ht="16.5" customHeight="1">
      <c r="A164" s="48"/>
      <c r="B164" s="80"/>
      <c r="C164" s="81"/>
      <c r="D164" s="80"/>
      <c r="E164" s="82"/>
      <c r="F164" s="83">
        <f>SUM(F161:F163)</f>
        <v>27699.74</v>
      </c>
      <c r="G164" s="82"/>
    </row>
    <row r="165" spans="1:11" s="72" customFormat="1" ht="16.5" customHeight="1">
      <c r="A165" s="84"/>
      <c r="B165" s="91"/>
      <c r="C165" s="84"/>
      <c r="D165" s="84"/>
      <c r="E165" s="86"/>
      <c r="F165" s="87">
        <f>F160+F164</f>
        <v>28251.75</v>
      </c>
      <c r="G165" s="86"/>
    </row>
    <row r="166" spans="1:11" s="72" customFormat="1">
      <c r="A166" s="92"/>
      <c r="B166" s="92"/>
      <c r="C166" s="92"/>
      <c r="D166" s="92"/>
      <c r="E166" s="93"/>
      <c r="F166" s="94">
        <f>F156+F165</f>
        <v>-287764.43</v>
      </c>
      <c r="G166" s="93"/>
    </row>
    <row r="167" spans="1:11" s="72" customFormat="1">
      <c r="A167" s="158"/>
      <c r="B167" s="158"/>
      <c r="C167" s="158"/>
      <c r="D167" s="158"/>
      <c r="E167" s="159"/>
      <c r="F167" s="160"/>
      <c r="G167" s="159"/>
    </row>
    <row r="168" spans="1:11" ht="14.45" customHeight="1">
      <c r="A168" s="245" t="s">
        <v>148</v>
      </c>
      <c r="B168" s="245"/>
      <c r="C168" s="245"/>
      <c r="D168" s="245"/>
      <c r="E168" s="245"/>
      <c r="F168" s="245"/>
      <c r="G168" s="245"/>
      <c r="H168" s="72"/>
      <c r="I168" s="72"/>
      <c r="J168" s="72"/>
      <c r="K168" s="72"/>
    </row>
    <row r="169" spans="1:11">
      <c r="A169" s="38" t="s">
        <v>43</v>
      </c>
      <c r="B169" s="72"/>
      <c r="C169" s="72"/>
      <c r="D169" s="72"/>
      <c r="E169" s="72"/>
      <c r="F169" s="72"/>
      <c r="G169" s="72"/>
      <c r="H169" s="72"/>
      <c r="I169" s="72"/>
      <c r="J169" s="72"/>
      <c r="K169" s="72"/>
    </row>
    <row r="170" spans="1:11">
      <c r="A170" s="72"/>
      <c r="B170" s="72"/>
      <c r="C170" s="72"/>
      <c r="D170" s="72"/>
      <c r="E170" s="72"/>
      <c r="F170" s="72"/>
      <c r="G170" s="72"/>
      <c r="H170" s="72"/>
      <c r="I170" s="72"/>
      <c r="J170" s="72"/>
      <c r="K170" s="72"/>
    </row>
    <row r="171" spans="1:11" ht="26.25">
      <c r="A171" s="88" t="s">
        <v>44</v>
      </c>
      <c r="B171" s="89" t="s">
        <v>45</v>
      </c>
      <c r="C171" s="90" t="s">
        <v>46</v>
      </c>
      <c r="D171" s="88" t="s">
        <v>47</v>
      </c>
      <c r="E171" s="88" t="s">
        <v>48</v>
      </c>
      <c r="F171" s="88" t="s">
        <v>49</v>
      </c>
      <c r="G171" s="88" t="s">
        <v>50</v>
      </c>
      <c r="H171" s="72"/>
      <c r="I171" s="72"/>
      <c r="J171" s="72"/>
      <c r="K171" s="72"/>
    </row>
    <row r="172" spans="1:11">
      <c r="A172" s="40" t="s">
        <v>83</v>
      </c>
      <c r="B172" s="39" t="s">
        <v>84</v>
      </c>
      <c r="C172" s="41" t="s">
        <v>53</v>
      </c>
      <c r="D172" s="42" t="s">
        <v>160</v>
      </c>
      <c r="E172" s="43">
        <v>0</v>
      </c>
      <c r="F172" s="44">
        <v>0</v>
      </c>
      <c r="G172" s="43">
        <v>0</v>
      </c>
      <c r="H172" s="72"/>
      <c r="I172" s="72"/>
      <c r="J172" s="72"/>
      <c r="K172" s="72"/>
    </row>
    <row r="173" spans="1:11">
      <c r="A173" s="45"/>
      <c r="B173" s="39" t="s">
        <v>84</v>
      </c>
      <c r="C173" s="46"/>
      <c r="D173" s="42" t="s">
        <v>161</v>
      </c>
      <c r="E173" s="43">
        <v>0</v>
      </c>
      <c r="F173" s="44">
        <v>0</v>
      </c>
      <c r="G173" s="43">
        <v>0</v>
      </c>
      <c r="H173" s="72"/>
      <c r="I173" s="72"/>
      <c r="J173" s="72"/>
      <c r="K173" s="72"/>
    </row>
    <row r="174" spans="1:11">
      <c r="A174" s="45"/>
      <c r="B174" s="39" t="s">
        <v>84</v>
      </c>
      <c r="C174" s="47"/>
      <c r="D174" s="42" t="s">
        <v>162</v>
      </c>
      <c r="E174" s="43">
        <v>0</v>
      </c>
      <c r="F174" s="44">
        <v>0</v>
      </c>
      <c r="G174" s="43">
        <v>0</v>
      </c>
      <c r="H174" s="72"/>
      <c r="I174" s="72"/>
      <c r="J174" s="72"/>
      <c r="K174" s="72"/>
    </row>
    <row r="175" spans="1:11">
      <c r="A175" s="45"/>
      <c r="B175" s="80"/>
      <c r="C175" s="81"/>
      <c r="D175" s="80"/>
      <c r="E175" s="82"/>
      <c r="F175" s="83">
        <f>SUM(F172:F174)</f>
        <v>0</v>
      </c>
      <c r="G175" s="82"/>
      <c r="H175" s="72"/>
      <c r="I175" s="72"/>
      <c r="J175" s="72"/>
      <c r="K175" s="72"/>
    </row>
    <row r="176" spans="1:11">
      <c r="A176" s="45"/>
      <c r="B176" s="39" t="s">
        <v>84</v>
      </c>
      <c r="C176" s="41" t="s">
        <v>54</v>
      </c>
      <c r="D176" s="42" t="s">
        <v>160</v>
      </c>
      <c r="E176" s="43">
        <v>0</v>
      </c>
      <c r="F176" s="44">
        <v>0</v>
      </c>
      <c r="G176" s="43">
        <v>0</v>
      </c>
      <c r="H176" s="72"/>
      <c r="I176" s="72"/>
      <c r="J176" s="72"/>
      <c r="K176" s="72"/>
    </row>
    <row r="177" spans="1:11">
      <c r="A177" s="45"/>
      <c r="B177" s="39" t="s">
        <v>84</v>
      </c>
      <c r="C177" s="46"/>
      <c r="D177" s="42" t="s">
        <v>161</v>
      </c>
      <c r="E177" s="43">
        <v>0</v>
      </c>
      <c r="F177" s="44">
        <v>0</v>
      </c>
      <c r="G177" s="43">
        <v>0</v>
      </c>
      <c r="H177" s="72"/>
      <c r="I177" s="72"/>
      <c r="J177" s="72"/>
      <c r="K177" s="72"/>
    </row>
    <row r="178" spans="1:11">
      <c r="A178" s="45"/>
      <c r="B178" s="39" t="s">
        <v>84</v>
      </c>
      <c r="C178" s="47"/>
      <c r="D178" s="42" t="s">
        <v>162</v>
      </c>
      <c r="E178" s="43">
        <v>0</v>
      </c>
      <c r="F178" s="44">
        <v>0</v>
      </c>
      <c r="G178" s="43">
        <v>0</v>
      </c>
      <c r="H178" s="72"/>
      <c r="I178" s="72"/>
      <c r="J178" s="72"/>
      <c r="K178" s="72"/>
    </row>
    <row r="179" spans="1:11">
      <c r="A179" s="48"/>
      <c r="B179" s="80"/>
      <c r="C179" s="81"/>
      <c r="D179" s="80"/>
      <c r="E179" s="82"/>
      <c r="F179" s="83">
        <f>SUM(F176:F178)</f>
        <v>0</v>
      </c>
      <c r="G179" s="82"/>
      <c r="H179" s="72"/>
      <c r="I179" s="72"/>
      <c r="J179" s="72"/>
      <c r="K179" s="72"/>
    </row>
    <row r="180" spans="1:11">
      <c r="A180" s="178"/>
      <c r="B180" s="91" t="s">
        <v>139</v>
      </c>
      <c r="C180" s="84"/>
      <c r="D180" s="84"/>
      <c r="E180" s="86"/>
      <c r="F180" s="87">
        <f>F175+F179</f>
        <v>0</v>
      </c>
      <c r="G180" s="86"/>
      <c r="H180" s="72"/>
      <c r="I180" s="72"/>
      <c r="J180" s="72"/>
      <c r="K180" s="72"/>
    </row>
    <row r="181" spans="1:11">
      <c r="A181" s="201" t="s">
        <v>136</v>
      </c>
      <c r="B181" s="39" t="s">
        <v>137</v>
      </c>
      <c r="C181" s="41" t="s">
        <v>53</v>
      </c>
      <c r="D181" s="42" t="s">
        <v>160</v>
      </c>
      <c r="E181" s="43">
        <v>0</v>
      </c>
      <c r="F181" s="44">
        <v>0</v>
      </c>
      <c r="G181" s="43">
        <v>0</v>
      </c>
      <c r="H181" s="72"/>
      <c r="I181" s="72"/>
      <c r="J181" s="72"/>
      <c r="K181" s="72"/>
    </row>
    <row r="182" spans="1:11">
      <c r="A182" s="202"/>
      <c r="B182" s="39" t="s">
        <v>137</v>
      </c>
      <c r="C182" s="46"/>
      <c r="D182" s="42" t="s">
        <v>161</v>
      </c>
      <c r="E182" s="43">
        <v>0</v>
      </c>
      <c r="F182" s="44">
        <v>0</v>
      </c>
      <c r="G182" s="43">
        <v>0</v>
      </c>
      <c r="H182" s="72"/>
      <c r="I182" s="72"/>
      <c r="J182" s="72"/>
      <c r="K182" s="72"/>
    </row>
    <row r="183" spans="1:11">
      <c r="A183" s="202"/>
      <c r="B183" s="39" t="s">
        <v>137</v>
      </c>
      <c r="C183" s="47"/>
      <c r="D183" s="42" t="s">
        <v>162</v>
      </c>
      <c r="E183" s="43">
        <v>0</v>
      </c>
      <c r="F183" s="44">
        <v>0</v>
      </c>
      <c r="G183" s="43">
        <v>0</v>
      </c>
      <c r="H183" s="72"/>
      <c r="I183" s="72"/>
      <c r="J183" s="72"/>
      <c r="K183" s="72"/>
    </row>
    <row r="184" spans="1:11">
      <c r="A184" s="202"/>
      <c r="B184" s="80"/>
      <c r="C184" s="81"/>
      <c r="D184" s="80"/>
      <c r="E184" s="82"/>
      <c r="F184" s="83">
        <f>SUM(F181:F183)</f>
        <v>0</v>
      </c>
      <c r="G184" s="82"/>
      <c r="H184" s="72"/>
      <c r="I184" s="72"/>
      <c r="J184" s="72"/>
      <c r="K184" s="72"/>
    </row>
    <row r="185" spans="1:11" s="72" customFormat="1">
      <c r="A185" s="202"/>
      <c r="B185" s="39" t="s">
        <v>137</v>
      </c>
      <c r="C185" s="41" t="s">
        <v>54</v>
      </c>
      <c r="D185" s="42" t="s">
        <v>160</v>
      </c>
      <c r="E185" s="43">
        <v>0</v>
      </c>
      <c r="F185" s="44">
        <v>0</v>
      </c>
      <c r="G185" s="43">
        <v>0</v>
      </c>
    </row>
    <row r="186" spans="1:11" s="72" customFormat="1">
      <c r="A186" s="202"/>
      <c r="B186" s="39" t="s">
        <v>137</v>
      </c>
      <c r="C186" s="46"/>
      <c r="D186" s="42" t="s">
        <v>161</v>
      </c>
      <c r="E186" s="43">
        <v>0</v>
      </c>
      <c r="F186" s="44">
        <v>0</v>
      </c>
      <c r="G186" s="43">
        <v>0</v>
      </c>
    </row>
    <row r="187" spans="1:11" s="72" customFormat="1">
      <c r="A187" s="202"/>
      <c r="B187" s="39" t="s">
        <v>137</v>
      </c>
      <c r="C187" s="47"/>
      <c r="D187" s="42" t="s">
        <v>162</v>
      </c>
      <c r="E187" s="43">
        <v>0</v>
      </c>
      <c r="F187" s="44">
        <v>0</v>
      </c>
      <c r="G187" s="43">
        <v>0</v>
      </c>
    </row>
    <row r="188" spans="1:11" s="72" customFormat="1">
      <c r="A188" s="203"/>
      <c r="B188" s="80"/>
      <c r="C188" s="81"/>
      <c r="D188" s="80"/>
      <c r="E188" s="82"/>
      <c r="F188" s="83">
        <f>SUM(F185:F187)</f>
        <v>0</v>
      </c>
      <c r="G188" s="82"/>
    </row>
    <row r="189" spans="1:11">
      <c r="A189" s="200"/>
      <c r="B189" s="91" t="s">
        <v>140</v>
      </c>
      <c r="C189" s="84"/>
      <c r="D189" s="84"/>
      <c r="E189" s="86"/>
      <c r="F189" s="87">
        <f>F184</f>
        <v>0</v>
      </c>
      <c r="G189" s="86"/>
      <c r="H189" s="72"/>
      <c r="I189" s="72"/>
      <c r="J189" s="72"/>
      <c r="K189" s="72"/>
    </row>
    <row r="190" spans="1:11">
      <c r="A190" s="201" t="s">
        <v>138</v>
      </c>
      <c r="B190" s="39" t="s">
        <v>86</v>
      </c>
      <c r="C190" s="41" t="s">
        <v>53</v>
      </c>
      <c r="D190" s="42" t="s">
        <v>160</v>
      </c>
      <c r="E190" s="43">
        <v>-1396884.38</v>
      </c>
      <c r="F190" s="44">
        <v>0</v>
      </c>
      <c r="G190" s="43">
        <v>-1396884.38</v>
      </c>
      <c r="H190" s="72"/>
      <c r="I190" s="72"/>
      <c r="J190" s="72"/>
      <c r="K190" s="72"/>
    </row>
    <row r="191" spans="1:11">
      <c r="A191" s="202"/>
      <c r="B191" s="39" t="s">
        <v>86</v>
      </c>
      <c r="C191" s="46"/>
      <c r="D191" s="42" t="s">
        <v>161</v>
      </c>
      <c r="E191" s="43">
        <v>-1396884.38</v>
      </c>
      <c r="F191" s="44">
        <v>0</v>
      </c>
      <c r="G191" s="43">
        <v>-1396884.38</v>
      </c>
      <c r="H191" s="72"/>
      <c r="I191" s="72"/>
      <c r="J191" s="72"/>
      <c r="K191" s="72"/>
    </row>
    <row r="192" spans="1:11">
      <c r="A192" s="202"/>
      <c r="B192" s="39" t="s">
        <v>86</v>
      </c>
      <c r="C192" s="47"/>
      <c r="D192" s="42" t="s">
        <v>162</v>
      </c>
      <c r="E192" s="43">
        <v>-1396884.38</v>
      </c>
      <c r="F192" s="44">
        <v>0</v>
      </c>
      <c r="G192" s="43">
        <v>-1396884.38</v>
      </c>
    </row>
    <row r="193" spans="1:7">
      <c r="A193" s="203"/>
      <c r="B193" s="80"/>
      <c r="C193" s="81"/>
      <c r="D193" s="80"/>
      <c r="E193" s="82"/>
      <c r="F193" s="83">
        <f>SUM(F190:F192)</f>
        <v>0</v>
      </c>
      <c r="G193" s="82"/>
    </row>
    <row r="194" spans="1:7">
      <c r="A194" s="201" t="s">
        <v>85</v>
      </c>
      <c r="B194" s="39" t="s">
        <v>86</v>
      </c>
      <c r="C194" s="41" t="s">
        <v>54</v>
      </c>
      <c r="D194" s="42" t="s">
        <v>160</v>
      </c>
      <c r="E194" s="43">
        <v>0</v>
      </c>
      <c r="F194" s="44">
        <v>0</v>
      </c>
      <c r="G194" s="43">
        <v>0</v>
      </c>
    </row>
    <row r="195" spans="1:7">
      <c r="A195" s="202"/>
      <c r="B195" s="39" t="s">
        <v>86</v>
      </c>
      <c r="C195" s="46"/>
      <c r="D195" s="42" t="s">
        <v>161</v>
      </c>
      <c r="E195" s="43">
        <v>0</v>
      </c>
      <c r="F195" s="44">
        <v>0</v>
      </c>
      <c r="G195" s="43">
        <v>0</v>
      </c>
    </row>
    <row r="196" spans="1:7">
      <c r="A196" s="202"/>
      <c r="B196" s="39" t="s">
        <v>86</v>
      </c>
      <c r="C196" s="47"/>
      <c r="D196" s="42" t="s">
        <v>162</v>
      </c>
      <c r="E196" s="43">
        <v>0</v>
      </c>
      <c r="F196" s="44">
        <v>0</v>
      </c>
      <c r="G196" s="43">
        <v>0</v>
      </c>
    </row>
    <row r="197" spans="1:7">
      <c r="A197" s="203"/>
      <c r="B197" s="80"/>
      <c r="C197" s="81"/>
      <c r="D197" s="80"/>
      <c r="E197" s="82"/>
      <c r="F197" s="83">
        <f>SUM(F194:F196)</f>
        <v>0</v>
      </c>
      <c r="G197" s="82"/>
    </row>
  </sheetData>
  <mergeCells count="4">
    <mergeCell ref="A1:H1"/>
    <mergeCell ref="A102:G102"/>
    <mergeCell ref="A168:G168"/>
    <mergeCell ref="J91:K91"/>
  </mergeCells>
  <printOptions horizontalCentered="1"/>
  <pageMargins left="0.7" right="0.71" top="1.0900000000000001" bottom="0.75" header="0.5" footer="0.5"/>
  <pageSetup scale="79" firstPageNumber="3" fitToHeight="4" orientation="portrait" useFirstPageNumber="1" r:id="rId1"/>
  <headerFooter scaleWithDoc="0">
    <oddHeader>&amp;CAvista Corporation Decoupling Mechanism
Washington Jurisdiction
Quarterly Report for 4th Quarter 2019</oddHeader>
    <oddFooter>&amp;Cfile: &amp;F / &amp;A&amp;RPage &amp;P of 13</oddFooter>
  </headerFooter>
  <rowBreaks count="3" manualBreakCount="3">
    <brk id="46" max="7" man="1"/>
    <brk id="100" max="7" man="1"/>
    <brk id="144" max="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8"/>
  <sheetViews>
    <sheetView tabSelected="1" view="pageBreakPreview" zoomScale="60" zoomScaleNormal="100" workbookViewId="0">
      <selection activeCell="D1" sqref="D1:L1048576"/>
    </sheetView>
  </sheetViews>
  <sheetFormatPr defaultColWidth="8.85546875" defaultRowHeight="15"/>
  <cols>
    <col min="1" max="1" width="40" style="72" customWidth="1"/>
    <col min="2" max="2" width="5" style="72" customWidth="1"/>
    <col min="3" max="3" width="14.28515625" style="72" bestFit="1" customWidth="1"/>
    <col min="4" max="4" width="13.28515625" style="72" bestFit="1" customWidth="1"/>
    <col min="5" max="5" width="13.28515625" style="72" customWidth="1"/>
    <col min="6" max="6" width="12.28515625" style="72" customWidth="1"/>
    <col min="7" max="7" width="3.42578125" style="72" customWidth="1"/>
    <col min="8" max="8" width="14.28515625" style="72" customWidth="1"/>
    <col min="9" max="9" width="1.42578125" style="72" customWidth="1"/>
    <col min="10" max="10" width="41.42578125" style="72" customWidth="1"/>
    <col min="11" max="11" width="5" style="72" customWidth="1"/>
    <col min="12" max="12" width="13.42578125" style="72" customWidth="1"/>
    <col min="13" max="13" width="13.85546875" style="72" customWidth="1"/>
    <col min="14" max="14" width="14.42578125" style="72" customWidth="1"/>
    <col min="15" max="15" width="13.5703125" style="72" customWidth="1"/>
    <col min="16" max="16" width="3.7109375" style="72" customWidth="1"/>
    <col min="17" max="17" width="12.7109375" style="72" customWidth="1"/>
    <col min="18" max="18" width="1.28515625" style="72" customWidth="1"/>
    <col min="19" max="16384" width="8.85546875" style="72"/>
  </cols>
  <sheetData>
    <row r="1" spans="1:18" ht="28.15" customHeight="1">
      <c r="A1" s="248" t="s">
        <v>109</v>
      </c>
      <c r="B1" s="248"/>
      <c r="C1" s="248"/>
      <c r="D1" s="248"/>
      <c r="E1" s="248"/>
      <c r="F1" s="248"/>
      <c r="G1" s="248"/>
      <c r="H1" s="248"/>
      <c r="I1" s="248"/>
      <c r="J1" s="248" t="s">
        <v>109</v>
      </c>
      <c r="K1" s="248"/>
      <c r="L1" s="248"/>
      <c r="M1" s="248"/>
      <c r="N1" s="248"/>
      <c r="O1" s="248"/>
      <c r="P1" s="248"/>
      <c r="Q1" s="248"/>
      <c r="R1" s="248"/>
    </row>
    <row r="2" spans="1:18">
      <c r="C2" s="238" t="s">
        <v>114</v>
      </c>
      <c r="L2" s="238" t="s">
        <v>113</v>
      </c>
    </row>
    <row r="3" spans="1:18">
      <c r="A3" s="148"/>
      <c r="C3" s="239"/>
      <c r="H3" s="239"/>
      <c r="L3" s="239"/>
      <c r="Q3" s="239"/>
    </row>
    <row r="4" spans="1:18">
      <c r="A4" s="148"/>
      <c r="B4" s="240" t="s">
        <v>163</v>
      </c>
      <c r="C4" s="239" t="s">
        <v>112</v>
      </c>
      <c r="D4" s="72">
        <v>419328</v>
      </c>
      <c r="E4" s="72">
        <v>431328</v>
      </c>
      <c r="F4" s="72" t="s">
        <v>111</v>
      </c>
      <c r="H4" s="239" t="s">
        <v>142</v>
      </c>
      <c r="K4" s="240" t="s">
        <v>164</v>
      </c>
      <c r="L4" s="239" t="s">
        <v>112</v>
      </c>
      <c r="M4" s="72">
        <v>419328</v>
      </c>
      <c r="N4" s="72">
        <v>431328</v>
      </c>
      <c r="O4" s="72" t="s">
        <v>111</v>
      </c>
      <c r="Q4" s="239" t="str">
        <f>H4</f>
        <v>Recon Check</v>
      </c>
    </row>
    <row r="5" spans="1:18" ht="14.45" customHeight="1">
      <c r="A5" s="148">
        <v>43466</v>
      </c>
      <c r="C5" s="150">
        <f>D26+D42+D59+D77+D94+D110+D126+D142</f>
        <v>64999.112221749994</v>
      </c>
      <c r="D5" s="186">
        <v>5927.04</v>
      </c>
      <c r="E5" s="186">
        <v>-8579.09</v>
      </c>
      <c r="F5" s="150">
        <f>D5+E5</f>
        <v>-2652.05</v>
      </c>
      <c r="H5" s="150">
        <f>C5-F5</f>
        <v>67651.162221749997</v>
      </c>
      <c r="J5" s="148">
        <f>A5</f>
        <v>43466</v>
      </c>
      <c r="L5" s="150">
        <f t="shared" ref="L5:L16" si="0">M26+M42+M59+M77+M94+M110+M126+M142</f>
        <v>-1488.3299456666673</v>
      </c>
      <c r="M5" s="186">
        <v>1558.92</v>
      </c>
      <c r="N5" s="186">
        <v>-9417.4599999999991</v>
      </c>
      <c r="O5" s="150">
        <f>M5+N5</f>
        <v>-7858.5399999999991</v>
      </c>
      <c r="Q5" s="150">
        <f>L5-O5</f>
        <v>6370.2100543333318</v>
      </c>
    </row>
    <row r="6" spans="1:18" ht="14.45" customHeight="1">
      <c r="A6" s="148">
        <f>A5+31</f>
        <v>43497</v>
      </c>
      <c r="C6" s="150">
        <f t="shared" ref="C6:C16" si="1">D27+D43+D60+D78+D95+D111+D127+D143</f>
        <v>65997.591268257209</v>
      </c>
      <c r="D6" s="186">
        <v>141037.98000000001</v>
      </c>
      <c r="E6" s="186">
        <v>-7388.21</v>
      </c>
      <c r="F6" s="150">
        <f t="shared" ref="F6:F16" si="2">D6+E6</f>
        <v>133649.77000000002</v>
      </c>
      <c r="H6" s="150">
        <f>C6-F6</f>
        <v>-67652.17873174281</v>
      </c>
      <c r="J6" s="148">
        <f t="shared" ref="J6:J16" si="3">A6</f>
        <v>43497</v>
      </c>
      <c r="L6" s="150">
        <f t="shared" si="0"/>
        <v>-4057.9407315987937</v>
      </c>
      <c r="M6" s="186">
        <v>9288.2099999999991</v>
      </c>
      <c r="N6" s="186">
        <v>-11527.13</v>
      </c>
      <c r="O6" s="150">
        <f t="shared" ref="O6:O16" si="4">M6+N6</f>
        <v>-2238.92</v>
      </c>
      <c r="Q6" s="150">
        <f t="shared" ref="Q6:Q16" si="5">L6-O6</f>
        <v>-1819.0207315987936</v>
      </c>
    </row>
    <row r="7" spans="1:18" ht="14.45" customHeight="1">
      <c r="A7" s="148">
        <f t="shared" ref="A7:A16" si="6">A6+31</f>
        <v>43528</v>
      </c>
      <c r="C7" s="150">
        <f t="shared" si="1"/>
        <v>59159.867773898535</v>
      </c>
      <c r="D7" s="186">
        <v>72155.33</v>
      </c>
      <c r="E7" s="186">
        <v>-12995.46</v>
      </c>
      <c r="F7" s="150">
        <f t="shared" si="2"/>
        <v>59159.87</v>
      </c>
      <c r="H7" s="150">
        <f>C7-F7</f>
        <v>-2.2261014673858881E-3</v>
      </c>
      <c r="J7" s="148">
        <f t="shared" si="3"/>
        <v>43528</v>
      </c>
      <c r="L7" s="150">
        <f t="shared" si="0"/>
        <v>-7943.1590933401912</v>
      </c>
      <c r="M7" s="186">
        <v>4981.78</v>
      </c>
      <c r="N7" s="186">
        <v>-15215.27</v>
      </c>
      <c r="O7" s="150">
        <f t="shared" si="4"/>
        <v>-10233.490000000002</v>
      </c>
      <c r="Q7" s="150">
        <f t="shared" si="5"/>
        <v>2290.3309066598104</v>
      </c>
    </row>
    <row r="8" spans="1:18" ht="14.45" customHeight="1">
      <c r="A8" s="148">
        <f t="shared" si="6"/>
        <v>43559</v>
      </c>
      <c r="C8" s="150">
        <f>D29+D45+D62+D80+D97+D113+D129+D145</f>
        <v>60988.342226156899</v>
      </c>
      <c r="D8" s="186">
        <v>77315.56</v>
      </c>
      <c r="E8" s="186">
        <v>-16327.21</v>
      </c>
      <c r="F8" s="150">
        <f t="shared" si="2"/>
        <v>60988.35</v>
      </c>
      <c r="H8" s="150">
        <f>C8-F8</f>
        <v>-7.7738430991303176E-3</v>
      </c>
      <c r="J8" s="148">
        <f t="shared" si="3"/>
        <v>43559</v>
      </c>
      <c r="L8" s="150">
        <f t="shared" si="0"/>
        <v>-7415.2286697915006</v>
      </c>
      <c r="M8" s="186">
        <v>5090.59</v>
      </c>
      <c r="N8" s="186">
        <v>-14925.94</v>
      </c>
      <c r="O8" s="150">
        <f t="shared" si="4"/>
        <v>-9835.35</v>
      </c>
      <c r="Q8" s="150">
        <f t="shared" si="5"/>
        <v>2420.1213302084998</v>
      </c>
    </row>
    <row r="9" spans="1:18" ht="14.45" customHeight="1">
      <c r="A9" s="148">
        <f t="shared" si="6"/>
        <v>43590</v>
      </c>
      <c r="C9" s="150">
        <f t="shared" si="1"/>
        <v>69640.097109184018</v>
      </c>
      <c r="D9" s="186">
        <v>80566.2</v>
      </c>
      <c r="E9" s="186">
        <v>-10926.1</v>
      </c>
      <c r="F9" s="150">
        <f t="shared" si="2"/>
        <v>69640.099999999991</v>
      </c>
      <c r="H9" s="150">
        <f t="shared" ref="H9" si="7">C9-F9</f>
        <v>-2.8908159729326144E-3</v>
      </c>
      <c r="J9" s="148">
        <f t="shared" si="3"/>
        <v>43590</v>
      </c>
      <c r="L9" s="150">
        <f t="shared" si="0"/>
        <v>-4342.8696437501367</v>
      </c>
      <c r="M9" s="186">
        <v>5006.8999999999996</v>
      </c>
      <c r="N9" s="186">
        <v>-11780.88</v>
      </c>
      <c r="O9" s="150">
        <f t="shared" si="4"/>
        <v>-6773.98</v>
      </c>
      <c r="Q9" s="150">
        <f t="shared" si="5"/>
        <v>2431.1103562498629</v>
      </c>
    </row>
    <row r="10" spans="1:18" ht="14.45" customHeight="1">
      <c r="A10" s="148">
        <f t="shared" si="6"/>
        <v>43621</v>
      </c>
      <c r="C10" s="150">
        <f>D31+D47+D64+D82+D99+D115+D131+D147</f>
        <v>76756.921099388244</v>
      </c>
      <c r="D10" s="186">
        <v>84511.16</v>
      </c>
      <c r="E10" s="192">
        <v>-7754.23</v>
      </c>
      <c r="F10" s="150">
        <f t="shared" si="2"/>
        <v>76756.930000000008</v>
      </c>
      <c r="H10" s="150">
        <f>C10-F10</f>
        <v>-8.9006117632379755E-3</v>
      </c>
      <c r="J10" s="148">
        <f t="shared" si="3"/>
        <v>43621</v>
      </c>
      <c r="L10" s="150">
        <f>M31+M47+M64+M82+M99+M115+M131+M147</f>
        <v>-1104.3288587988343</v>
      </c>
      <c r="M10" s="186">
        <v>4957.53</v>
      </c>
      <c r="N10" s="192">
        <v>-8504.0300000000007</v>
      </c>
      <c r="O10" s="150">
        <f>M10+N10</f>
        <v>-3546.5000000000009</v>
      </c>
      <c r="Q10" s="150">
        <f>L10-O10</f>
        <v>2442.1711412011664</v>
      </c>
    </row>
    <row r="11" spans="1:18" ht="14.45" customHeight="1">
      <c r="A11" s="148">
        <f t="shared" si="6"/>
        <v>43652</v>
      </c>
      <c r="C11" s="150">
        <f>D32+D48+D65+D83+D100+D116+D132+D148</f>
        <v>86461.902526535414</v>
      </c>
      <c r="D11" s="186">
        <v>89671.73</v>
      </c>
      <c r="E11" s="186">
        <v>-3209.81</v>
      </c>
      <c r="F11" s="150">
        <f>D11+E11</f>
        <v>86461.92</v>
      </c>
      <c r="H11" s="150">
        <f>C11-F11</f>
        <v>-1.7473464584327303E-2</v>
      </c>
      <c r="J11" s="148">
        <f t="shared" si="3"/>
        <v>43652</v>
      </c>
      <c r="L11" s="150">
        <f>M32+M48+M65+M83+M100+M116+M132+M148</f>
        <v>376.65080776149875</v>
      </c>
      <c r="M11" s="186">
        <v>4961.21</v>
      </c>
      <c r="N11" s="186">
        <v>-7060.31</v>
      </c>
      <c r="O11" s="150">
        <f t="shared" si="4"/>
        <v>-2099.1000000000004</v>
      </c>
      <c r="Q11" s="150">
        <f>L11-O11</f>
        <v>2475.7508077614993</v>
      </c>
    </row>
    <row r="12" spans="1:18" ht="14.45" customHeight="1">
      <c r="A12" s="148">
        <f t="shared" si="6"/>
        <v>43683</v>
      </c>
      <c r="C12" s="150">
        <f>D33+D49+D66+D84+D101+D117+D133+D149</f>
        <v>92564.342402698705</v>
      </c>
      <c r="D12" s="186">
        <v>94850.9</v>
      </c>
      <c r="E12" s="186">
        <v>-2286.5500000000002</v>
      </c>
      <c r="F12" s="150">
        <f>D12+E12</f>
        <v>92564.349999999991</v>
      </c>
      <c r="H12" s="153">
        <f>C12-F12</f>
        <v>-7.5973012862959877E-3</v>
      </c>
      <c r="J12" s="148">
        <f t="shared" si="3"/>
        <v>43683</v>
      </c>
      <c r="L12" s="150">
        <f>M33+M49+M66+M84+M101+M117+M133+M149</f>
        <v>1238.7055489637389</v>
      </c>
      <c r="M12" s="186">
        <v>4924.79</v>
      </c>
      <c r="N12" s="186">
        <v>10437.49</v>
      </c>
      <c r="O12" s="150">
        <f>M12+N12</f>
        <v>15362.279999999999</v>
      </c>
      <c r="Q12" s="150">
        <f>L12-O12</f>
        <v>-14123.57445103626</v>
      </c>
    </row>
    <row r="13" spans="1:18" ht="14.45" customHeight="1">
      <c r="A13" s="148">
        <f t="shared" si="6"/>
        <v>43714</v>
      </c>
      <c r="C13" s="150">
        <f>D34+D50+D67+D85+D102+D118+D134+D150</f>
        <v>96931.34321579439</v>
      </c>
      <c r="D13" s="186">
        <v>98354.46</v>
      </c>
      <c r="E13" s="186">
        <v>-1423.11</v>
      </c>
      <c r="F13" s="150">
        <f>D13+E13</f>
        <v>96931.35</v>
      </c>
      <c r="H13" s="153">
        <f>C13-F13</f>
        <v>-6.7842056159861386E-3</v>
      </c>
      <c r="I13" s="184"/>
      <c r="J13" s="148">
        <f t="shared" si="3"/>
        <v>43714</v>
      </c>
      <c r="L13" s="150">
        <f t="shared" si="0"/>
        <v>1552.8909431464886</v>
      </c>
      <c r="M13" s="186">
        <v>9858.6200000000008</v>
      </c>
      <c r="N13" s="186">
        <v>-5818.62</v>
      </c>
      <c r="O13" s="150">
        <f t="shared" si="4"/>
        <v>4040.0000000000009</v>
      </c>
      <c r="Q13" s="153">
        <f t="shared" si="5"/>
        <v>-2487.1090568535124</v>
      </c>
    </row>
    <row r="14" spans="1:18">
      <c r="A14" s="148">
        <f t="shared" si="6"/>
        <v>43745</v>
      </c>
      <c r="C14" s="150">
        <f t="shared" si="1"/>
        <v>99674.227434043874</v>
      </c>
      <c r="D14" s="186">
        <v>101318.89</v>
      </c>
      <c r="E14" s="186">
        <v>-560.15</v>
      </c>
      <c r="F14" s="150">
        <f>D14+E14</f>
        <v>100758.74</v>
      </c>
      <c r="H14" s="153">
        <f>C14-F14</f>
        <v>-1084.5125659561309</v>
      </c>
      <c r="J14" s="148">
        <f t="shared" si="3"/>
        <v>43745</v>
      </c>
      <c r="L14" s="150">
        <f>M35+M51+M68+M86+M103+M119+M135+M151</f>
        <v>-1802.8894218878845</v>
      </c>
      <c r="M14" s="186">
        <v>7277.61</v>
      </c>
      <c r="N14" s="186">
        <v>-8979.2199999999993</v>
      </c>
      <c r="O14" s="150">
        <f t="shared" si="4"/>
        <v>-1701.6099999999997</v>
      </c>
      <c r="Q14" s="150">
        <f>L14-O14</f>
        <v>-101.27942188788484</v>
      </c>
    </row>
    <row r="15" spans="1:18">
      <c r="A15" s="148">
        <f t="shared" si="6"/>
        <v>43776</v>
      </c>
      <c r="C15" s="150">
        <f t="shared" si="1"/>
        <v>97507.610583870977</v>
      </c>
      <c r="D15" s="186">
        <v>96416.09</v>
      </c>
      <c r="E15" s="186">
        <v>8.14</v>
      </c>
      <c r="F15" s="150">
        <f>D15+E15</f>
        <v>96424.23</v>
      </c>
      <c r="H15" s="153">
        <f t="shared" ref="H15:H16" si="8">C15-F15</f>
        <v>1083.3805838709814</v>
      </c>
      <c r="J15" s="148">
        <f t="shared" si="3"/>
        <v>43776</v>
      </c>
      <c r="L15" s="150">
        <f>M36+M52+M69+M87+M104+M120+M136+M152</f>
        <v>-4260.0340887767434</v>
      </c>
      <c r="M15" s="186">
        <v>7005.45</v>
      </c>
      <c r="N15" s="186">
        <v>-11366.61</v>
      </c>
      <c r="O15" s="150">
        <f>M15+N15</f>
        <v>-4361.1600000000008</v>
      </c>
      <c r="Q15" s="150">
        <f>L15-O15</f>
        <v>101.12591122325739</v>
      </c>
    </row>
    <row r="16" spans="1:18">
      <c r="A16" s="148">
        <f t="shared" si="6"/>
        <v>43807</v>
      </c>
      <c r="C16" s="150">
        <f t="shared" si="1"/>
        <v>97791.158067174794</v>
      </c>
      <c r="D16" s="186">
        <v>97792.28</v>
      </c>
      <c r="E16" s="186">
        <v>0</v>
      </c>
      <c r="F16" s="150">
        <f t="shared" si="2"/>
        <v>97792.28</v>
      </c>
      <c r="H16" s="153">
        <f t="shared" si="8"/>
        <v>-1.1219328252045671</v>
      </c>
      <c r="J16" s="148">
        <f t="shared" si="3"/>
        <v>43807</v>
      </c>
      <c r="L16" s="150">
        <f t="shared" si="0"/>
        <v>-1148.0594007443856</v>
      </c>
      <c r="M16" s="186">
        <v>6205.86</v>
      </c>
      <c r="N16" s="186">
        <v>-7353.91</v>
      </c>
      <c r="O16" s="150">
        <f t="shared" si="4"/>
        <v>-1148.0500000000002</v>
      </c>
      <c r="Q16" s="150">
        <f t="shared" si="5"/>
        <v>-9.4007443854025041E-3</v>
      </c>
    </row>
    <row r="17" spans="1:17" ht="14.45" customHeight="1">
      <c r="A17" s="176" t="s">
        <v>110</v>
      </c>
      <c r="B17" s="169"/>
      <c r="C17" s="177">
        <f>SUM(C5:C7)</f>
        <v>190156.57126390573</v>
      </c>
      <c r="D17" s="177">
        <f>SUM(D5:D7)</f>
        <v>219120.35000000003</v>
      </c>
      <c r="E17" s="177">
        <f t="shared" ref="E17:F17" si="9">SUM(E5:E7)</f>
        <v>-28962.76</v>
      </c>
      <c r="F17" s="177">
        <f t="shared" si="9"/>
        <v>190157.59000000003</v>
      </c>
      <c r="G17" s="169"/>
      <c r="H17" s="177">
        <f>C17-F17</f>
        <v>-1.0187360942945816</v>
      </c>
      <c r="I17" s="169"/>
      <c r="J17" s="176" t="s">
        <v>110</v>
      </c>
      <c r="K17" s="169"/>
      <c r="L17" s="177">
        <f>SUM(L5:L7)</f>
        <v>-13489.429770605653</v>
      </c>
      <c r="M17" s="177">
        <f t="shared" ref="M17:O17" si="10">SUM(M5:M7)</f>
        <v>15828.91</v>
      </c>
      <c r="N17" s="177">
        <f t="shared" si="10"/>
        <v>-36159.86</v>
      </c>
      <c r="O17" s="177">
        <f t="shared" si="10"/>
        <v>-20330.95</v>
      </c>
      <c r="P17" s="169"/>
      <c r="Q17" s="177">
        <f>L17-O17</f>
        <v>6841.5202293943476</v>
      </c>
    </row>
    <row r="18" spans="1:17" ht="14.45" customHeight="1">
      <c r="A18" s="176" t="s">
        <v>115</v>
      </c>
      <c r="B18" s="169"/>
      <c r="C18" s="177">
        <f>SUM(C8:C10)</f>
        <v>207385.36043472917</v>
      </c>
      <c r="D18" s="177">
        <f>SUM(D8:D10)</f>
        <v>242392.92</v>
      </c>
      <c r="E18" s="177">
        <f t="shared" ref="E18:F18" si="11">SUM(E8:E10)</f>
        <v>-35007.539999999994</v>
      </c>
      <c r="F18" s="177">
        <f t="shared" si="11"/>
        <v>207385.38</v>
      </c>
      <c r="G18" s="169"/>
      <c r="H18" s="177">
        <f>SUM(H8:H10)</f>
        <v>-1.9565270835300907E-2</v>
      </c>
      <c r="I18" s="169"/>
      <c r="J18" s="176" t="s">
        <v>115</v>
      </c>
      <c r="K18" s="169"/>
      <c r="L18" s="177">
        <f>SUM(L8:L10)</f>
        <v>-12862.427172340471</v>
      </c>
      <c r="M18" s="177">
        <f t="shared" ref="M18:O18" si="12">SUM(M8:M10)</f>
        <v>15055.02</v>
      </c>
      <c r="N18" s="177">
        <f t="shared" si="12"/>
        <v>-35210.85</v>
      </c>
      <c r="O18" s="177">
        <f t="shared" si="12"/>
        <v>-20155.830000000002</v>
      </c>
      <c r="P18" s="169"/>
      <c r="Q18" s="177">
        <f>L18-O18</f>
        <v>7293.4028276595309</v>
      </c>
    </row>
    <row r="19" spans="1:17" ht="14.45" customHeight="1">
      <c r="A19" s="176" t="s">
        <v>116</v>
      </c>
      <c r="B19" s="169"/>
      <c r="C19" s="177">
        <f>SUM(C11:C13)</f>
        <v>275957.58814502851</v>
      </c>
      <c r="D19" s="177">
        <f t="shared" ref="D19:E19" si="13">SUM(D11:D13)</f>
        <v>282877.09000000003</v>
      </c>
      <c r="E19" s="177">
        <f t="shared" si="13"/>
        <v>-6919.47</v>
      </c>
      <c r="F19" s="177">
        <f>SUM(F11:F13)</f>
        <v>275957.62</v>
      </c>
      <c r="G19" s="169"/>
      <c r="H19" s="177">
        <f>C19-F19</f>
        <v>-3.1854971486609429E-2</v>
      </c>
      <c r="I19" s="169"/>
      <c r="J19" s="176" t="s">
        <v>117</v>
      </c>
      <c r="K19" s="169"/>
      <c r="L19" s="177">
        <f>SUM(L11:L13)</f>
        <v>3168.2472998717262</v>
      </c>
      <c r="M19" s="177">
        <f>SUM(M11:M13)</f>
        <v>19744.620000000003</v>
      </c>
      <c r="N19" s="177">
        <f t="shared" ref="N19:O19" si="14">SUM(N11:N13)</f>
        <v>-2441.4400000000005</v>
      </c>
      <c r="O19" s="177">
        <f t="shared" si="14"/>
        <v>17303.18</v>
      </c>
      <c r="P19" s="169"/>
      <c r="Q19" s="177">
        <f>L19-O19</f>
        <v>-14134.932700128275</v>
      </c>
    </row>
    <row r="20" spans="1:17" s="169" customFormat="1">
      <c r="A20" s="176" t="s">
        <v>119</v>
      </c>
      <c r="C20" s="177">
        <f>SUM(C14:C16)</f>
        <v>294972.99608508963</v>
      </c>
      <c r="D20" s="177">
        <f t="shared" ref="D20:F20" si="15">SUM(D14:D16)</f>
        <v>295527.26</v>
      </c>
      <c r="E20" s="177">
        <f t="shared" si="15"/>
        <v>-552.01</v>
      </c>
      <c r="F20" s="177">
        <f t="shared" si="15"/>
        <v>294975.25</v>
      </c>
      <c r="H20" s="177">
        <f>C20-F20</f>
        <v>-2.2539149103686213</v>
      </c>
      <c r="J20" s="176" t="s">
        <v>119</v>
      </c>
      <c r="L20" s="177">
        <f>SUM(L14:L16)</f>
        <v>-7210.9829114090135</v>
      </c>
      <c r="M20" s="177">
        <f t="shared" ref="M20:O20" si="16">SUM(M14:M16)</f>
        <v>20488.919999999998</v>
      </c>
      <c r="N20" s="177">
        <f t="shared" si="16"/>
        <v>-27699.74</v>
      </c>
      <c r="O20" s="177">
        <f t="shared" si="16"/>
        <v>-7210.8200000000006</v>
      </c>
      <c r="Q20" s="177">
        <f>L20-O20</f>
        <v>-0.16291140901284962</v>
      </c>
    </row>
    <row r="21" spans="1:17" s="169" customFormat="1">
      <c r="A21" s="176" t="s">
        <v>147</v>
      </c>
      <c r="C21" s="177">
        <f>SUM(C5:C16)</f>
        <v>968472.51592875319</v>
      </c>
      <c r="D21" s="177">
        <f t="shared" ref="D21:F21" si="17">SUM(D5:D16)</f>
        <v>1039917.62</v>
      </c>
      <c r="E21" s="177">
        <f t="shared" si="17"/>
        <v>-71441.78</v>
      </c>
      <c r="F21" s="177">
        <f t="shared" si="17"/>
        <v>968475.84</v>
      </c>
      <c r="H21" s="177">
        <f>C21-F21</f>
        <v>-3.3240712467813864</v>
      </c>
      <c r="J21" s="176" t="s">
        <v>147</v>
      </c>
      <c r="L21" s="177">
        <f>SUM(L5:L16)</f>
        <v>-30394.592554483417</v>
      </c>
      <c r="M21" s="177">
        <f t="shared" ref="M21:O21" si="18">SUM(M5:M16)</f>
        <v>71117.47</v>
      </c>
      <c r="N21" s="177">
        <f t="shared" si="18"/>
        <v>-101511.89</v>
      </c>
      <c r="O21" s="177">
        <f t="shared" si="18"/>
        <v>-30394.42</v>
      </c>
      <c r="Q21" s="177">
        <f>L21-O21</f>
        <v>-0.17255448341893498</v>
      </c>
    </row>
    <row r="23" spans="1:17">
      <c r="A23" s="238">
        <v>186328</v>
      </c>
      <c r="B23" s="238" t="s">
        <v>53</v>
      </c>
      <c r="C23" s="239" t="s">
        <v>101</v>
      </c>
      <c r="D23" s="239" t="s">
        <v>102</v>
      </c>
      <c r="E23" s="239"/>
      <c r="F23" s="239" t="s">
        <v>104</v>
      </c>
      <c r="H23" s="239" t="s">
        <v>102</v>
      </c>
      <c r="J23" s="238">
        <f>A23</f>
        <v>186328</v>
      </c>
      <c r="K23" s="238" t="s">
        <v>54</v>
      </c>
      <c r="L23" s="239" t="s">
        <v>101</v>
      </c>
      <c r="M23" s="239" t="s">
        <v>102</v>
      </c>
      <c r="N23" s="239"/>
      <c r="O23" s="239" t="s">
        <v>104</v>
      </c>
      <c r="Q23" s="239" t="s">
        <v>102</v>
      </c>
    </row>
    <row r="24" spans="1:17">
      <c r="A24" s="236" t="s">
        <v>165</v>
      </c>
      <c r="B24" s="169" t="s">
        <v>166</v>
      </c>
      <c r="C24" s="239" t="s">
        <v>105</v>
      </c>
      <c r="D24" s="239" t="s">
        <v>106</v>
      </c>
      <c r="E24" s="239" t="s">
        <v>107</v>
      </c>
      <c r="F24" s="239" t="s">
        <v>103</v>
      </c>
      <c r="H24" s="239" t="s">
        <v>108</v>
      </c>
      <c r="J24" s="241" t="str">
        <f>A24</f>
        <v>Deferral - Residential</v>
      </c>
      <c r="K24" s="169" t="s">
        <v>166</v>
      </c>
      <c r="L24" s="239" t="s">
        <v>105</v>
      </c>
      <c r="M24" s="239" t="s">
        <v>106</v>
      </c>
      <c r="N24" s="239" t="s">
        <v>107</v>
      </c>
      <c r="O24" s="239" t="s">
        <v>103</v>
      </c>
      <c r="Q24" s="239" t="s">
        <v>108</v>
      </c>
    </row>
    <row r="25" spans="1:17" ht="14.45" customHeight="1">
      <c r="A25" s="148">
        <v>43435</v>
      </c>
      <c r="B25" s="149"/>
      <c r="C25" s="149"/>
      <c r="F25" s="150">
        <v>0</v>
      </c>
      <c r="J25" s="148">
        <f>A25</f>
        <v>43435</v>
      </c>
      <c r="K25" s="149"/>
      <c r="L25" s="149"/>
      <c r="O25" s="150">
        <v>0</v>
      </c>
    </row>
    <row r="26" spans="1:17" ht="14.45" customHeight="1">
      <c r="A26" s="148">
        <f t="shared" ref="A26:A37" si="19">A5</f>
        <v>43466</v>
      </c>
      <c r="C26" s="186">
        <v>535237.67000000004</v>
      </c>
      <c r="D26" s="150">
        <f t="shared" ref="D26:D36" si="20">(F25+(C26+E26)/2)*H26/12</f>
        <v>1155.2213044166667</v>
      </c>
      <c r="F26" s="150">
        <f>F25+C26+D26+E26</f>
        <v>536392.8913044167</v>
      </c>
      <c r="H26" s="189">
        <v>5.1799999999999999E-2</v>
      </c>
      <c r="J26" s="148">
        <f t="shared" ref="J26:J37" si="21">A26</f>
        <v>43466</v>
      </c>
      <c r="L26" s="186">
        <v>52314.77</v>
      </c>
      <c r="M26" s="150">
        <f t="shared" ref="M26:M37" si="22">(O25+(L26+N26)/2)*Q26/12</f>
        <v>112.91271191666665</v>
      </c>
      <c r="O26" s="150">
        <f t="shared" ref="O26:O37" si="23">O25+L26+M26+N26</f>
        <v>52427.682711916663</v>
      </c>
      <c r="Q26" s="151">
        <f>H26</f>
        <v>5.1799999999999999E-2</v>
      </c>
    </row>
    <row r="27" spans="1:17" ht="14.45" customHeight="1">
      <c r="A27" s="148">
        <f t="shared" si="19"/>
        <v>43497</v>
      </c>
      <c r="C27" s="186">
        <v>-664634.85</v>
      </c>
      <c r="D27" s="150">
        <f t="shared" si="20"/>
        <v>880.92576288073212</v>
      </c>
      <c r="F27" s="150">
        <f t="shared" ref="F27:F37" si="24">F26+C27+D27+E27</f>
        <v>-127361.03293270254</v>
      </c>
      <c r="H27" s="151">
        <f>H26</f>
        <v>5.1799999999999999E-2</v>
      </c>
      <c r="J27" s="148">
        <f t="shared" si="21"/>
        <v>43497</v>
      </c>
      <c r="L27" s="186">
        <v>-1998013.92</v>
      </c>
      <c r="M27" s="150">
        <f t="shared" si="22"/>
        <v>-4086.0672136268931</v>
      </c>
      <c r="O27" s="150">
        <f t="shared" si="23"/>
        <v>-1949672.30450171</v>
      </c>
      <c r="Q27" s="151">
        <f t="shared" ref="Q27:Q37" si="25">H27</f>
        <v>5.1799999999999999E-2</v>
      </c>
    </row>
    <row r="28" spans="1:17" ht="14.45" customHeight="1">
      <c r="A28" s="148">
        <f t="shared" si="19"/>
        <v>43528</v>
      </c>
      <c r="C28" s="186">
        <v>-2878360.87</v>
      </c>
      <c r="D28" s="150">
        <f t="shared" si="20"/>
        <v>-6762.2373365761659</v>
      </c>
      <c r="F28" s="150">
        <f>F27+C28+D28+E28</f>
        <v>-3012484.1402692785</v>
      </c>
      <c r="H28" s="151">
        <f t="shared" ref="H28:H37" si="26">H27</f>
        <v>5.1799999999999999E-2</v>
      </c>
      <c r="J28" s="148">
        <f t="shared" si="21"/>
        <v>43528</v>
      </c>
      <c r="L28" s="186">
        <v>-440460.46</v>
      </c>
      <c r="M28" s="150">
        <f t="shared" si="22"/>
        <v>-9366.7459405990467</v>
      </c>
      <c r="O28" s="150">
        <f t="shared" si="23"/>
        <v>-2399499.5104423091</v>
      </c>
      <c r="Q28" s="151">
        <f t="shared" si="25"/>
        <v>5.1799999999999999E-2</v>
      </c>
    </row>
    <row r="29" spans="1:17" ht="14.45" customHeight="1">
      <c r="A29" s="148">
        <f t="shared" si="19"/>
        <v>43559</v>
      </c>
      <c r="C29" s="186">
        <v>1273875.79</v>
      </c>
      <c r="D29" s="150">
        <f>(F28+(C29+E29)/2)*H29/12</f>
        <v>-10788.939197264639</v>
      </c>
      <c r="F29" s="150">
        <f>F28+C29+D29+E29</f>
        <v>-1749397.2894665431</v>
      </c>
      <c r="H29" s="189">
        <v>5.45E-2</v>
      </c>
      <c r="J29" s="148">
        <f t="shared" si="21"/>
        <v>43559</v>
      </c>
      <c r="L29" s="186">
        <v>302967.15999999997</v>
      </c>
      <c r="M29" s="150">
        <f t="shared" si="22"/>
        <v>-10209.739017425487</v>
      </c>
      <c r="O29" s="150">
        <f t="shared" si="23"/>
        <v>-2106742.0894597345</v>
      </c>
      <c r="Q29" s="151">
        <f t="shared" si="25"/>
        <v>5.45E-2</v>
      </c>
    </row>
    <row r="30" spans="1:17" ht="14.45" customHeight="1">
      <c r="A30" s="148">
        <f t="shared" si="19"/>
        <v>43590</v>
      </c>
      <c r="C30" s="186">
        <v>780147.4</v>
      </c>
      <c r="D30" s="150">
        <f t="shared" si="20"/>
        <v>-6173.5946354938833</v>
      </c>
      <c r="F30" s="150">
        <f t="shared" si="24"/>
        <v>-975423.48410203704</v>
      </c>
      <c r="H30" s="151">
        <f t="shared" si="26"/>
        <v>5.45E-2</v>
      </c>
      <c r="J30" s="148">
        <f t="shared" si="21"/>
        <v>43590</v>
      </c>
      <c r="L30" s="186">
        <v>604703.92000000004</v>
      </c>
      <c r="M30" s="150">
        <f t="shared" si="22"/>
        <v>-8194.9385046296284</v>
      </c>
      <c r="O30" s="150">
        <f t="shared" si="23"/>
        <v>-1510233.1079643641</v>
      </c>
      <c r="Q30" s="151">
        <f t="shared" si="25"/>
        <v>5.45E-2</v>
      </c>
    </row>
    <row r="31" spans="1:17" ht="14.45" customHeight="1">
      <c r="A31" s="148">
        <f t="shared" si="19"/>
        <v>43621</v>
      </c>
      <c r="C31" s="186">
        <v>295906.55</v>
      </c>
      <c r="D31" s="150">
        <f>(F30+(C31+E31)/2)*H31/12</f>
        <v>-3758.0938663384181</v>
      </c>
      <c r="F31" s="150">
        <f t="shared" si="24"/>
        <v>-683275.02796837536</v>
      </c>
      <c r="H31" s="151">
        <f t="shared" si="26"/>
        <v>5.45E-2</v>
      </c>
      <c r="J31" s="148">
        <f t="shared" si="21"/>
        <v>43621</v>
      </c>
      <c r="L31" s="186">
        <v>424145.28</v>
      </c>
      <c r="M31" s="150">
        <f t="shared" si="22"/>
        <v>-5895.8121253381541</v>
      </c>
      <c r="O31" s="150">
        <f t="shared" si="23"/>
        <v>-1091983.6400897023</v>
      </c>
      <c r="Q31" s="151">
        <f t="shared" si="25"/>
        <v>5.45E-2</v>
      </c>
    </row>
    <row r="32" spans="1:17" ht="14.45" customHeight="1">
      <c r="A32" s="148">
        <f t="shared" si="19"/>
        <v>43652</v>
      </c>
      <c r="C32" s="186">
        <v>1375096.37</v>
      </c>
      <c r="D32" s="150">
        <f>(F31+(C32+E32)/2)*H32/12</f>
        <v>19.585303061613182</v>
      </c>
      <c r="F32" s="150">
        <f t="shared" si="24"/>
        <v>691840.92733468639</v>
      </c>
      <c r="H32" s="189">
        <v>5.5E-2</v>
      </c>
      <c r="J32" s="148">
        <f t="shared" si="21"/>
        <v>43652</v>
      </c>
      <c r="L32" s="186">
        <v>65232.62</v>
      </c>
      <c r="M32" s="150">
        <f t="shared" si="22"/>
        <v>-4855.4335962444684</v>
      </c>
      <c r="O32" s="150">
        <f t="shared" si="23"/>
        <v>-1031606.4536859468</v>
      </c>
      <c r="Q32" s="151">
        <f t="shared" si="25"/>
        <v>5.5E-2</v>
      </c>
    </row>
    <row r="33" spans="1:17" ht="14.45" customHeight="1">
      <c r="A33" s="148">
        <f t="shared" si="19"/>
        <v>43683</v>
      </c>
      <c r="C33" s="186">
        <v>-593090.23</v>
      </c>
      <c r="D33" s="150">
        <f>(F32+(C33+E33)/2)*H33/12</f>
        <v>1811.7724732006461</v>
      </c>
      <c r="F33" s="150">
        <f t="shared" si="24"/>
        <v>100562.46980788706</v>
      </c>
      <c r="H33" s="151">
        <f t="shared" si="26"/>
        <v>5.5E-2</v>
      </c>
      <c r="J33" s="148">
        <f t="shared" si="21"/>
        <v>43683</v>
      </c>
      <c r="L33" s="186">
        <v>113233.72</v>
      </c>
      <c r="M33" s="150">
        <f t="shared" si="22"/>
        <v>-4468.7023043939225</v>
      </c>
      <c r="O33" s="150">
        <f t="shared" si="23"/>
        <v>-922841.43599034066</v>
      </c>
      <c r="Q33" s="151">
        <f t="shared" si="25"/>
        <v>5.5E-2</v>
      </c>
    </row>
    <row r="34" spans="1:17">
      <c r="A34" s="148">
        <f t="shared" si="19"/>
        <v>43714</v>
      </c>
      <c r="C34" s="186">
        <v>1043393.77</v>
      </c>
      <c r="D34" s="150">
        <f>(F33+(C34+E34)/2)*H34/12</f>
        <v>2852.0220428694829</v>
      </c>
      <c r="F34" s="150">
        <f t="shared" si="24"/>
        <v>1146808.2618507566</v>
      </c>
      <c r="H34" s="151">
        <f t="shared" si="26"/>
        <v>5.5E-2</v>
      </c>
      <c r="J34" s="148">
        <f t="shared" si="21"/>
        <v>43714</v>
      </c>
      <c r="L34" s="186">
        <v>-68111.45</v>
      </c>
      <c r="M34" s="150">
        <f>(O33+(L34+N34)/2)*Q34/12</f>
        <v>-4385.7786545390618</v>
      </c>
      <c r="O34" s="150">
        <f t="shared" si="23"/>
        <v>-995338.66464487964</v>
      </c>
      <c r="Q34" s="151">
        <f t="shared" si="25"/>
        <v>5.5E-2</v>
      </c>
    </row>
    <row r="35" spans="1:17">
      <c r="A35" s="148">
        <f t="shared" si="19"/>
        <v>43745</v>
      </c>
      <c r="C35" s="186">
        <v>-641640.99</v>
      </c>
      <c r="D35" s="150">
        <f t="shared" si="20"/>
        <v>3730.7114136092509</v>
      </c>
      <c r="F35" s="150">
        <f t="shared" si="24"/>
        <v>508897.98326436587</v>
      </c>
      <c r="H35" s="189">
        <v>5.4199999999999998E-2</v>
      </c>
      <c r="J35" s="148">
        <f t="shared" si="21"/>
        <v>43745</v>
      </c>
      <c r="L35" s="186">
        <v>-1516130.78</v>
      </c>
      <c r="M35" s="150">
        <f t="shared" si="22"/>
        <v>-7919.5416468127069</v>
      </c>
      <c r="O35" s="150">
        <f t="shared" si="23"/>
        <v>-2519388.9862916921</v>
      </c>
      <c r="Q35" s="151">
        <f t="shared" si="25"/>
        <v>5.4199999999999998E-2</v>
      </c>
    </row>
    <row r="36" spans="1:17">
      <c r="A36" s="148">
        <f t="shared" si="19"/>
        <v>43776</v>
      </c>
      <c r="C36" s="186">
        <v>255411.43</v>
      </c>
      <c r="D36" s="150">
        <f t="shared" si="20"/>
        <v>2875.3267038273862</v>
      </c>
      <c r="E36" s="21"/>
      <c r="F36" s="150">
        <f t="shared" si="24"/>
        <v>767184.73996819323</v>
      </c>
      <c r="H36" s="151">
        <f t="shared" si="26"/>
        <v>5.4199999999999998E-2</v>
      </c>
      <c r="J36" s="148">
        <f t="shared" si="21"/>
        <v>43776</v>
      </c>
      <c r="L36" s="186">
        <v>393454.96</v>
      </c>
      <c r="M36" s="150">
        <f t="shared" si="22"/>
        <v>-10490.687803417475</v>
      </c>
      <c r="N36" s="21"/>
      <c r="O36" s="150">
        <f t="shared" si="23"/>
        <v>-2136424.7140951096</v>
      </c>
      <c r="Q36" s="151">
        <f t="shared" si="25"/>
        <v>5.4199999999999998E-2</v>
      </c>
    </row>
    <row r="37" spans="1:17">
      <c r="A37" s="148">
        <f t="shared" si="19"/>
        <v>43807</v>
      </c>
      <c r="B37" s="149"/>
      <c r="C37" s="186">
        <v>410455.85</v>
      </c>
      <c r="D37" s="150">
        <f>(F36+(C37+E37)/2)*H37/12</f>
        <v>4392.063870106339</v>
      </c>
      <c r="E37" s="21"/>
      <c r="F37" s="150">
        <f t="shared" si="24"/>
        <v>1182032.6538382997</v>
      </c>
      <c r="H37" s="151">
        <f t="shared" si="26"/>
        <v>5.4199999999999998E-2</v>
      </c>
      <c r="J37" s="148">
        <f t="shared" si="21"/>
        <v>43807</v>
      </c>
      <c r="K37" s="149"/>
      <c r="L37" s="186">
        <v>1089938.47</v>
      </c>
      <c r="M37" s="150">
        <f t="shared" si="22"/>
        <v>-7188.0739139129118</v>
      </c>
      <c r="N37" s="21"/>
      <c r="O37" s="150">
        <f t="shared" si="23"/>
        <v>-1053674.3180090226</v>
      </c>
      <c r="Q37" s="151">
        <f t="shared" si="25"/>
        <v>5.4199999999999998E-2</v>
      </c>
    </row>
    <row r="38" spans="1:17">
      <c r="F38" s="150"/>
      <c r="O38" s="150"/>
    </row>
    <row r="39" spans="1:17">
      <c r="A39" s="238">
        <v>186338</v>
      </c>
      <c r="B39" s="238" t="s">
        <v>53</v>
      </c>
      <c r="C39" s="239" t="s">
        <v>101</v>
      </c>
      <c r="D39" s="239" t="s">
        <v>102</v>
      </c>
      <c r="E39" s="239"/>
      <c r="F39" s="150" t="s">
        <v>104</v>
      </c>
      <c r="H39" s="239" t="s">
        <v>102</v>
      </c>
      <c r="J39" s="238">
        <f>A39</f>
        <v>186338</v>
      </c>
      <c r="K39" s="238" t="s">
        <v>54</v>
      </c>
      <c r="L39" s="239" t="s">
        <v>101</v>
      </c>
      <c r="M39" s="239" t="s">
        <v>102</v>
      </c>
      <c r="N39" s="239"/>
      <c r="O39" s="150" t="s">
        <v>104</v>
      </c>
      <c r="Q39" s="239" t="s">
        <v>102</v>
      </c>
    </row>
    <row r="40" spans="1:17">
      <c r="A40" s="236" t="s">
        <v>167</v>
      </c>
      <c r="B40" s="169" t="s">
        <v>166</v>
      </c>
      <c r="C40" s="239" t="s">
        <v>105</v>
      </c>
      <c r="D40" s="239" t="s">
        <v>106</v>
      </c>
      <c r="E40" s="239" t="s">
        <v>107</v>
      </c>
      <c r="F40" s="150" t="s">
        <v>103</v>
      </c>
      <c r="H40" s="239" t="s">
        <v>108</v>
      </c>
      <c r="J40" s="241" t="str">
        <f>A40</f>
        <v>Deferral - Non-Residential</v>
      </c>
      <c r="K40" s="169" t="s">
        <v>166</v>
      </c>
      <c r="L40" s="239" t="s">
        <v>105</v>
      </c>
      <c r="M40" s="239" t="s">
        <v>106</v>
      </c>
      <c r="N40" s="239" t="s">
        <v>107</v>
      </c>
      <c r="O40" s="150" t="s">
        <v>103</v>
      </c>
      <c r="Q40" s="239" t="s">
        <v>108</v>
      </c>
    </row>
    <row r="41" spans="1:17" ht="14.45" customHeight="1">
      <c r="A41" s="148">
        <f>$A$25</f>
        <v>43435</v>
      </c>
      <c r="B41" s="149"/>
      <c r="C41" s="149"/>
      <c r="F41" s="150">
        <v>0</v>
      </c>
      <c r="J41" s="148">
        <f>A41</f>
        <v>43435</v>
      </c>
      <c r="K41" s="149"/>
      <c r="L41" s="149"/>
      <c r="O41" s="150">
        <v>0</v>
      </c>
    </row>
    <row r="42" spans="1:17" ht="14.45" customHeight="1">
      <c r="A42" s="148">
        <f>A41+31</f>
        <v>43466</v>
      </c>
      <c r="C42" s="186">
        <v>439563.27</v>
      </c>
      <c r="D42" s="150">
        <f t="shared" ref="D42:D53" si="27">(F41+(C42+E42)/2)*H42/12</f>
        <v>948.72405775000004</v>
      </c>
      <c r="F42" s="150">
        <f t="shared" ref="F42:F53" si="28">F41+C42+D42+E42</f>
        <v>440511.99405775004</v>
      </c>
      <c r="H42" s="151">
        <f>H26</f>
        <v>5.1799999999999999E-2</v>
      </c>
      <c r="J42" s="148">
        <f t="shared" ref="J42:J53" si="29">A42</f>
        <v>43466</v>
      </c>
      <c r="L42" s="186">
        <v>61658.99</v>
      </c>
      <c r="M42" s="150">
        <f t="shared" ref="M42:M53" si="30">(O41+(L42+N42)/2)*Q42/12</f>
        <v>133.08065341666665</v>
      </c>
      <c r="O42" s="150">
        <f t="shared" ref="O42:O53" si="31">O41+L42+M42+N42</f>
        <v>61792.070653416667</v>
      </c>
      <c r="Q42" s="151">
        <f t="shared" ref="Q42:Q53" si="32">H42</f>
        <v>5.1799999999999999E-2</v>
      </c>
    </row>
    <row r="43" spans="1:17" ht="14.45" customHeight="1">
      <c r="A43" s="148">
        <f t="shared" ref="A43:A53" si="33">A42+31</f>
        <v>43497</v>
      </c>
      <c r="C43" s="186">
        <v>-363439.45</v>
      </c>
      <c r="D43" s="150">
        <f t="shared" si="27"/>
        <v>1117.1199614326208</v>
      </c>
      <c r="F43" s="150">
        <f t="shared" si="28"/>
        <v>78189.664019182645</v>
      </c>
      <c r="H43" s="151">
        <f t="shared" ref="H43:H53" si="34">H27</f>
        <v>5.1799999999999999E-2</v>
      </c>
      <c r="J43" s="148">
        <f t="shared" si="29"/>
        <v>43497</v>
      </c>
      <c r="L43" s="186">
        <v>-346060.84</v>
      </c>
      <c r="M43" s="150">
        <f t="shared" si="30"/>
        <v>-480.17887467941813</v>
      </c>
      <c r="O43" s="150">
        <f t="shared" si="31"/>
        <v>-284748.94822126278</v>
      </c>
      <c r="Q43" s="151">
        <f t="shared" si="32"/>
        <v>5.1799999999999999E-2</v>
      </c>
    </row>
    <row r="44" spans="1:17" ht="14.45" customHeight="1">
      <c r="A44" s="148">
        <f t="shared" si="33"/>
        <v>43528</v>
      </c>
      <c r="C44" s="186">
        <v>233575.75</v>
      </c>
      <c r="D44" s="150">
        <f t="shared" si="27"/>
        <v>841.65304343280513</v>
      </c>
      <c r="F44" s="150">
        <f t="shared" si="28"/>
        <v>312607.06706261548</v>
      </c>
      <c r="H44" s="151">
        <f t="shared" si="34"/>
        <v>5.1799999999999999E-2</v>
      </c>
      <c r="J44" s="148">
        <f t="shared" si="29"/>
        <v>43528</v>
      </c>
      <c r="L44" s="186">
        <v>10228.35</v>
      </c>
      <c r="M44" s="150">
        <f t="shared" si="30"/>
        <v>-1207.0901044051177</v>
      </c>
      <c r="O44" s="150">
        <f t="shared" si="31"/>
        <v>-275727.68832566793</v>
      </c>
      <c r="Q44" s="151">
        <f t="shared" si="32"/>
        <v>5.1799999999999999E-2</v>
      </c>
    </row>
    <row r="45" spans="1:17" ht="14.45" customHeight="1">
      <c r="A45" s="148">
        <f t="shared" si="33"/>
        <v>43559</v>
      </c>
      <c r="C45" s="186">
        <v>408506.58</v>
      </c>
      <c r="D45" s="150">
        <f>(F44+(C45+E45)/2)*H45/12</f>
        <v>2347.4074549927118</v>
      </c>
      <c r="F45" s="150">
        <f t="shared" si="28"/>
        <v>723461.05451760825</v>
      </c>
      <c r="H45" s="151">
        <f t="shared" si="34"/>
        <v>5.45E-2</v>
      </c>
      <c r="J45" s="148">
        <f t="shared" si="29"/>
        <v>43559</v>
      </c>
      <c r="L45" s="186">
        <v>-71535.56</v>
      </c>
      <c r="M45" s="150">
        <f t="shared" si="30"/>
        <v>-1414.7085853124083</v>
      </c>
      <c r="O45" s="150">
        <f t="shared" si="31"/>
        <v>-348677.95691098034</v>
      </c>
      <c r="Q45" s="151">
        <f t="shared" si="32"/>
        <v>5.45E-2</v>
      </c>
    </row>
    <row r="46" spans="1:17" ht="14.45" customHeight="1">
      <c r="A46" s="148">
        <f t="shared" si="33"/>
        <v>43590</v>
      </c>
      <c r="C46" s="186">
        <v>1040897.35</v>
      </c>
      <c r="D46" s="150">
        <f>(F45+(C46+E46)/2)*H46/12</f>
        <v>5649.4233548924703</v>
      </c>
      <c r="F46" s="150">
        <f t="shared" si="28"/>
        <v>1770007.8278725008</v>
      </c>
      <c r="H46" s="151">
        <f t="shared" si="34"/>
        <v>5.45E-2</v>
      </c>
      <c r="J46" s="148">
        <f t="shared" si="29"/>
        <v>43590</v>
      </c>
      <c r="L46" s="186">
        <v>240987.92</v>
      </c>
      <c r="M46" s="150">
        <f t="shared" si="30"/>
        <v>-1036.3356526373689</v>
      </c>
      <c r="O46" s="150">
        <f t="shared" si="31"/>
        <v>-108726.3725636177</v>
      </c>
      <c r="Q46" s="151">
        <f t="shared" si="32"/>
        <v>5.45E-2</v>
      </c>
    </row>
    <row r="47" spans="1:17" ht="14.45" customHeight="1">
      <c r="A47" s="148">
        <f t="shared" si="33"/>
        <v>43621</v>
      </c>
      <c r="C47" s="186">
        <v>719501.02</v>
      </c>
      <c r="D47" s="150">
        <f t="shared" si="27"/>
        <v>9672.6524511709395</v>
      </c>
      <c r="F47" s="150">
        <f t="shared" si="28"/>
        <v>2499181.5003236718</v>
      </c>
      <c r="H47" s="151">
        <f t="shared" si="34"/>
        <v>5.45E-2</v>
      </c>
      <c r="J47" s="148">
        <f t="shared" si="29"/>
        <v>43621</v>
      </c>
      <c r="L47" s="186">
        <v>19716.79</v>
      </c>
      <c r="M47" s="150">
        <f>(O46+(L47+N47)/2)*Q47/12</f>
        <v>-449.02539810143031</v>
      </c>
      <c r="O47" s="150">
        <f t="shared" si="31"/>
        <v>-89458.607961719128</v>
      </c>
      <c r="Q47" s="151">
        <f t="shared" si="32"/>
        <v>5.45E-2</v>
      </c>
    </row>
    <row r="48" spans="1:17" ht="14.45" customHeight="1">
      <c r="A48" s="148">
        <f t="shared" si="33"/>
        <v>43652</v>
      </c>
      <c r="C48" s="186">
        <v>1213599.3999999999</v>
      </c>
      <c r="D48" s="150">
        <f>(F47+(C48+E48)/2)*H48/12</f>
        <v>14235.747168150163</v>
      </c>
      <c r="F48" s="150">
        <f t="shared" si="28"/>
        <v>3727016.647491822</v>
      </c>
      <c r="H48" s="151">
        <f t="shared" si="34"/>
        <v>5.5E-2</v>
      </c>
      <c r="J48" s="148">
        <f t="shared" si="29"/>
        <v>43652</v>
      </c>
      <c r="L48" s="186">
        <v>44831.91</v>
      </c>
      <c r="M48" s="150">
        <f t="shared" si="30"/>
        <v>-307.27882607454598</v>
      </c>
      <c r="O48" s="150">
        <f t="shared" si="31"/>
        <v>-44933.976787793668</v>
      </c>
      <c r="Q48" s="151">
        <f t="shared" si="32"/>
        <v>5.5E-2</v>
      </c>
    </row>
    <row r="49" spans="1:18" ht="14.45" customHeight="1">
      <c r="A49" s="148">
        <f t="shared" si="33"/>
        <v>43683</v>
      </c>
      <c r="C49" s="186">
        <v>289229.21999999997</v>
      </c>
      <c r="D49" s="150">
        <f>(F48+(C49+E49)/2)*H49/12</f>
        <v>17744.976596837518</v>
      </c>
      <c r="F49" s="150">
        <f t="shared" si="28"/>
        <v>4033990.8440886592</v>
      </c>
      <c r="H49" s="151">
        <f t="shared" si="34"/>
        <v>5.5E-2</v>
      </c>
      <c r="J49" s="148">
        <f t="shared" si="29"/>
        <v>43683</v>
      </c>
      <c r="L49" s="186">
        <v>57837.599999999999</v>
      </c>
      <c r="M49" s="150">
        <f t="shared" si="30"/>
        <v>-73.40289361072098</v>
      </c>
      <c r="O49" s="150">
        <f t="shared" si="31"/>
        <v>12830.22031859561</v>
      </c>
      <c r="Q49" s="151">
        <f t="shared" si="32"/>
        <v>5.5E-2</v>
      </c>
    </row>
    <row r="50" spans="1:18">
      <c r="A50" s="148">
        <f t="shared" si="33"/>
        <v>43714</v>
      </c>
      <c r="C50" s="186">
        <v>790685.04</v>
      </c>
      <c r="D50" s="150">
        <f>(F49+(C50+E50)/2)*H50/12</f>
        <v>20301.11125207302</v>
      </c>
      <c r="F50" s="150">
        <f>F49+C50+D50+E50</f>
        <v>4844976.9953407329</v>
      </c>
      <c r="H50" s="151">
        <f t="shared" si="34"/>
        <v>5.5E-2</v>
      </c>
      <c r="J50" s="148">
        <f t="shared" si="29"/>
        <v>43714</v>
      </c>
      <c r="L50" s="186">
        <v>-89171.24</v>
      </c>
      <c r="M50" s="150">
        <f>(O49+(L50+N50)/2)*Q50/12</f>
        <v>-145.54558187310349</v>
      </c>
      <c r="O50" s="150">
        <f>O49+L50+M50+N50</f>
        <v>-76486.565263277502</v>
      </c>
      <c r="Q50" s="151">
        <f t="shared" si="32"/>
        <v>5.5E-2</v>
      </c>
    </row>
    <row r="51" spans="1:18">
      <c r="A51" s="148">
        <f t="shared" si="33"/>
        <v>43745</v>
      </c>
      <c r="C51" s="186">
        <v>259363.54</v>
      </c>
      <c r="D51" s="150">
        <f t="shared" si="27"/>
        <v>22468.87542345564</v>
      </c>
      <c r="F51" s="150">
        <f t="shared" si="28"/>
        <v>5126809.4107641885</v>
      </c>
      <c r="H51" s="151">
        <f t="shared" si="34"/>
        <v>5.4199999999999998E-2</v>
      </c>
      <c r="J51" s="148">
        <f t="shared" si="29"/>
        <v>43745</v>
      </c>
      <c r="L51" s="186">
        <v>-176687.17</v>
      </c>
      <c r="M51" s="150">
        <f t="shared" si="30"/>
        <v>-744.48284535580342</v>
      </c>
      <c r="O51" s="150">
        <f t="shared" si="31"/>
        <v>-253918.21810863333</v>
      </c>
      <c r="Q51" s="151">
        <f t="shared" si="32"/>
        <v>5.4199999999999998E-2</v>
      </c>
    </row>
    <row r="52" spans="1:18">
      <c r="A52" s="148">
        <f t="shared" si="33"/>
        <v>43776</v>
      </c>
      <c r="C52" s="186">
        <v>-13154.24</v>
      </c>
      <c r="D52" s="150">
        <f t="shared" si="27"/>
        <v>23126.382513284916</v>
      </c>
      <c r="E52" s="21"/>
      <c r="F52" s="150">
        <f t="shared" si="28"/>
        <v>5136781.553277473</v>
      </c>
      <c r="H52" s="151">
        <f t="shared" si="34"/>
        <v>5.4199999999999998E-2</v>
      </c>
      <c r="J52" s="148">
        <f t="shared" si="29"/>
        <v>43776</v>
      </c>
      <c r="L52" s="187">
        <v>117948.89</v>
      </c>
      <c r="M52" s="150">
        <f t="shared" si="30"/>
        <v>-880.49604187399382</v>
      </c>
      <c r="N52" s="21"/>
      <c r="O52" s="150">
        <f t="shared" si="31"/>
        <v>-136849.82415050734</v>
      </c>
      <c r="Q52" s="151">
        <f t="shared" si="32"/>
        <v>5.4199999999999998E-2</v>
      </c>
    </row>
    <row r="53" spans="1:18">
      <c r="A53" s="148">
        <f t="shared" si="33"/>
        <v>43807</v>
      </c>
      <c r="B53" s="149"/>
      <c r="C53" s="186">
        <v>1695821.7</v>
      </c>
      <c r="D53" s="150">
        <f t="shared" si="27"/>
        <v>27030.860688136585</v>
      </c>
      <c r="E53" s="21"/>
      <c r="F53" s="150">
        <f t="shared" si="28"/>
        <v>6859634.11396561</v>
      </c>
      <c r="H53" s="151">
        <f t="shared" si="34"/>
        <v>5.4199999999999998E-2</v>
      </c>
      <c r="J53" s="148">
        <f t="shared" si="29"/>
        <v>43807</v>
      </c>
      <c r="K53" s="149"/>
      <c r="L53" s="186">
        <v>200264.68</v>
      </c>
      <c r="M53" s="150">
        <f t="shared" si="30"/>
        <v>-165.84063674645816</v>
      </c>
      <c r="N53" s="21"/>
      <c r="O53" s="150">
        <f t="shared" si="31"/>
        <v>63249.015212746199</v>
      </c>
      <c r="Q53" s="151">
        <f t="shared" si="32"/>
        <v>5.4199999999999998E-2</v>
      </c>
    </row>
    <row r="54" spans="1:18">
      <c r="F54" s="150"/>
      <c r="O54" s="150"/>
    </row>
    <row r="55" spans="1:18">
      <c r="A55" s="238">
        <v>182329</v>
      </c>
      <c r="B55" s="238" t="s">
        <v>53</v>
      </c>
      <c r="C55" s="239" t="s">
        <v>101</v>
      </c>
      <c r="D55" s="239" t="s">
        <v>102</v>
      </c>
      <c r="E55" s="239"/>
      <c r="F55" s="150" t="s">
        <v>104</v>
      </c>
      <c r="H55" s="239" t="s">
        <v>102</v>
      </c>
      <c r="J55" s="238">
        <f>A55</f>
        <v>182329</v>
      </c>
      <c r="K55" s="238" t="s">
        <v>54</v>
      </c>
      <c r="L55" s="239" t="s">
        <v>101</v>
      </c>
      <c r="M55" s="239" t="s">
        <v>102</v>
      </c>
      <c r="N55" s="239"/>
      <c r="O55" s="150" t="s">
        <v>104</v>
      </c>
      <c r="Q55" s="239" t="s">
        <v>102</v>
      </c>
    </row>
    <row r="56" spans="1:18">
      <c r="A56" s="242" t="s">
        <v>168</v>
      </c>
      <c r="B56" s="169" t="s">
        <v>166</v>
      </c>
      <c r="C56" s="239" t="s">
        <v>105</v>
      </c>
      <c r="D56" s="239" t="s">
        <v>106</v>
      </c>
      <c r="E56" s="239" t="s">
        <v>107</v>
      </c>
      <c r="F56" s="150" t="s">
        <v>103</v>
      </c>
      <c r="H56" s="239" t="s">
        <v>108</v>
      </c>
      <c r="J56" s="169" t="str">
        <f>A56</f>
        <v>Res Prior Year Pending</v>
      </c>
      <c r="K56" s="169" t="s">
        <v>166</v>
      </c>
      <c r="L56" s="239" t="s">
        <v>105</v>
      </c>
      <c r="M56" s="239" t="s">
        <v>106</v>
      </c>
      <c r="N56" s="239" t="s">
        <v>107</v>
      </c>
      <c r="O56" s="150" t="s">
        <v>103</v>
      </c>
      <c r="Q56" s="239" t="s">
        <v>108</v>
      </c>
    </row>
    <row r="57" spans="1:18" ht="14.45" customHeight="1">
      <c r="A57" s="148">
        <f>$A$25</f>
        <v>43435</v>
      </c>
      <c r="B57" s="149"/>
      <c r="C57" s="149"/>
      <c r="F57" s="186">
        <v>8620259.25</v>
      </c>
      <c r="J57" s="148">
        <f>A57</f>
        <v>43435</v>
      </c>
      <c r="K57" s="149"/>
      <c r="L57" s="149"/>
      <c r="O57" s="186">
        <v>740535.51</v>
      </c>
    </row>
    <row r="58" spans="1:18" ht="14.45" customHeight="1">
      <c r="A58" s="173" t="s">
        <v>176</v>
      </c>
      <c r="B58" s="149"/>
      <c r="C58" s="149"/>
      <c r="F58" s="192">
        <v>0</v>
      </c>
      <c r="I58" s="184"/>
      <c r="J58" s="173" t="str">
        <f t="shared" ref="J58:J70" si="35">A58</f>
        <v>Provision for Rate Refund - Earnings Sharing Per Rate Adjustment Filing</v>
      </c>
      <c r="K58" s="149"/>
      <c r="L58" s="149"/>
      <c r="O58" s="192">
        <v>-189869</v>
      </c>
      <c r="R58" s="184"/>
    </row>
    <row r="59" spans="1:18" ht="14.45" customHeight="1">
      <c r="A59" s="148">
        <f>A57+31</f>
        <v>43466</v>
      </c>
      <c r="C59" s="150"/>
      <c r="D59" s="150">
        <f>(F57+F$58+(E59)/2)*H59/12</f>
        <v>37210.785762499996</v>
      </c>
      <c r="F59" s="150">
        <f>F57+C59+D59+E59</f>
        <v>8657470.0357625</v>
      </c>
      <c r="H59" s="151">
        <f t="shared" ref="H59:H70" si="36">H26</f>
        <v>5.1799999999999999E-2</v>
      </c>
      <c r="J59" s="148">
        <f t="shared" si="35"/>
        <v>43466</v>
      </c>
      <c r="L59" s="186"/>
      <c r="M59" s="150">
        <f>(O57+O$58+(N59)/2)*Q59/12</f>
        <v>2377.0437681666667</v>
      </c>
      <c r="O59" s="150">
        <f>O57+L59+M59+N59</f>
        <v>742912.55376816669</v>
      </c>
      <c r="Q59" s="151">
        <f t="shared" ref="Q59:Q70" si="37">H59</f>
        <v>5.1799999999999999E-2</v>
      </c>
    </row>
    <row r="60" spans="1:18" ht="14.45" customHeight="1">
      <c r="A60" s="148">
        <f t="shared" ref="A60:A70" si="38">A59+31</f>
        <v>43497</v>
      </c>
      <c r="C60" s="150"/>
      <c r="D60" s="150">
        <f>(F59+F$58+(E60)/2)*H60/12</f>
        <v>37371.412321041462</v>
      </c>
      <c r="F60" s="150">
        <f>F59+C60+D60+E60</f>
        <v>8694841.4480835423</v>
      </c>
      <c r="H60" s="151">
        <f t="shared" si="36"/>
        <v>5.1799999999999999E-2</v>
      </c>
      <c r="J60" s="148">
        <f t="shared" si="35"/>
        <v>43497</v>
      </c>
      <c r="L60" s="186"/>
      <c r="M60" s="150">
        <f>(O59+O$58+(N60)/2)*Q60/12</f>
        <v>2387.3046737659192</v>
      </c>
      <c r="O60" s="150">
        <f t="shared" ref="O60:O70" si="39">O59+L60+M60+N60</f>
        <v>745299.85844193259</v>
      </c>
      <c r="Q60" s="151">
        <f t="shared" si="37"/>
        <v>5.1799999999999999E-2</v>
      </c>
    </row>
    <row r="61" spans="1:18" ht="14.45" customHeight="1">
      <c r="A61" s="148">
        <f t="shared" si="38"/>
        <v>43528</v>
      </c>
      <c r="C61" s="150"/>
      <c r="D61" s="150">
        <f t="shared" ref="D61:D67" si="40">(F60+F$58+(E61)/2)*H61/12</f>
        <v>37532.732250893961</v>
      </c>
      <c r="F61" s="150">
        <f t="shared" ref="F61:F70" si="41">F60+C61+D61+E61</f>
        <v>8732374.1803344358</v>
      </c>
      <c r="H61" s="151">
        <f t="shared" si="36"/>
        <v>5.1799999999999999E-2</v>
      </c>
      <c r="J61" s="148">
        <f t="shared" si="35"/>
        <v>43528</v>
      </c>
      <c r="L61" s="186"/>
      <c r="M61" s="150">
        <f t="shared" ref="M61:M65" si="42">(O60+O$58+(N61)/2)*Q61/12</f>
        <v>2397.6098722743423</v>
      </c>
      <c r="O61" s="150">
        <f t="shared" si="39"/>
        <v>747697.46831420693</v>
      </c>
      <c r="Q61" s="151">
        <f t="shared" si="37"/>
        <v>5.1799999999999999E-2</v>
      </c>
    </row>
    <row r="62" spans="1:18" ht="14.45" customHeight="1">
      <c r="A62" s="148">
        <f t="shared" si="38"/>
        <v>43559</v>
      </c>
      <c r="C62" s="150"/>
      <c r="D62" s="150">
        <f t="shared" si="40"/>
        <v>39659.532735685563</v>
      </c>
      <c r="F62" s="150">
        <f t="shared" si="41"/>
        <v>8772033.7130701207</v>
      </c>
      <c r="H62" s="151">
        <f t="shared" si="36"/>
        <v>5.45E-2</v>
      </c>
      <c r="J62" s="148">
        <f t="shared" si="35"/>
        <v>43559</v>
      </c>
      <c r="L62" s="150"/>
      <c r="M62" s="150">
        <f t="shared" si="42"/>
        <v>2533.4709602603566</v>
      </c>
      <c r="O62" s="150">
        <f t="shared" si="39"/>
        <v>750230.9392744673</v>
      </c>
      <c r="Q62" s="151">
        <f t="shared" si="37"/>
        <v>5.45E-2</v>
      </c>
    </row>
    <row r="63" spans="1:18" ht="14.45" customHeight="1">
      <c r="A63" s="148">
        <f t="shared" si="38"/>
        <v>43590</v>
      </c>
      <c r="C63" s="150"/>
      <c r="D63" s="150">
        <f t="shared" si="40"/>
        <v>39839.653113526794</v>
      </c>
      <c r="F63" s="150">
        <f t="shared" si="41"/>
        <v>8811873.3661836479</v>
      </c>
      <c r="H63" s="151">
        <f t="shared" si="36"/>
        <v>5.45E-2</v>
      </c>
      <c r="J63" s="148">
        <f t="shared" si="35"/>
        <v>43590</v>
      </c>
      <c r="L63" s="150"/>
      <c r="M63" s="150">
        <f t="shared" si="42"/>
        <v>2544.9771408715392</v>
      </c>
      <c r="O63" s="150">
        <f t="shared" si="39"/>
        <v>752775.91641533887</v>
      </c>
      <c r="Q63" s="151">
        <f t="shared" si="37"/>
        <v>5.45E-2</v>
      </c>
    </row>
    <row r="64" spans="1:18" ht="14.45" customHeight="1">
      <c r="A64" s="148">
        <f t="shared" si="38"/>
        <v>43621</v>
      </c>
      <c r="C64" s="150"/>
      <c r="D64" s="150">
        <f t="shared" si="40"/>
        <v>40020.591538084067</v>
      </c>
      <c r="F64" s="150">
        <f t="shared" si="41"/>
        <v>8851893.9577217326</v>
      </c>
      <c r="H64" s="151">
        <f t="shared" si="36"/>
        <v>5.45E-2</v>
      </c>
      <c r="J64" s="148">
        <f t="shared" si="35"/>
        <v>43621</v>
      </c>
      <c r="L64" s="150"/>
      <c r="M64" s="150">
        <f t="shared" si="42"/>
        <v>2556.535578719664</v>
      </c>
      <c r="O64" s="150">
        <f t="shared" si="39"/>
        <v>755332.45199405856</v>
      </c>
      <c r="Q64" s="151">
        <f t="shared" si="37"/>
        <v>5.45E-2</v>
      </c>
    </row>
    <row r="65" spans="1:17" ht="14.45" customHeight="1">
      <c r="A65" s="148">
        <f t="shared" si="38"/>
        <v>43652</v>
      </c>
      <c r="C65" s="150"/>
      <c r="D65" s="150">
        <f t="shared" si="40"/>
        <v>40571.180639557941</v>
      </c>
      <c r="F65" s="150">
        <f>F64+C65+D65+E65</f>
        <v>8892465.1383612901</v>
      </c>
      <c r="H65" s="151">
        <f t="shared" si="36"/>
        <v>5.5E-2</v>
      </c>
      <c r="J65" s="148">
        <f t="shared" si="35"/>
        <v>43652</v>
      </c>
      <c r="L65" s="150"/>
      <c r="M65" s="150">
        <f t="shared" si="42"/>
        <v>2591.7074883061018</v>
      </c>
      <c r="O65" s="150">
        <f t="shared" si="39"/>
        <v>757924.15948236466</v>
      </c>
      <c r="Q65" s="151">
        <f t="shared" si="37"/>
        <v>5.5E-2</v>
      </c>
    </row>
    <row r="66" spans="1:17" ht="14.45" customHeight="1">
      <c r="A66" s="148">
        <f>A65+31</f>
        <v>43683</v>
      </c>
      <c r="C66" s="150"/>
      <c r="D66" s="150">
        <f t="shared" si="40"/>
        <v>40757.131884155911</v>
      </c>
      <c r="F66" s="150">
        <f>F65+C66+D66+E66</f>
        <v>8933222.2702454459</v>
      </c>
      <c r="H66" s="151">
        <f t="shared" si="36"/>
        <v>5.5E-2</v>
      </c>
      <c r="J66" s="148">
        <f t="shared" si="35"/>
        <v>43683</v>
      </c>
      <c r="L66" s="150">
        <f>O58</f>
        <v>-189869</v>
      </c>
      <c r="M66" s="150">
        <f>(O65+O$58+(N66)/2)*Q66/12</f>
        <v>2603.5861476275045</v>
      </c>
      <c r="O66" s="150">
        <f>O65+L66+M66+N66</f>
        <v>570658.74562999222</v>
      </c>
      <c r="Q66" s="151">
        <f t="shared" si="37"/>
        <v>5.5E-2</v>
      </c>
    </row>
    <row r="67" spans="1:17">
      <c r="A67" s="148">
        <f t="shared" si="38"/>
        <v>43714</v>
      </c>
      <c r="C67" s="150">
        <f>F58</f>
        <v>0</v>
      </c>
      <c r="D67" s="150">
        <f t="shared" si="40"/>
        <v>40943.935405291624</v>
      </c>
      <c r="F67" s="150">
        <f>F66+C67+D67+E67</f>
        <v>8974166.2056507375</v>
      </c>
      <c r="H67" s="151">
        <f t="shared" si="36"/>
        <v>5.5E-2</v>
      </c>
      <c r="J67" s="148">
        <f t="shared" si="35"/>
        <v>43714</v>
      </c>
      <c r="L67" s="150"/>
      <c r="M67" s="150">
        <f>(O66+(L67+N67)/2)*Q67/12</f>
        <v>2615.5192508041309</v>
      </c>
      <c r="O67" s="150">
        <f t="shared" si="39"/>
        <v>573274.26488079631</v>
      </c>
      <c r="Q67" s="151">
        <f t="shared" si="37"/>
        <v>5.5E-2</v>
      </c>
    </row>
    <row r="68" spans="1:17">
      <c r="A68" s="148">
        <f t="shared" si="38"/>
        <v>43745</v>
      </c>
      <c r="C68" s="150"/>
      <c r="D68" s="150">
        <f>(F67+(E68)/2)*H68/12</f>
        <v>40533.317362189162</v>
      </c>
      <c r="F68" s="150">
        <f t="shared" si="41"/>
        <v>9014699.5230129268</v>
      </c>
      <c r="H68" s="151">
        <f t="shared" si="36"/>
        <v>5.4199999999999998E-2</v>
      </c>
      <c r="J68" s="148">
        <f t="shared" si="35"/>
        <v>43745</v>
      </c>
      <c r="L68" s="150"/>
      <c r="M68" s="150">
        <f>(O67+(L68+N68)/2)*Q68/12</f>
        <v>2589.28876304493</v>
      </c>
      <c r="O68" s="150">
        <f t="shared" si="39"/>
        <v>575863.5536438413</v>
      </c>
      <c r="Q68" s="151">
        <f t="shared" si="37"/>
        <v>5.4199999999999998E-2</v>
      </c>
    </row>
    <row r="69" spans="1:17">
      <c r="A69" s="148">
        <f t="shared" si="38"/>
        <v>43776</v>
      </c>
      <c r="B69" s="72" t="s">
        <v>135</v>
      </c>
      <c r="C69" s="150">
        <f>-F68</f>
        <v>-9014699.5230129268</v>
      </c>
      <c r="D69" s="150">
        <v>0</v>
      </c>
      <c r="E69" s="181"/>
      <c r="F69" s="150">
        <f t="shared" si="41"/>
        <v>0</v>
      </c>
      <c r="H69" s="151">
        <f t="shared" si="36"/>
        <v>5.4199999999999998E-2</v>
      </c>
      <c r="J69" s="148">
        <f t="shared" si="35"/>
        <v>43776</v>
      </c>
      <c r="K69" s="72" t="s">
        <v>135</v>
      </c>
      <c r="L69" s="150">
        <f>-O68</f>
        <v>-575863.5536438413</v>
      </c>
      <c r="M69" s="150">
        <v>0</v>
      </c>
      <c r="N69" s="181"/>
      <c r="O69" s="150">
        <f>O68+L69+M69+N69</f>
        <v>0</v>
      </c>
      <c r="Q69" s="151">
        <f t="shared" si="37"/>
        <v>5.4199999999999998E-2</v>
      </c>
    </row>
    <row r="70" spans="1:17">
      <c r="A70" s="148">
        <f t="shared" si="38"/>
        <v>43807</v>
      </c>
      <c r="B70" s="149"/>
      <c r="C70" s="150"/>
      <c r="D70" s="150">
        <f t="shared" ref="D70" si="43">(F69+(E70)/2)*H70/12</f>
        <v>0</v>
      </c>
      <c r="E70" s="21"/>
      <c r="F70" s="150">
        <f t="shared" si="41"/>
        <v>0</v>
      </c>
      <c r="H70" s="151">
        <f t="shared" si="36"/>
        <v>5.4199999999999998E-2</v>
      </c>
      <c r="J70" s="148">
        <f t="shared" si="35"/>
        <v>43807</v>
      </c>
      <c r="K70" s="149"/>
      <c r="L70" s="150"/>
      <c r="M70" s="150">
        <f t="shared" ref="M70" si="44">(O69+(L70+N70)/2)*Q70/12</f>
        <v>0</v>
      </c>
      <c r="N70" s="21"/>
      <c r="O70" s="150">
        <f t="shared" si="39"/>
        <v>0</v>
      </c>
      <c r="Q70" s="151">
        <f t="shared" si="37"/>
        <v>5.4199999999999998E-2</v>
      </c>
    </row>
    <row r="71" spans="1:17" ht="30.75" customHeight="1">
      <c r="B71" s="154" t="s">
        <v>135</v>
      </c>
      <c r="C71" s="247" t="s">
        <v>141</v>
      </c>
      <c r="D71" s="247"/>
      <c r="E71" s="247"/>
      <c r="F71" s="247"/>
      <c r="G71" s="247"/>
      <c r="H71" s="247"/>
      <c r="K71" s="154" t="s">
        <v>135</v>
      </c>
      <c r="L71" s="247" t="s">
        <v>141</v>
      </c>
      <c r="M71" s="247"/>
      <c r="N71" s="247"/>
      <c r="O71" s="247"/>
      <c r="P71" s="247"/>
      <c r="Q71" s="247"/>
    </row>
    <row r="72" spans="1:17" ht="14.45" customHeight="1">
      <c r="B72" s="154"/>
      <c r="C72" s="237"/>
      <c r="D72" s="237"/>
      <c r="E72" s="237"/>
      <c r="F72" s="237"/>
      <c r="G72" s="237"/>
      <c r="H72" s="237"/>
      <c r="O72" s="150"/>
    </row>
    <row r="73" spans="1:17">
      <c r="A73" s="238">
        <v>182339</v>
      </c>
      <c r="B73" s="238" t="s">
        <v>53</v>
      </c>
      <c r="C73" s="239" t="s">
        <v>101</v>
      </c>
      <c r="D73" s="239" t="s">
        <v>102</v>
      </c>
      <c r="E73" s="239"/>
      <c r="F73" s="150" t="s">
        <v>104</v>
      </c>
      <c r="H73" s="239" t="s">
        <v>102</v>
      </c>
      <c r="J73" s="238">
        <f>A73</f>
        <v>182339</v>
      </c>
      <c r="K73" s="238" t="s">
        <v>54</v>
      </c>
      <c r="L73" s="239" t="s">
        <v>101</v>
      </c>
      <c r="M73" s="239" t="s">
        <v>102</v>
      </c>
      <c r="N73" s="239"/>
      <c r="O73" s="150" t="s">
        <v>104</v>
      </c>
      <c r="Q73" s="239" t="s">
        <v>102</v>
      </c>
    </row>
    <row r="74" spans="1:17">
      <c r="A74" s="242" t="s">
        <v>169</v>
      </c>
      <c r="B74" s="169" t="s">
        <v>166</v>
      </c>
      <c r="C74" s="239" t="s">
        <v>105</v>
      </c>
      <c r="D74" s="239" t="s">
        <v>106</v>
      </c>
      <c r="E74" s="239" t="s">
        <v>107</v>
      </c>
      <c r="F74" s="150" t="s">
        <v>103</v>
      </c>
      <c r="H74" s="239" t="s">
        <v>108</v>
      </c>
      <c r="J74" s="169" t="str">
        <f>A74</f>
        <v>Non-Res Prior Year Pending</v>
      </c>
      <c r="K74" s="169" t="s">
        <v>166</v>
      </c>
      <c r="L74" s="239" t="s">
        <v>105</v>
      </c>
      <c r="M74" s="239" t="s">
        <v>106</v>
      </c>
      <c r="N74" s="239" t="s">
        <v>107</v>
      </c>
      <c r="O74" s="150" t="s">
        <v>103</v>
      </c>
      <c r="Q74" s="239" t="s">
        <v>108</v>
      </c>
    </row>
    <row r="75" spans="1:17" ht="14.45" customHeight="1">
      <c r="A75" s="148">
        <f>$A$25</f>
        <v>43435</v>
      </c>
      <c r="B75" s="149"/>
      <c r="C75" s="149"/>
      <c r="F75" s="186">
        <v>7051825</v>
      </c>
      <c r="J75" s="148">
        <f>A75</f>
        <v>43435</v>
      </c>
      <c r="K75" s="149"/>
      <c r="L75" s="149"/>
      <c r="O75" s="186">
        <v>984241.48</v>
      </c>
    </row>
    <row r="76" spans="1:17" ht="14.45" customHeight="1">
      <c r="A76" s="173" t="str">
        <f>A58</f>
        <v>Provision for Rate Refund - Earnings Sharing Per Rate Adjustment Filing</v>
      </c>
      <c r="B76" s="149"/>
      <c r="C76" s="149"/>
      <c r="F76" s="192">
        <v>0</v>
      </c>
      <c r="J76" s="173" t="str">
        <f t="shared" ref="J76:J88" si="45">A76</f>
        <v>Provision for Rate Refund - Earnings Sharing Per Rate Adjustment Filing</v>
      </c>
      <c r="K76" s="149"/>
      <c r="L76" s="149"/>
      <c r="O76" s="192">
        <v>-59185</v>
      </c>
    </row>
    <row r="77" spans="1:17" ht="14.45" customHeight="1">
      <c r="A77" s="148">
        <f>A75+31</f>
        <v>43466</v>
      </c>
      <c r="C77" s="150"/>
      <c r="D77" s="150">
        <f>(F75+F$76+(E77)/2)*H77/12</f>
        <v>30440.377916666665</v>
      </c>
      <c r="F77" s="150">
        <f>F75+C77+D77+E77</f>
        <v>7082265.3779166667</v>
      </c>
      <c r="H77" s="151">
        <f t="shared" ref="H77:H88" si="46">H26</f>
        <v>5.1799999999999999E-2</v>
      </c>
      <c r="J77" s="148">
        <f t="shared" si="45"/>
        <v>43466</v>
      </c>
      <c r="L77" s="150"/>
      <c r="M77" s="150">
        <f>(O75+O$76+(N77)/2)*Q77/12</f>
        <v>3993.1604719999996</v>
      </c>
      <c r="O77" s="150">
        <f>O75+L77+M77+N77</f>
        <v>988234.640472</v>
      </c>
      <c r="Q77" s="151">
        <f t="shared" ref="Q77:Q88" si="47">H77</f>
        <v>5.1799999999999999E-2</v>
      </c>
    </row>
    <row r="78" spans="1:17" ht="14.45" customHeight="1">
      <c r="A78" s="148">
        <f t="shared" ref="A78:A88" si="48">A77+31</f>
        <v>43497</v>
      </c>
      <c r="C78" s="150"/>
      <c r="D78" s="150">
        <f>(F77+F$76+(E78)/2)*H78/12</f>
        <v>30571.778881340277</v>
      </c>
      <c r="F78" s="150">
        <f>F77+C78+D78+E78</f>
        <v>7112837.156798007</v>
      </c>
      <c r="H78" s="151">
        <f t="shared" si="46"/>
        <v>5.1799999999999999E-2</v>
      </c>
      <c r="J78" s="148">
        <f t="shared" si="45"/>
        <v>43497</v>
      </c>
      <c r="L78" s="150"/>
      <c r="M78" s="150">
        <f>(O77+O$76+(N78)/2)*Q78/12</f>
        <v>4010.3976147041335</v>
      </c>
      <c r="O78" s="150">
        <f>O77+L78+M78+N78</f>
        <v>992245.03808670409</v>
      </c>
      <c r="Q78" s="151">
        <f t="shared" si="47"/>
        <v>5.1799999999999999E-2</v>
      </c>
    </row>
    <row r="79" spans="1:17" ht="14.45" customHeight="1">
      <c r="A79" s="148">
        <f t="shared" si="48"/>
        <v>43528</v>
      </c>
      <c r="C79" s="150"/>
      <c r="D79" s="150">
        <f t="shared" ref="D79:D85" si="49">(F78+F$76+(E79)/2)*H79/12</f>
        <v>30703.747060178062</v>
      </c>
      <c r="F79" s="150">
        <f>F78+C79+D79+E79</f>
        <v>7143540.9038581848</v>
      </c>
      <c r="H79" s="151">
        <f t="shared" si="46"/>
        <v>5.1799999999999999E-2</v>
      </c>
      <c r="J79" s="148">
        <f t="shared" si="45"/>
        <v>43528</v>
      </c>
      <c r="L79" s="150"/>
      <c r="M79" s="150">
        <f t="shared" ref="M79:M84" si="50">(O78+O$76+(N79)/2)*Q79/12</f>
        <v>4027.7091644076058</v>
      </c>
      <c r="O79" s="150">
        <f>O78+L79+M79+N79</f>
        <v>996272.74725111166</v>
      </c>
      <c r="Q79" s="151">
        <f t="shared" si="47"/>
        <v>5.1799999999999999E-2</v>
      </c>
    </row>
    <row r="80" spans="1:17" ht="14.45" customHeight="1">
      <c r="A80" s="148">
        <f t="shared" si="48"/>
        <v>43559</v>
      </c>
      <c r="C80" s="150"/>
      <c r="D80" s="150">
        <f t="shared" si="49"/>
        <v>32443.581605022588</v>
      </c>
      <c r="F80" s="150">
        <f t="shared" ref="F80:F88" si="51">F79+C80+D80+E80</f>
        <v>7175984.4854632076</v>
      </c>
      <c r="H80" s="151">
        <f t="shared" si="46"/>
        <v>5.45E-2</v>
      </c>
      <c r="J80" s="148">
        <f t="shared" si="45"/>
        <v>43559</v>
      </c>
      <c r="L80" s="150"/>
      <c r="M80" s="150">
        <f t="shared" si="50"/>
        <v>4255.9401854321322</v>
      </c>
      <c r="O80" s="150">
        <f t="shared" ref="O80:O86" si="52">O79+L80+M80+N80</f>
        <v>1000528.6874365438</v>
      </c>
      <c r="Q80" s="151">
        <f t="shared" si="47"/>
        <v>5.45E-2</v>
      </c>
    </row>
    <row r="81" spans="1:17" ht="14.45" customHeight="1">
      <c r="A81" s="148">
        <f t="shared" si="48"/>
        <v>43590</v>
      </c>
      <c r="C81" s="150"/>
      <c r="D81" s="150">
        <f t="shared" si="49"/>
        <v>32590.929538145399</v>
      </c>
      <c r="F81" s="150">
        <f t="shared" si="51"/>
        <v>7208575.4150013532</v>
      </c>
      <c r="H81" s="151">
        <f t="shared" si="46"/>
        <v>5.45E-2</v>
      </c>
      <c r="J81" s="148">
        <f t="shared" si="45"/>
        <v>43590</v>
      </c>
      <c r="L81" s="150"/>
      <c r="M81" s="150">
        <f t="shared" si="50"/>
        <v>4275.2692471076361</v>
      </c>
      <c r="O81" s="150">
        <f t="shared" si="52"/>
        <v>1004803.9566836514</v>
      </c>
      <c r="Q81" s="151">
        <f t="shared" si="47"/>
        <v>5.45E-2</v>
      </c>
    </row>
    <row r="82" spans="1:17" ht="14.45" customHeight="1">
      <c r="A82" s="148">
        <f t="shared" si="48"/>
        <v>43621</v>
      </c>
      <c r="C82" s="150"/>
      <c r="D82" s="150">
        <f t="shared" si="49"/>
        <v>32738.946676464479</v>
      </c>
      <c r="F82" s="150">
        <f t="shared" si="51"/>
        <v>7241314.361677818</v>
      </c>
      <c r="H82" s="151">
        <f t="shared" si="46"/>
        <v>5.45E-2</v>
      </c>
      <c r="J82" s="148">
        <f t="shared" si="45"/>
        <v>43621</v>
      </c>
      <c r="L82" s="150"/>
      <c r="M82" s="150">
        <f t="shared" si="50"/>
        <v>4294.6860949382508</v>
      </c>
      <c r="O82" s="150">
        <f t="shared" si="52"/>
        <v>1009098.6427785896</v>
      </c>
      <c r="Q82" s="151">
        <f t="shared" si="47"/>
        <v>5.45E-2</v>
      </c>
    </row>
    <row r="83" spans="1:17" ht="14.45" customHeight="1">
      <c r="A83" s="148">
        <f t="shared" si="48"/>
        <v>43652</v>
      </c>
      <c r="C83" s="150"/>
      <c r="D83" s="150">
        <f t="shared" si="49"/>
        <v>33189.357491023336</v>
      </c>
      <c r="F83" s="150">
        <f>F82+C83+D83+E83</f>
        <v>7274503.7191688409</v>
      </c>
      <c r="H83" s="151">
        <f t="shared" si="46"/>
        <v>5.5E-2</v>
      </c>
      <c r="J83" s="148">
        <f t="shared" si="45"/>
        <v>43652</v>
      </c>
      <c r="L83" s="150"/>
      <c r="M83" s="150">
        <f t="shared" si="50"/>
        <v>4353.7708627352022</v>
      </c>
      <c r="O83" s="150">
        <f t="shared" si="52"/>
        <v>1013452.4136413248</v>
      </c>
      <c r="Q83" s="151">
        <f t="shared" si="47"/>
        <v>5.5E-2</v>
      </c>
    </row>
    <row r="84" spans="1:17" ht="14.45" customHeight="1">
      <c r="A84" s="148">
        <f>A83+31</f>
        <v>43683</v>
      </c>
      <c r="C84" s="150"/>
      <c r="D84" s="150">
        <f t="shared" si="49"/>
        <v>33341.475379523858</v>
      </c>
      <c r="F84" s="150">
        <f>F83+C84+D84+E84</f>
        <v>7307845.1945483647</v>
      </c>
      <c r="H84" s="151">
        <f t="shared" si="46"/>
        <v>5.5E-2</v>
      </c>
      <c r="J84" s="148">
        <f t="shared" si="45"/>
        <v>43683</v>
      </c>
      <c r="L84" s="150">
        <f>O76</f>
        <v>-59185</v>
      </c>
      <c r="M84" s="150">
        <f t="shared" si="50"/>
        <v>4373.7256458560723</v>
      </c>
      <c r="O84" s="150">
        <f>O83+L84+M84+N84</f>
        <v>958641.13928718097</v>
      </c>
      <c r="Q84" s="151">
        <f t="shared" si="47"/>
        <v>5.5E-2</v>
      </c>
    </row>
    <row r="85" spans="1:17">
      <c r="A85" s="148">
        <f t="shared" si="48"/>
        <v>43714</v>
      </c>
      <c r="C85" s="150">
        <f>F76</f>
        <v>0</v>
      </c>
      <c r="D85" s="150">
        <f t="shared" si="49"/>
        <v>33494.290475013338</v>
      </c>
      <c r="F85" s="150">
        <f>F84+C85+D85+E85</f>
        <v>7341339.4850233784</v>
      </c>
      <c r="H85" s="151">
        <f t="shared" si="46"/>
        <v>5.5E-2</v>
      </c>
      <c r="J85" s="148">
        <f t="shared" si="45"/>
        <v>43714</v>
      </c>
      <c r="L85" s="150"/>
      <c r="M85" s="150">
        <f>(O84+(N85)/2)*Q85/12</f>
        <v>4393.7718883995794</v>
      </c>
      <c r="O85" s="150">
        <f t="shared" ref="O85" si="53">O84+L85+M85+N85</f>
        <v>963034.91117558058</v>
      </c>
      <c r="Q85" s="151">
        <f t="shared" si="47"/>
        <v>5.5E-2</v>
      </c>
    </row>
    <row r="86" spans="1:17">
      <c r="A86" s="148">
        <f t="shared" si="48"/>
        <v>43745</v>
      </c>
      <c r="C86" s="150"/>
      <c r="D86" s="150">
        <f>(F85+(C86+E86)/2)*H86/12</f>
        <v>33158.383340688924</v>
      </c>
      <c r="F86" s="150">
        <f>F85+C86+D86+E86</f>
        <v>7374497.8683640677</v>
      </c>
      <c r="H86" s="151">
        <f t="shared" si="46"/>
        <v>5.4199999999999998E-2</v>
      </c>
      <c r="J86" s="148">
        <f t="shared" si="45"/>
        <v>43745</v>
      </c>
      <c r="L86" s="150"/>
      <c r="M86" s="150">
        <f>(O85+(L86+N86)/2)*Q86/12</f>
        <v>4349.7076821430392</v>
      </c>
      <c r="O86" s="150">
        <f t="shared" si="52"/>
        <v>967384.61885772366</v>
      </c>
      <c r="Q86" s="151">
        <f t="shared" si="47"/>
        <v>5.4199999999999998E-2</v>
      </c>
    </row>
    <row r="87" spans="1:17">
      <c r="A87" s="148">
        <f t="shared" si="48"/>
        <v>43776</v>
      </c>
      <c r="B87" s="72" t="s">
        <v>135</v>
      </c>
      <c r="C87" s="150">
        <f>-F86</f>
        <v>-7374497.8683640677</v>
      </c>
      <c r="D87" s="150">
        <f>(F86+C87+(E87)/2)*H87/12</f>
        <v>0</v>
      </c>
      <c r="E87" s="182"/>
      <c r="F87" s="150">
        <f t="shared" si="51"/>
        <v>0</v>
      </c>
      <c r="H87" s="151">
        <f t="shared" si="46"/>
        <v>5.4199999999999998E-2</v>
      </c>
      <c r="J87" s="148">
        <f t="shared" si="45"/>
        <v>43776</v>
      </c>
      <c r="K87" s="72" t="s">
        <v>135</v>
      </c>
      <c r="L87" s="150">
        <f>-O86</f>
        <v>-967384.61885772366</v>
      </c>
      <c r="M87" s="150">
        <f>(O86+L87+(N87)/2)*Q87/12</f>
        <v>0</v>
      </c>
      <c r="N87" s="183"/>
      <c r="O87" s="150">
        <f>O86+L87+M87+N87</f>
        <v>0</v>
      </c>
      <c r="Q87" s="151">
        <f t="shared" si="47"/>
        <v>5.4199999999999998E-2</v>
      </c>
    </row>
    <row r="88" spans="1:17">
      <c r="A88" s="148">
        <f t="shared" si="48"/>
        <v>43807</v>
      </c>
      <c r="C88" s="150"/>
      <c r="D88" s="150">
        <f t="shared" ref="D88" si="54">(F87+(C88+E88)/2)*H88/12</f>
        <v>0</v>
      </c>
      <c r="F88" s="150">
        <f t="shared" si="51"/>
        <v>0</v>
      </c>
      <c r="H88" s="151">
        <f t="shared" si="46"/>
        <v>5.4199999999999998E-2</v>
      </c>
      <c r="J88" s="148">
        <f t="shared" si="45"/>
        <v>43807</v>
      </c>
      <c r="L88" s="150"/>
      <c r="M88" s="150">
        <f t="shared" ref="M88" si="55">(O87+(L88+N88)/2)*Q88/12</f>
        <v>0</v>
      </c>
      <c r="O88" s="150">
        <f t="shared" ref="O88" si="56">O87+L88+M88+N88</f>
        <v>0</v>
      </c>
      <c r="Q88" s="151">
        <f t="shared" si="47"/>
        <v>5.4199999999999998E-2</v>
      </c>
    </row>
    <row r="89" spans="1:17" ht="29.25" customHeight="1">
      <c r="A89" s="148"/>
      <c r="B89" s="154" t="s">
        <v>135</v>
      </c>
      <c r="C89" s="247" t="s">
        <v>141</v>
      </c>
      <c r="D89" s="247"/>
      <c r="E89" s="247"/>
      <c r="F89" s="247"/>
      <c r="G89" s="247"/>
      <c r="H89" s="247"/>
      <c r="J89" s="148"/>
      <c r="K89" s="154" t="s">
        <v>135</v>
      </c>
      <c r="L89" s="247" t="s">
        <v>141</v>
      </c>
      <c r="M89" s="247"/>
      <c r="N89" s="247"/>
      <c r="O89" s="247"/>
      <c r="P89" s="247"/>
      <c r="Q89" s="247"/>
    </row>
    <row r="90" spans="1:17" ht="14.45" customHeight="1">
      <c r="A90" s="148"/>
      <c r="B90" s="154"/>
      <c r="C90" s="237"/>
      <c r="D90" s="237"/>
      <c r="E90" s="237"/>
      <c r="F90" s="237"/>
      <c r="G90" s="237"/>
      <c r="H90" s="237"/>
      <c r="J90" s="148"/>
      <c r="L90" s="150"/>
      <c r="M90" s="150"/>
      <c r="O90" s="150"/>
      <c r="Q90" s="151"/>
    </row>
    <row r="91" spans="1:17">
      <c r="A91" s="238">
        <v>182328</v>
      </c>
      <c r="B91" s="238" t="s">
        <v>53</v>
      </c>
      <c r="C91" s="239" t="s">
        <v>101</v>
      </c>
      <c r="D91" s="239" t="s">
        <v>102</v>
      </c>
      <c r="E91" s="239"/>
      <c r="F91" s="150" t="s">
        <v>104</v>
      </c>
      <c r="H91" s="239" t="s">
        <v>102</v>
      </c>
      <c r="J91" s="238">
        <f>A91</f>
        <v>182328</v>
      </c>
      <c r="K91" s="238" t="s">
        <v>54</v>
      </c>
      <c r="L91" s="239" t="s">
        <v>101</v>
      </c>
      <c r="M91" s="239" t="s">
        <v>102</v>
      </c>
      <c r="N91" s="239"/>
      <c r="O91" s="150" t="s">
        <v>104</v>
      </c>
      <c r="Q91" s="239" t="s">
        <v>102</v>
      </c>
    </row>
    <row r="92" spans="1:17">
      <c r="A92" s="169" t="s">
        <v>170</v>
      </c>
      <c r="B92" s="169" t="s">
        <v>166</v>
      </c>
      <c r="C92" s="239" t="s">
        <v>105</v>
      </c>
      <c r="D92" s="239" t="s">
        <v>106</v>
      </c>
      <c r="E92" s="239" t="s">
        <v>107</v>
      </c>
      <c r="F92" s="150" t="s">
        <v>103</v>
      </c>
      <c r="H92" s="239" t="s">
        <v>108</v>
      </c>
      <c r="J92" s="169" t="str">
        <f>A92</f>
        <v xml:space="preserve">Res Surcharge Approved </v>
      </c>
      <c r="K92" s="169" t="s">
        <v>166</v>
      </c>
      <c r="L92" s="239" t="s">
        <v>105</v>
      </c>
      <c r="M92" s="239" t="s">
        <v>106</v>
      </c>
      <c r="N92" s="239" t="s">
        <v>107</v>
      </c>
      <c r="O92" s="150" t="s">
        <v>103</v>
      </c>
      <c r="Q92" s="239" t="s">
        <v>108</v>
      </c>
    </row>
    <row r="93" spans="1:17" ht="14.45" customHeight="1">
      <c r="A93" s="148">
        <f>$A$25</f>
        <v>43435</v>
      </c>
      <c r="B93" s="149"/>
      <c r="C93" s="149"/>
      <c r="F93" s="243">
        <v>0</v>
      </c>
      <c r="J93" s="148">
        <f t="shared" ref="J93:J105" si="57">A93</f>
        <v>43435</v>
      </c>
      <c r="K93" s="149"/>
      <c r="L93" s="149"/>
      <c r="O93" s="243">
        <v>0</v>
      </c>
    </row>
    <row r="94" spans="1:17" ht="14.45" customHeight="1">
      <c r="A94" s="148">
        <f>A93+31</f>
        <v>43466</v>
      </c>
      <c r="C94" s="153"/>
      <c r="D94" s="150">
        <f t="shared" ref="D94:D103" si="58">(F93+(E94)/2)*H94/12</f>
        <v>0</v>
      </c>
      <c r="E94" s="192"/>
      <c r="F94" s="153">
        <f t="shared" ref="F94:F105" si="59">F93+C94+D94+E94</f>
        <v>0</v>
      </c>
      <c r="G94" s="37"/>
      <c r="H94" s="193">
        <f t="shared" ref="H94:H102" si="60">H26</f>
        <v>5.1799999999999999E-2</v>
      </c>
      <c r="I94" s="37"/>
      <c r="J94" s="194">
        <f t="shared" si="57"/>
        <v>43466</v>
      </c>
      <c r="K94" s="37"/>
      <c r="L94" s="153"/>
      <c r="M94" s="150">
        <f t="shared" ref="M94:M105" si="61">(O93+(N94)/2)*Q94/12</f>
        <v>0</v>
      </c>
      <c r="N94" s="192"/>
      <c r="O94" s="150">
        <f t="shared" ref="O94:O105" si="62">O93+L94+M94+N94</f>
        <v>0</v>
      </c>
      <c r="Q94" s="151">
        <f>H94</f>
        <v>5.1799999999999999E-2</v>
      </c>
    </row>
    <row r="95" spans="1:17" ht="14.45" customHeight="1">
      <c r="A95" s="148">
        <f t="shared" ref="A95:A105" si="63">A94+31</f>
        <v>43497</v>
      </c>
      <c r="C95" s="153"/>
      <c r="D95" s="150">
        <f t="shared" si="58"/>
        <v>0</v>
      </c>
      <c r="E95" s="192"/>
      <c r="F95" s="153">
        <f t="shared" si="59"/>
        <v>0</v>
      </c>
      <c r="G95" s="37"/>
      <c r="H95" s="193">
        <f t="shared" si="60"/>
        <v>5.1799999999999999E-2</v>
      </c>
      <c r="I95" s="37"/>
      <c r="J95" s="194">
        <f t="shared" si="57"/>
        <v>43497</v>
      </c>
      <c r="K95" s="37"/>
      <c r="L95" s="153"/>
      <c r="M95" s="150">
        <f t="shared" si="61"/>
        <v>0</v>
      </c>
      <c r="N95" s="192"/>
      <c r="O95" s="150">
        <f t="shared" si="62"/>
        <v>0</v>
      </c>
      <c r="Q95" s="151">
        <f t="shared" ref="Q95:Q105" si="64">H95</f>
        <v>5.1799999999999999E-2</v>
      </c>
    </row>
    <row r="96" spans="1:17" ht="14.45" customHeight="1">
      <c r="A96" s="148">
        <f t="shared" si="63"/>
        <v>43528</v>
      </c>
      <c r="C96" s="153"/>
      <c r="D96" s="150">
        <f t="shared" si="58"/>
        <v>0</v>
      </c>
      <c r="E96" s="192"/>
      <c r="F96" s="153">
        <f t="shared" si="59"/>
        <v>0</v>
      </c>
      <c r="G96" s="37"/>
      <c r="H96" s="193">
        <f t="shared" si="60"/>
        <v>5.1799999999999999E-2</v>
      </c>
      <c r="I96" s="37"/>
      <c r="J96" s="194">
        <f t="shared" si="57"/>
        <v>43528</v>
      </c>
      <c r="K96" s="37"/>
      <c r="L96" s="153"/>
      <c r="M96" s="150">
        <f t="shared" si="61"/>
        <v>0</v>
      </c>
      <c r="N96" s="192"/>
      <c r="O96" s="150">
        <f t="shared" si="62"/>
        <v>0</v>
      </c>
      <c r="Q96" s="151">
        <f t="shared" si="64"/>
        <v>5.1799999999999999E-2</v>
      </c>
    </row>
    <row r="97" spans="1:20" ht="14.45" customHeight="1">
      <c r="A97" s="148">
        <f t="shared" si="63"/>
        <v>43559</v>
      </c>
      <c r="C97" s="153"/>
      <c r="D97" s="150">
        <f t="shared" si="58"/>
        <v>0</v>
      </c>
      <c r="E97" s="192"/>
      <c r="F97" s="153">
        <f>F96+C97+D97+E97</f>
        <v>0</v>
      </c>
      <c r="G97" s="37"/>
      <c r="H97" s="193">
        <f t="shared" si="60"/>
        <v>5.45E-2</v>
      </c>
      <c r="I97" s="37"/>
      <c r="J97" s="194">
        <f t="shared" si="57"/>
        <v>43559</v>
      </c>
      <c r="K97" s="37"/>
      <c r="L97" s="153"/>
      <c r="M97" s="150">
        <f t="shared" si="61"/>
        <v>0</v>
      </c>
      <c r="N97" s="192"/>
      <c r="O97" s="150">
        <f t="shared" si="62"/>
        <v>0</v>
      </c>
      <c r="Q97" s="151">
        <f t="shared" si="64"/>
        <v>5.45E-2</v>
      </c>
    </row>
    <row r="98" spans="1:20" ht="14.45" customHeight="1">
      <c r="A98" s="148">
        <f t="shared" si="63"/>
        <v>43590</v>
      </c>
      <c r="C98" s="153"/>
      <c r="D98" s="150">
        <f t="shared" si="58"/>
        <v>0</v>
      </c>
      <c r="E98" s="192"/>
      <c r="F98" s="153">
        <f>F97+C98+D98+E98</f>
        <v>0</v>
      </c>
      <c r="G98" s="37"/>
      <c r="H98" s="193">
        <f t="shared" si="60"/>
        <v>5.45E-2</v>
      </c>
      <c r="I98" s="37"/>
      <c r="J98" s="194">
        <f t="shared" si="57"/>
        <v>43590</v>
      </c>
      <c r="K98" s="37"/>
      <c r="L98" s="153"/>
      <c r="M98" s="150">
        <f t="shared" si="61"/>
        <v>0</v>
      </c>
      <c r="N98" s="192"/>
      <c r="O98" s="150">
        <f t="shared" si="62"/>
        <v>0</v>
      </c>
      <c r="Q98" s="151">
        <f t="shared" si="64"/>
        <v>5.45E-2</v>
      </c>
    </row>
    <row r="99" spans="1:20" ht="14.45" customHeight="1">
      <c r="A99" s="148">
        <f t="shared" si="63"/>
        <v>43621</v>
      </c>
      <c r="C99" s="153"/>
      <c r="D99" s="150">
        <f t="shared" si="58"/>
        <v>0</v>
      </c>
      <c r="E99" s="192"/>
      <c r="F99" s="153">
        <f t="shared" si="59"/>
        <v>0</v>
      </c>
      <c r="G99" s="37"/>
      <c r="H99" s="193">
        <f t="shared" si="60"/>
        <v>5.45E-2</v>
      </c>
      <c r="I99" s="37"/>
      <c r="J99" s="194">
        <f t="shared" si="57"/>
        <v>43621</v>
      </c>
      <c r="K99" s="37"/>
      <c r="L99" s="153"/>
      <c r="M99" s="150">
        <f t="shared" si="61"/>
        <v>0</v>
      </c>
      <c r="N99" s="192"/>
      <c r="O99" s="150">
        <f t="shared" si="62"/>
        <v>0</v>
      </c>
      <c r="Q99" s="151">
        <f t="shared" si="64"/>
        <v>5.45E-2</v>
      </c>
    </row>
    <row r="100" spans="1:20" ht="14.45" customHeight="1">
      <c r="A100" s="148">
        <f t="shared" si="63"/>
        <v>43652</v>
      </c>
      <c r="C100" s="153"/>
      <c r="D100" s="150">
        <f t="shared" si="58"/>
        <v>0</v>
      </c>
      <c r="E100" s="192"/>
      <c r="F100" s="153">
        <f t="shared" si="59"/>
        <v>0</v>
      </c>
      <c r="G100" s="37"/>
      <c r="H100" s="193">
        <f t="shared" si="60"/>
        <v>5.5E-2</v>
      </c>
      <c r="I100" s="37"/>
      <c r="J100" s="194">
        <f t="shared" si="57"/>
        <v>43652</v>
      </c>
      <c r="K100" s="37"/>
      <c r="L100" s="153"/>
      <c r="M100" s="150">
        <f t="shared" si="61"/>
        <v>0</v>
      </c>
      <c r="N100" s="192"/>
      <c r="O100" s="150">
        <f t="shared" si="62"/>
        <v>0</v>
      </c>
      <c r="Q100" s="151">
        <f t="shared" si="64"/>
        <v>5.5E-2</v>
      </c>
    </row>
    <row r="101" spans="1:20" ht="14.45" customHeight="1">
      <c r="A101" s="148">
        <f t="shared" si="63"/>
        <v>43683</v>
      </c>
      <c r="C101" s="153"/>
      <c r="D101" s="150">
        <f t="shared" si="58"/>
        <v>0</v>
      </c>
      <c r="E101" s="192"/>
      <c r="F101" s="153">
        <f>F100+C101+D101+E101</f>
        <v>0</v>
      </c>
      <c r="G101" s="37"/>
      <c r="H101" s="193">
        <f t="shared" si="60"/>
        <v>5.5E-2</v>
      </c>
      <c r="I101" s="37"/>
      <c r="J101" s="194">
        <f t="shared" si="57"/>
        <v>43683</v>
      </c>
      <c r="K101" s="37"/>
      <c r="L101" s="153"/>
      <c r="M101" s="150">
        <f t="shared" si="61"/>
        <v>0</v>
      </c>
      <c r="N101" s="192"/>
      <c r="O101" s="150">
        <f t="shared" si="62"/>
        <v>0</v>
      </c>
      <c r="Q101" s="151">
        <f t="shared" si="64"/>
        <v>5.5E-2</v>
      </c>
    </row>
    <row r="102" spans="1:20">
      <c r="A102" s="148">
        <f t="shared" si="63"/>
        <v>43714</v>
      </c>
      <c r="C102" s="153"/>
      <c r="D102" s="150">
        <f t="shared" si="58"/>
        <v>0</v>
      </c>
      <c r="E102" s="192"/>
      <c r="F102" s="153">
        <f>F101+C102+D102+E102</f>
        <v>0</v>
      </c>
      <c r="G102" s="37"/>
      <c r="H102" s="193">
        <f t="shared" si="60"/>
        <v>5.5E-2</v>
      </c>
      <c r="I102" s="37"/>
      <c r="J102" s="194">
        <f t="shared" si="57"/>
        <v>43714</v>
      </c>
      <c r="K102" s="37"/>
      <c r="L102" s="195"/>
      <c r="M102" s="150">
        <f t="shared" si="61"/>
        <v>0</v>
      </c>
      <c r="N102" s="192"/>
      <c r="O102" s="150">
        <f>O101+L102+M102+N102</f>
        <v>0</v>
      </c>
      <c r="Q102" s="151">
        <f t="shared" si="64"/>
        <v>5.5E-2</v>
      </c>
    </row>
    <row r="103" spans="1:20">
      <c r="A103" s="148">
        <f t="shared" si="63"/>
        <v>43745</v>
      </c>
      <c r="B103" s="37" t="s">
        <v>135</v>
      </c>
      <c r="C103" s="153">
        <f>IF(C$69&lt;0,-C$69,0)</f>
        <v>9014699.5230129268</v>
      </c>
      <c r="D103" s="150">
        <f t="shared" si="58"/>
        <v>0</v>
      </c>
      <c r="E103" s="192"/>
      <c r="F103" s="153">
        <f>F102+C103+D103+E103</f>
        <v>9014699.5230129268</v>
      </c>
      <c r="G103" s="37"/>
      <c r="H103" s="193">
        <f>H35</f>
        <v>5.4199999999999998E-2</v>
      </c>
      <c r="I103" s="37"/>
      <c r="J103" s="194">
        <f t="shared" si="57"/>
        <v>43745</v>
      </c>
      <c r="K103" s="37" t="s">
        <v>135</v>
      </c>
      <c r="L103" s="153">
        <f>IF(L$69&lt;0,-L$69,0)</f>
        <v>575863.5536438413</v>
      </c>
      <c r="M103" s="150">
        <f t="shared" si="61"/>
        <v>0</v>
      </c>
      <c r="N103" s="192"/>
      <c r="O103" s="150">
        <f>O102+L103+M103+N103</f>
        <v>575863.5536438413</v>
      </c>
      <c r="Q103" s="151">
        <f t="shared" si="64"/>
        <v>5.4199999999999998E-2</v>
      </c>
      <c r="T103" s="192"/>
    </row>
    <row r="104" spans="1:20">
      <c r="A104" s="148">
        <f t="shared" si="63"/>
        <v>43776</v>
      </c>
      <c r="B104" s="37" t="s">
        <v>135</v>
      </c>
      <c r="C104" s="153">
        <f>IF(F93&gt;0,IF(F$68+F$103-C$103&lt;0,-F$103,-C$136),IF(F$68+F$135-C$135&lt;0,-F$103,-C$136))</f>
        <v>-18222.495998545113</v>
      </c>
      <c r="D104" s="150">
        <f>(F103+C104+(E104)/2)*H104/12</f>
        <v>39401.591106681626</v>
      </c>
      <c r="E104" s="196">
        <v>-545755.04</v>
      </c>
      <c r="F104" s="153">
        <f>F103+C104+D104+E104</f>
        <v>8490123.5781210624</v>
      </c>
      <c r="G104" s="37"/>
      <c r="H104" s="193">
        <f>H103</f>
        <v>5.4199999999999998E-2</v>
      </c>
      <c r="I104" s="37"/>
      <c r="J104" s="194">
        <f t="shared" si="57"/>
        <v>43776</v>
      </c>
      <c r="K104" s="37" t="s">
        <v>135</v>
      </c>
      <c r="L104" s="153">
        <f>IF(O93&gt;0,IF(O$68+O$103-L$103&lt;0,-O$103,-L$136),IF(O$68+O$135-L$135&lt;0,-O$103,-L$136))</f>
        <v>96609.058235319244</v>
      </c>
      <c r="M104" s="150">
        <f>(O103+L104+(N104)/2)*Q104/12</f>
        <v>2878.5286303208745</v>
      </c>
      <c r="N104" s="192">
        <v>-70320</v>
      </c>
      <c r="O104" s="150">
        <f>O103+L104+M104+N104</f>
        <v>605031.14050948143</v>
      </c>
      <c r="Q104" s="151">
        <f t="shared" si="64"/>
        <v>5.4199999999999998E-2</v>
      </c>
      <c r="T104" s="192"/>
    </row>
    <row r="105" spans="1:20" ht="13.9" customHeight="1">
      <c r="A105" s="148">
        <f t="shared" si="63"/>
        <v>43807</v>
      </c>
      <c r="B105" s="149"/>
      <c r="C105" s="155"/>
      <c r="D105" s="150">
        <f t="shared" ref="D105" si="65">(F104+(E105)/2)*H105/12</f>
        <v>36797.551163180127</v>
      </c>
      <c r="E105" s="192">
        <v>-686128.56</v>
      </c>
      <c r="F105" s="153">
        <f t="shared" si="59"/>
        <v>7840792.5692842416</v>
      </c>
      <c r="G105" s="37"/>
      <c r="H105" s="193">
        <f>H104</f>
        <v>5.4199999999999998E-2</v>
      </c>
      <c r="I105" s="37"/>
      <c r="J105" s="194">
        <f t="shared" si="57"/>
        <v>43807</v>
      </c>
      <c r="K105" s="197"/>
      <c r="L105" s="156"/>
      <c r="M105" s="150">
        <f t="shared" si="61"/>
        <v>2559.276306301158</v>
      </c>
      <c r="N105" s="192">
        <v>-76803.399999999994</v>
      </c>
      <c r="O105" s="150">
        <f t="shared" si="62"/>
        <v>530787.01681578252</v>
      </c>
      <c r="Q105" s="151">
        <f t="shared" si="64"/>
        <v>5.4199999999999998E-2</v>
      </c>
      <c r="T105" s="192"/>
    </row>
    <row r="106" spans="1:20" ht="15" customHeight="1">
      <c r="E106" s="37"/>
      <c r="F106" s="153"/>
      <c r="G106" s="37"/>
      <c r="H106" s="37"/>
      <c r="I106" s="37"/>
      <c r="J106" s="37"/>
      <c r="K106" s="37"/>
      <c r="L106" s="37"/>
      <c r="M106" s="37"/>
      <c r="N106" s="37"/>
      <c r="O106" s="150"/>
    </row>
    <row r="107" spans="1:20" ht="16.149999999999999" customHeight="1">
      <c r="A107" s="238">
        <v>182338</v>
      </c>
      <c r="B107" s="238" t="s">
        <v>53</v>
      </c>
      <c r="C107" s="239" t="s">
        <v>101</v>
      </c>
      <c r="D107" s="239" t="s">
        <v>102</v>
      </c>
      <c r="E107" s="198"/>
      <c r="F107" s="153" t="s">
        <v>104</v>
      </c>
      <c r="G107" s="37"/>
      <c r="H107" s="198" t="s">
        <v>102</v>
      </c>
      <c r="I107" s="37"/>
      <c r="J107" s="238">
        <f>A107</f>
        <v>182338</v>
      </c>
      <c r="K107" s="171" t="s">
        <v>54</v>
      </c>
      <c r="L107" s="198" t="s">
        <v>101</v>
      </c>
      <c r="M107" s="198" t="s">
        <v>102</v>
      </c>
      <c r="N107" s="198"/>
      <c r="O107" s="150" t="s">
        <v>104</v>
      </c>
      <c r="Q107" s="239" t="s">
        <v>102</v>
      </c>
    </row>
    <row r="108" spans="1:20">
      <c r="A108" s="169" t="s">
        <v>171</v>
      </c>
      <c r="B108" s="169" t="s">
        <v>166</v>
      </c>
      <c r="C108" s="239" t="s">
        <v>105</v>
      </c>
      <c r="D108" s="239" t="s">
        <v>106</v>
      </c>
      <c r="E108" s="198" t="s">
        <v>107</v>
      </c>
      <c r="F108" s="153" t="s">
        <v>103</v>
      </c>
      <c r="G108" s="37"/>
      <c r="H108" s="198" t="s">
        <v>108</v>
      </c>
      <c r="I108" s="37"/>
      <c r="J108" s="49" t="str">
        <f>A108</f>
        <v xml:space="preserve">Non-Res Surcharge Approved </v>
      </c>
      <c r="K108" s="169" t="s">
        <v>166</v>
      </c>
      <c r="L108" s="198" t="s">
        <v>105</v>
      </c>
      <c r="M108" s="198" t="s">
        <v>106</v>
      </c>
      <c r="N108" s="198" t="s">
        <v>107</v>
      </c>
      <c r="O108" s="150" t="s">
        <v>103</v>
      </c>
      <c r="Q108" s="239" t="s">
        <v>108</v>
      </c>
    </row>
    <row r="109" spans="1:20">
      <c r="A109" s="148">
        <f>$A$25</f>
        <v>43435</v>
      </c>
      <c r="B109" s="149"/>
      <c r="C109" s="149"/>
      <c r="E109" s="37"/>
      <c r="F109" s="244">
        <v>931706.8</v>
      </c>
      <c r="G109" s="37"/>
      <c r="H109" s="37"/>
      <c r="I109" s="37"/>
      <c r="J109" s="194">
        <f t="shared" ref="J109:J121" si="66">A109</f>
        <v>43435</v>
      </c>
      <c r="K109" s="197"/>
      <c r="L109" s="197"/>
      <c r="M109" s="37"/>
      <c r="N109" s="37"/>
      <c r="O109" s="243">
        <v>331175.03999999998</v>
      </c>
    </row>
    <row r="110" spans="1:20">
      <c r="A110" s="148">
        <f>A109+31</f>
        <v>43466</v>
      </c>
      <c r="C110" s="150"/>
      <c r="D110" s="150">
        <f>(F109+(E110)/2)*H110/12</f>
        <v>3823.0962804999999</v>
      </c>
      <c r="E110" s="192">
        <v>-92094.86</v>
      </c>
      <c r="F110" s="153">
        <f>F109+C110+D110+E110</f>
        <v>843435.0362805</v>
      </c>
      <c r="G110" s="37"/>
      <c r="H110" s="193">
        <f t="shared" ref="H110:H121" si="67">H26</f>
        <v>5.1799999999999999E-2</v>
      </c>
      <c r="I110" s="37"/>
      <c r="J110" s="194">
        <f t="shared" si="66"/>
        <v>43466</v>
      </c>
      <c r="K110" s="37"/>
      <c r="L110" s="153"/>
      <c r="M110" s="150">
        <f>(O109+(N110)/2)*Q110/12</f>
        <v>1312.9346276666665</v>
      </c>
      <c r="N110" s="192">
        <v>-54040.6</v>
      </c>
      <c r="O110" s="150">
        <f>O109+L110+M110+N110</f>
        <v>278447.37462766666</v>
      </c>
      <c r="Q110" s="151">
        <f>H110</f>
        <v>5.1799999999999999E-2</v>
      </c>
    </row>
    <row r="111" spans="1:20">
      <c r="A111" s="148">
        <f t="shared" ref="A111:A121" si="68">A110+31</f>
        <v>43497</v>
      </c>
      <c r="C111" s="150"/>
      <c r="D111" s="150">
        <f t="shared" ref="D111:D121" si="69">(F110+(E111)/2)*H111/12</f>
        <v>3445.5653676941583</v>
      </c>
      <c r="E111" s="192">
        <v>-90469.13</v>
      </c>
      <c r="F111" s="153">
        <f>F110+C111+D111+E111</f>
        <v>756411.47164819413</v>
      </c>
      <c r="G111" s="37"/>
      <c r="H111" s="193">
        <f t="shared" si="67"/>
        <v>5.1799999999999999E-2</v>
      </c>
      <c r="I111" s="37"/>
      <c r="J111" s="194">
        <f t="shared" si="66"/>
        <v>43497</v>
      </c>
      <c r="K111" s="37"/>
      <c r="L111" s="153"/>
      <c r="M111" s="150">
        <f t="shared" ref="M111:M121" si="70">(O110+(N111)/2)*Q111/12</f>
        <v>1071.4876603927612</v>
      </c>
      <c r="N111" s="192">
        <v>-60452.59</v>
      </c>
      <c r="O111" s="150">
        <f>O110+L111+M111+N111</f>
        <v>219066.27228805944</v>
      </c>
      <c r="Q111" s="151">
        <f t="shared" ref="Q111:Q121" si="71">H111</f>
        <v>5.1799999999999999E-2</v>
      </c>
    </row>
    <row r="112" spans="1:20">
      <c r="A112" s="148">
        <f t="shared" si="68"/>
        <v>43528</v>
      </c>
      <c r="C112" s="150"/>
      <c r="D112" s="150">
        <f t="shared" si="69"/>
        <v>3077.1965327813709</v>
      </c>
      <c r="E112" s="192">
        <v>-87094.82</v>
      </c>
      <c r="F112" s="153">
        <f>F111+C112+D112+E112</f>
        <v>672393.84818097553</v>
      </c>
      <c r="G112" s="37"/>
      <c r="H112" s="193">
        <f t="shared" si="67"/>
        <v>5.1799999999999999E-2</v>
      </c>
      <c r="I112" s="37"/>
      <c r="J112" s="194">
        <f t="shared" si="66"/>
        <v>43528</v>
      </c>
      <c r="K112" s="37"/>
      <c r="L112" s="153"/>
      <c r="M112" s="150">
        <f t="shared" si="70"/>
        <v>846.78907071012316</v>
      </c>
      <c r="N112" s="192">
        <v>-45797.84</v>
      </c>
      <c r="O112" s="150">
        <f>O111+L112+M112+N112</f>
        <v>174115.22135876957</v>
      </c>
      <c r="Q112" s="151">
        <f t="shared" si="71"/>
        <v>5.1799999999999999E-2</v>
      </c>
    </row>
    <row r="113" spans="1:17">
      <c r="A113" s="148">
        <f t="shared" si="68"/>
        <v>43559</v>
      </c>
      <c r="C113" s="150"/>
      <c r="D113" s="150">
        <f t="shared" si="69"/>
        <v>2865.0375827802636</v>
      </c>
      <c r="E113" s="192">
        <v>-83119.77</v>
      </c>
      <c r="F113" s="153">
        <f>F112+C113+D113+E113</f>
        <v>592139.11576375575</v>
      </c>
      <c r="G113" s="37"/>
      <c r="H113" s="193">
        <f t="shared" si="67"/>
        <v>5.45E-2</v>
      </c>
      <c r="I113" s="37"/>
      <c r="J113" s="194">
        <f t="shared" si="66"/>
        <v>43559</v>
      </c>
      <c r="K113" s="37"/>
      <c r="L113" s="153"/>
      <c r="M113" s="150">
        <f t="shared" si="70"/>
        <v>721.2983320044118</v>
      </c>
      <c r="N113" s="192">
        <v>-30594.48</v>
      </c>
      <c r="O113" s="150">
        <f>O112+L113+M113+N113</f>
        <v>144242.03969077396</v>
      </c>
      <c r="Q113" s="151">
        <f t="shared" si="71"/>
        <v>5.45E-2</v>
      </c>
    </row>
    <row r="114" spans="1:17">
      <c r="A114" s="148">
        <f t="shared" si="68"/>
        <v>43590</v>
      </c>
      <c r="C114" s="150"/>
      <c r="D114" s="150">
        <f t="shared" si="69"/>
        <v>2486.1974215937239</v>
      </c>
      <c r="E114" s="192">
        <v>-89439</v>
      </c>
      <c r="F114" s="153">
        <f t="shared" ref="F114:F121" si="72">F113+C114+D114+E114</f>
        <v>505186.31318534946</v>
      </c>
      <c r="G114" s="37"/>
      <c r="H114" s="193">
        <f t="shared" si="67"/>
        <v>5.45E-2</v>
      </c>
      <c r="I114" s="37"/>
      <c r="J114" s="194">
        <f t="shared" si="66"/>
        <v>43590</v>
      </c>
      <c r="K114" s="37"/>
      <c r="L114" s="153"/>
      <c r="M114" s="150">
        <f t="shared" si="70"/>
        <v>617.75663567893173</v>
      </c>
      <c r="N114" s="192">
        <v>-16444.46</v>
      </c>
      <c r="O114" s="150">
        <f t="shared" ref="O114:O121" si="73">O113+L114+M114+N114</f>
        <v>128415.3363264529</v>
      </c>
      <c r="Q114" s="151">
        <f t="shared" si="71"/>
        <v>5.45E-2</v>
      </c>
    </row>
    <row r="115" spans="1:17">
      <c r="A115" s="148">
        <f t="shared" si="68"/>
        <v>43621</v>
      </c>
      <c r="C115" s="150"/>
      <c r="D115" s="150">
        <f t="shared" si="69"/>
        <v>2078.9705713417957</v>
      </c>
      <c r="E115" s="192">
        <v>-94862.65</v>
      </c>
      <c r="F115" s="153">
        <f t="shared" si="72"/>
        <v>412402.63375669124</v>
      </c>
      <c r="G115" s="37"/>
      <c r="H115" s="193">
        <f t="shared" si="67"/>
        <v>5.45E-2</v>
      </c>
      <c r="I115" s="37"/>
      <c r="J115" s="194">
        <f t="shared" si="66"/>
        <v>43621</v>
      </c>
      <c r="K115" s="37"/>
      <c r="L115" s="153"/>
      <c r="M115" s="150">
        <f t="shared" si="70"/>
        <v>548.47367706597356</v>
      </c>
      <c r="N115" s="192">
        <v>-15300.98</v>
      </c>
      <c r="O115" s="150">
        <f t="shared" si="73"/>
        <v>113662.83000351889</v>
      </c>
      <c r="Q115" s="151">
        <f t="shared" si="71"/>
        <v>5.45E-2</v>
      </c>
    </row>
    <row r="116" spans="1:17">
      <c r="A116" s="148">
        <f t="shared" si="68"/>
        <v>43652</v>
      </c>
      <c r="C116" s="150"/>
      <c r="D116" s="150">
        <f t="shared" si="69"/>
        <v>1655.8480984681682</v>
      </c>
      <c r="E116" s="192">
        <v>-102253.37</v>
      </c>
      <c r="F116" s="153">
        <f t="shared" si="72"/>
        <v>311805.1118551594</v>
      </c>
      <c r="G116" s="37"/>
      <c r="H116" s="193">
        <f t="shared" si="67"/>
        <v>5.5E-2</v>
      </c>
      <c r="I116" s="37"/>
      <c r="J116" s="194">
        <f t="shared" si="66"/>
        <v>43652</v>
      </c>
      <c r="K116" s="37"/>
      <c r="L116" s="153"/>
      <c r="M116" s="150">
        <f t="shared" si="70"/>
        <v>491.48556876612821</v>
      </c>
      <c r="N116" s="192">
        <v>-12859.23</v>
      </c>
      <c r="O116" s="150">
        <f t="shared" si="73"/>
        <v>101295.08557228502</v>
      </c>
      <c r="Q116" s="151">
        <f t="shared" si="71"/>
        <v>5.5E-2</v>
      </c>
    </row>
    <row r="117" spans="1:17">
      <c r="A117" s="148">
        <f t="shared" si="68"/>
        <v>43683</v>
      </c>
      <c r="C117" s="150"/>
      <c r="D117" s="150">
        <f t="shared" si="69"/>
        <v>1195.5425480861472</v>
      </c>
      <c r="E117" s="192">
        <v>-101918.93</v>
      </c>
      <c r="F117" s="153">
        <f t="shared" si="72"/>
        <v>211081.72440324555</v>
      </c>
      <c r="G117" s="37"/>
      <c r="H117" s="193">
        <f t="shared" si="67"/>
        <v>5.5E-2</v>
      </c>
      <c r="I117" s="37"/>
      <c r="J117" s="194">
        <f t="shared" si="66"/>
        <v>43683</v>
      </c>
      <c r="K117" s="37"/>
      <c r="L117" s="153"/>
      <c r="M117" s="150">
        <f t="shared" si="70"/>
        <v>434.5753984563064</v>
      </c>
      <c r="N117" s="192">
        <v>-12957.27</v>
      </c>
      <c r="O117" s="150">
        <f t="shared" si="73"/>
        <v>88772.390970741326</v>
      </c>
      <c r="Q117" s="151">
        <f t="shared" si="71"/>
        <v>5.5E-2</v>
      </c>
    </row>
    <row r="118" spans="1:17">
      <c r="A118" s="148">
        <f t="shared" si="68"/>
        <v>43714</v>
      </c>
      <c r="C118" s="150"/>
      <c r="D118" s="150">
        <f t="shared" si="69"/>
        <v>763.10377643154209</v>
      </c>
      <c r="E118" s="192">
        <v>-89172.71</v>
      </c>
      <c r="F118" s="153">
        <f>F117+C118+D118+E118</f>
        <v>122672.1181796771</v>
      </c>
      <c r="G118" s="37"/>
      <c r="H118" s="193">
        <f t="shared" si="67"/>
        <v>5.5E-2</v>
      </c>
      <c r="I118" s="37"/>
      <c r="J118" s="194">
        <f t="shared" si="66"/>
        <v>43714</v>
      </c>
      <c r="K118" s="37"/>
      <c r="L118" s="153"/>
      <c r="M118" s="150">
        <f t="shared" si="70"/>
        <v>362.21520028256441</v>
      </c>
      <c r="N118" s="192">
        <v>-19487.240000000002</v>
      </c>
      <c r="O118" s="150">
        <f>O117+L118+M118+N118</f>
        <v>69647.366171023881</v>
      </c>
      <c r="Q118" s="151">
        <f t="shared" si="71"/>
        <v>5.5E-2</v>
      </c>
    </row>
    <row r="119" spans="1:17">
      <c r="A119" s="148">
        <f t="shared" si="68"/>
        <v>43745</v>
      </c>
      <c r="B119" s="72" t="s">
        <v>135</v>
      </c>
      <c r="C119" s="153">
        <f>IF(C$87&lt;0,-C$87,0)</f>
        <v>7374497.8683640677</v>
      </c>
      <c r="D119" s="150">
        <f t="shared" si="69"/>
        <v>334.94969102820824</v>
      </c>
      <c r="E119" s="192">
        <v>-97027.03</v>
      </c>
      <c r="F119" s="153">
        <f>F118+C119+D119+E119</f>
        <v>7400477.9062347729</v>
      </c>
      <c r="G119" s="37"/>
      <c r="H119" s="193">
        <f t="shared" si="67"/>
        <v>5.4199999999999998E-2</v>
      </c>
      <c r="I119" s="37"/>
      <c r="J119" s="194">
        <f t="shared" si="66"/>
        <v>43745</v>
      </c>
      <c r="K119" s="72" t="s">
        <v>135</v>
      </c>
      <c r="L119" s="153">
        <f>IF(L$87&lt;0,-L$87,0)</f>
        <v>967384.61885772366</v>
      </c>
      <c r="M119" s="150">
        <f t="shared" si="70"/>
        <v>232.75842745579121</v>
      </c>
      <c r="N119" s="192">
        <v>-36228.269999999997</v>
      </c>
      <c r="O119" s="150">
        <f>O118+L119+M119+N119</f>
        <v>1001036.4734562034</v>
      </c>
      <c r="Q119" s="151">
        <f t="shared" si="71"/>
        <v>5.4199999999999998E-2</v>
      </c>
    </row>
    <row r="120" spans="1:17">
      <c r="A120" s="148">
        <f t="shared" si="68"/>
        <v>43776</v>
      </c>
      <c r="B120" s="37" t="s">
        <v>135</v>
      </c>
      <c r="C120" s="153">
        <f>IF(F109&gt;0,IF(F$86+F$119-C$119&lt;0,-F$119,-C$152),IF(F$86+F$151-C$151&lt;0,-F$119,-C$152))</f>
        <v>0</v>
      </c>
      <c r="D120" s="150">
        <f>(F119+C120+(E120)/2)*H120/12</f>
        <v>32104.310260077054</v>
      </c>
      <c r="E120" s="192">
        <v>-585025.06999999995</v>
      </c>
      <c r="F120" s="153">
        <f t="shared" si="72"/>
        <v>6847557.1464948496</v>
      </c>
      <c r="G120" s="37"/>
      <c r="H120" s="193">
        <f t="shared" si="67"/>
        <v>5.4199999999999998E-2</v>
      </c>
      <c r="I120" s="37"/>
      <c r="J120" s="194">
        <f t="shared" si="66"/>
        <v>43776</v>
      </c>
      <c r="K120" s="37" t="s">
        <v>135</v>
      </c>
      <c r="L120" s="153">
        <f>IF(O109&gt;0,IF(O$86+O$119-L$119&lt;0,-O$119,-L$152),IF(O$86+O$151-L$151&lt;0,-O$119,-L$152))</f>
        <v>0</v>
      </c>
      <c r="M120" s="150">
        <f>(O119+L120+(N120)/2)*Q120/12</f>
        <v>4232.6211261938515</v>
      </c>
      <c r="N120" s="192">
        <v>-127849.57</v>
      </c>
      <c r="O120" s="150">
        <f t="shared" si="73"/>
        <v>877419.52458239719</v>
      </c>
      <c r="Q120" s="151">
        <f t="shared" si="71"/>
        <v>5.4199999999999998E-2</v>
      </c>
    </row>
    <row r="121" spans="1:17">
      <c r="A121" s="148">
        <f t="shared" si="68"/>
        <v>43807</v>
      </c>
      <c r="C121" s="150"/>
      <c r="D121" s="150">
        <f t="shared" si="69"/>
        <v>29570.682345751742</v>
      </c>
      <c r="E121" s="192">
        <v>-601085.21</v>
      </c>
      <c r="F121" s="153">
        <f t="shared" si="72"/>
        <v>6276042.6188406013</v>
      </c>
      <c r="G121" s="37"/>
      <c r="H121" s="193">
        <f t="shared" si="67"/>
        <v>5.4199999999999998E-2</v>
      </c>
      <c r="I121" s="37"/>
      <c r="J121" s="194">
        <f t="shared" si="66"/>
        <v>43807</v>
      </c>
      <c r="K121" s="37"/>
      <c r="L121" s="153"/>
      <c r="M121" s="150">
        <f t="shared" si="70"/>
        <v>3646.5788436138268</v>
      </c>
      <c r="N121" s="192">
        <v>-140117.79</v>
      </c>
      <c r="O121" s="150">
        <f t="shared" si="73"/>
        <v>740948.31342601101</v>
      </c>
      <c r="Q121" s="151">
        <f t="shared" si="71"/>
        <v>5.4199999999999998E-2</v>
      </c>
    </row>
    <row r="122" spans="1:17">
      <c r="A122" s="148"/>
      <c r="C122" s="150"/>
      <c r="D122" s="150"/>
      <c r="F122" s="150"/>
      <c r="H122" s="151"/>
      <c r="J122" s="148"/>
      <c r="L122" s="150"/>
      <c r="M122" s="150"/>
      <c r="O122" s="150"/>
      <c r="Q122" s="151"/>
    </row>
    <row r="123" spans="1:17">
      <c r="A123" s="238">
        <v>254328</v>
      </c>
      <c r="B123" s="238" t="s">
        <v>53</v>
      </c>
      <c r="C123" s="239" t="s">
        <v>101</v>
      </c>
      <c r="D123" s="239" t="s">
        <v>102</v>
      </c>
      <c r="E123" s="239"/>
      <c r="F123" s="150" t="s">
        <v>104</v>
      </c>
      <c r="H123" s="239" t="s">
        <v>102</v>
      </c>
      <c r="J123" s="238">
        <f>A123</f>
        <v>254328</v>
      </c>
      <c r="K123" s="238" t="s">
        <v>54</v>
      </c>
      <c r="L123" s="239" t="s">
        <v>101</v>
      </c>
      <c r="M123" s="239" t="s">
        <v>102</v>
      </c>
      <c r="N123" s="239"/>
      <c r="O123" s="150" t="s">
        <v>104</v>
      </c>
      <c r="Q123" s="239" t="s">
        <v>102</v>
      </c>
    </row>
    <row r="124" spans="1:17">
      <c r="A124" s="169" t="s">
        <v>172</v>
      </c>
      <c r="B124" s="169" t="s">
        <v>166</v>
      </c>
      <c r="C124" s="239" t="s">
        <v>105</v>
      </c>
      <c r="D124" s="239" t="s">
        <v>106</v>
      </c>
      <c r="E124" s="239" t="s">
        <v>107</v>
      </c>
      <c r="F124" s="150" t="s">
        <v>103</v>
      </c>
      <c r="H124" s="239" t="s">
        <v>108</v>
      </c>
      <c r="J124" s="169" t="str">
        <f>A124</f>
        <v>Res Rebate Approved</v>
      </c>
      <c r="K124" s="169" t="s">
        <v>166</v>
      </c>
      <c r="L124" s="239" t="s">
        <v>105</v>
      </c>
      <c r="M124" s="239" t="s">
        <v>106</v>
      </c>
      <c r="N124" s="239" t="s">
        <v>107</v>
      </c>
      <c r="O124" s="150" t="s">
        <v>103</v>
      </c>
      <c r="Q124" s="239" t="s">
        <v>108</v>
      </c>
    </row>
    <row r="125" spans="1:17">
      <c r="A125" s="148">
        <f>$A$25</f>
        <v>43435</v>
      </c>
      <c r="B125" s="149"/>
      <c r="C125" s="149"/>
      <c r="F125" s="243">
        <v>-2135580.83</v>
      </c>
      <c r="J125" s="148">
        <f t="shared" ref="J125:J137" si="74">A125</f>
        <v>43435</v>
      </c>
      <c r="K125" s="149"/>
      <c r="L125" s="149"/>
      <c r="O125" s="243">
        <v>-2456015.56</v>
      </c>
    </row>
    <row r="126" spans="1:17">
      <c r="A126" s="148">
        <f>A125+31</f>
        <v>43466</v>
      </c>
      <c r="C126" s="150"/>
      <c r="D126" s="150">
        <f>(F125+(E126)/2)*H126/12</f>
        <v>-8579.0931000833334</v>
      </c>
      <c r="E126" s="243">
        <v>296292.27</v>
      </c>
      <c r="F126" s="150">
        <f t="shared" ref="F126:F137" si="75">F125+C126+D126+E126</f>
        <v>-1847867.6531000836</v>
      </c>
      <c r="H126" s="151">
        <f t="shared" ref="H126:H137" si="76">H26</f>
        <v>5.1799999999999999E-2</v>
      </c>
      <c r="J126" s="148">
        <f t="shared" si="74"/>
        <v>43466</v>
      </c>
      <c r="L126" s="150"/>
      <c r="M126" s="150">
        <f>(O125+(N126)/2)*Q126/12</f>
        <v>-9417.4621788333334</v>
      </c>
      <c r="N126" s="243">
        <v>548728.18000000005</v>
      </c>
      <c r="O126" s="150">
        <f t="shared" ref="O126:O137" si="77">O125+L126+M126+N126</f>
        <v>-1916704.8421788332</v>
      </c>
      <c r="Q126" s="151">
        <f>H126</f>
        <v>5.1799999999999999E-2</v>
      </c>
    </row>
    <row r="127" spans="1:17">
      <c r="A127" s="148">
        <f t="shared" ref="A127:A137" si="78">A126+31</f>
        <v>43497</v>
      </c>
      <c r="C127" s="150"/>
      <c r="D127" s="150">
        <f t="shared" ref="D127:D137" si="79">(F126+(E127)/2)*H127/12</f>
        <v>-7389.2110261320277</v>
      </c>
      <c r="E127" s="243">
        <v>272162.63</v>
      </c>
      <c r="F127" s="150">
        <f t="shared" si="75"/>
        <v>-1583094.2341262158</v>
      </c>
      <c r="H127" s="151">
        <f t="shared" si="76"/>
        <v>5.1799999999999999E-2</v>
      </c>
      <c r="J127" s="148">
        <f t="shared" si="74"/>
        <v>43497</v>
      </c>
      <c r="L127" s="150"/>
      <c r="M127" s="150">
        <f t="shared" ref="M127:M137" si="80">(O126+(N127)/2)*Q127/12</f>
        <v>-6960.8845921552966</v>
      </c>
      <c r="N127" s="243">
        <v>608289.41</v>
      </c>
      <c r="O127" s="150">
        <f t="shared" si="77"/>
        <v>-1315376.3167709885</v>
      </c>
      <c r="Q127" s="151">
        <f t="shared" ref="Q127:Q137" si="81">H127</f>
        <v>5.1799999999999999E-2</v>
      </c>
    </row>
    <row r="128" spans="1:17">
      <c r="A128" s="148">
        <f t="shared" si="78"/>
        <v>43528</v>
      </c>
      <c r="C128" s="150"/>
      <c r="D128" s="150">
        <f t="shared" si="79"/>
        <v>-6233.2237768114983</v>
      </c>
      <c r="E128" s="243">
        <v>278208.34000000003</v>
      </c>
      <c r="F128" s="150">
        <f t="shared" si="75"/>
        <v>-1311119.1179030272</v>
      </c>
      <c r="H128" s="151">
        <f t="shared" si="76"/>
        <v>5.1799999999999999E-2</v>
      </c>
      <c r="J128" s="148">
        <f t="shared" si="74"/>
        <v>43528</v>
      </c>
      <c r="L128" s="150"/>
      <c r="M128" s="150">
        <f t="shared" si="80"/>
        <v>-4641.4311557280998</v>
      </c>
      <c r="N128" s="243">
        <v>480282.6</v>
      </c>
      <c r="O128" s="150">
        <f t="shared" si="77"/>
        <v>-839735.14792671672</v>
      </c>
      <c r="Q128" s="151">
        <f t="shared" si="81"/>
        <v>5.1799999999999999E-2</v>
      </c>
    </row>
    <row r="129" spans="1:17">
      <c r="A129" s="148">
        <f t="shared" si="78"/>
        <v>43559</v>
      </c>
      <c r="C129" s="150"/>
      <c r="D129" s="150">
        <f t="shared" si="79"/>
        <v>-5538.2779550595815</v>
      </c>
      <c r="E129" s="243">
        <v>183363.54</v>
      </c>
      <c r="F129" s="150">
        <f t="shared" si="75"/>
        <v>-1133293.8558580868</v>
      </c>
      <c r="H129" s="151">
        <f t="shared" si="76"/>
        <v>5.45E-2</v>
      </c>
      <c r="J129" s="148">
        <f t="shared" si="74"/>
        <v>43559</v>
      </c>
      <c r="L129" s="150"/>
      <c r="M129" s="150">
        <f t="shared" si="80"/>
        <v>-3301.4905447505057</v>
      </c>
      <c r="N129" s="243">
        <v>225602.9</v>
      </c>
      <c r="O129" s="150">
        <f t="shared" si="77"/>
        <v>-617433.73847146716</v>
      </c>
      <c r="Q129" s="151">
        <f t="shared" si="81"/>
        <v>5.45E-2</v>
      </c>
    </row>
    <row r="130" spans="1:17">
      <c r="A130" s="148">
        <f t="shared" si="78"/>
        <v>43590</v>
      </c>
      <c r="C130" s="150"/>
      <c r="D130" s="150">
        <f t="shared" si="79"/>
        <v>-4752.5116834804776</v>
      </c>
      <c r="E130" s="243">
        <v>173738.53</v>
      </c>
      <c r="F130" s="150">
        <f t="shared" si="75"/>
        <v>-964307.83754156739</v>
      </c>
      <c r="H130" s="151">
        <f t="shared" si="76"/>
        <v>5.45E-2</v>
      </c>
      <c r="J130" s="148">
        <f t="shared" si="74"/>
        <v>43590</v>
      </c>
      <c r="L130" s="150"/>
      <c r="M130" s="150">
        <f t="shared" si="80"/>
        <v>-2549.5985101412466</v>
      </c>
      <c r="N130" s="243">
        <v>112108.5</v>
      </c>
      <c r="O130" s="150">
        <f t="shared" si="77"/>
        <v>-507874.83698160842</v>
      </c>
      <c r="Q130" s="151">
        <f t="shared" si="81"/>
        <v>5.45E-2</v>
      </c>
    </row>
    <row r="131" spans="1:17">
      <c r="A131" s="148">
        <f t="shared" si="78"/>
        <v>43621</v>
      </c>
      <c r="C131" s="150"/>
      <c r="D131" s="150">
        <f t="shared" si="79"/>
        <v>-3996.1462713346186</v>
      </c>
      <c r="E131" s="243">
        <v>168844.84</v>
      </c>
      <c r="F131" s="150">
        <f t="shared" si="75"/>
        <v>-799459.14381290204</v>
      </c>
      <c r="H131" s="151">
        <f t="shared" si="76"/>
        <v>5.45E-2</v>
      </c>
      <c r="J131" s="148">
        <f t="shared" si="74"/>
        <v>43621</v>
      </c>
      <c r="L131" s="150"/>
      <c r="M131" s="150">
        <f t="shared" si="80"/>
        <v>-2159.1866860831383</v>
      </c>
      <c r="N131" s="243">
        <v>64915.17</v>
      </c>
      <c r="O131" s="150">
        <f t="shared" si="77"/>
        <v>-445118.85366769158</v>
      </c>
      <c r="Q131" s="151">
        <f t="shared" si="81"/>
        <v>5.45E-2</v>
      </c>
    </row>
    <row r="132" spans="1:17">
      <c r="A132" s="148">
        <f t="shared" si="78"/>
        <v>43652</v>
      </c>
      <c r="C132" s="150"/>
      <c r="D132" s="150">
        <f t="shared" si="79"/>
        <v>-3209.816173725801</v>
      </c>
      <c r="E132" s="243">
        <v>198271.23</v>
      </c>
      <c r="F132" s="150">
        <f t="shared" si="75"/>
        <v>-604397.72998662782</v>
      </c>
      <c r="H132" s="151">
        <f t="shared" si="76"/>
        <v>5.5E-2</v>
      </c>
      <c r="J132" s="148">
        <f t="shared" si="74"/>
        <v>43652</v>
      </c>
      <c r="L132" s="150"/>
      <c r="M132" s="150">
        <f t="shared" si="80"/>
        <v>-1897.6006897269197</v>
      </c>
      <c r="N132" s="243">
        <v>62193.77</v>
      </c>
      <c r="O132" s="150">
        <f t="shared" si="77"/>
        <v>-384822.6843574185</v>
      </c>
      <c r="Q132" s="151">
        <f t="shared" si="81"/>
        <v>5.5E-2</v>
      </c>
    </row>
    <row r="133" spans="1:17">
      <c r="A133" s="148">
        <f t="shared" si="78"/>
        <v>43683</v>
      </c>
      <c r="C133" s="150"/>
      <c r="D133" s="150">
        <f t="shared" si="79"/>
        <v>-2286.5564791053775</v>
      </c>
      <c r="E133" s="243">
        <v>211025.36</v>
      </c>
      <c r="F133" s="150">
        <f t="shared" si="75"/>
        <v>-395658.92646573321</v>
      </c>
      <c r="H133" s="151">
        <f t="shared" si="76"/>
        <v>5.5E-2</v>
      </c>
      <c r="J133" s="148">
        <f t="shared" si="74"/>
        <v>43683</v>
      </c>
      <c r="L133" s="150"/>
      <c r="M133" s="150">
        <f t="shared" si="80"/>
        <v>-1631.0764449715014</v>
      </c>
      <c r="N133" s="243">
        <v>57902.92</v>
      </c>
      <c r="O133" s="150">
        <f t="shared" si="77"/>
        <v>-328550.84080239001</v>
      </c>
      <c r="Q133" s="151">
        <f t="shared" si="81"/>
        <v>5.5E-2</v>
      </c>
    </row>
    <row r="134" spans="1:17">
      <c r="A134" s="148">
        <f t="shared" si="78"/>
        <v>43714</v>
      </c>
      <c r="C134" s="150"/>
      <c r="D134" s="150">
        <f t="shared" si="79"/>
        <v>-1423.1197358846105</v>
      </c>
      <c r="E134" s="243">
        <v>170320.15</v>
      </c>
      <c r="F134" s="150">
        <f t="shared" si="75"/>
        <v>-226761.89620161781</v>
      </c>
      <c r="H134" s="151">
        <f t="shared" si="76"/>
        <v>5.5E-2</v>
      </c>
      <c r="J134" s="148">
        <f t="shared" si="74"/>
        <v>43714</v>
      </c>
      <c r="L134" s="150"/>
      <c r="M134" s="150">
        <f t="shared" si="80"/>
        <v>-1287.2911599276208</v>
      </c>
      <c r="N134" s="243">
        <v>95374.63</v>
      </c>
      <c r="O134" s="150">
        <f t="shared" si="77"/>
        <v>-234463.50196231762</v>
      </c>
      <c r="Q134" s="151">
        <f t="shared" si="81"/>
        <v>5.5E-2</v>
      </c>
    </row>
    <row r="135" spans="1:17">
      <c r="A135" s="148">
        <f t="shared" si="78"/>
        <v>43745</v>
      </c>
      <c r="B135" s="72" t="s">
        <v>135</v>
      </c>
      <c r="C135" s="153">
        <f>IF(C$69&gt;0,-C$69,0)</f>
        <v>0</v>
      </c>
      <c r="D135" s="150">
        <f t="shared" si="79"/>
        <v>-552.00979692730709</v>
      </c>
      <c r="E135" s="243">
        <v>209091.41</v>
      </c>
      <c r="F135" s="150">
        <f t="shared" si="75"/>
        <v>-18222.495998545113</v>
      </c>
      <c r="H135" s="151">
        <f t="shared" si="76"/>
        <v>5.4199999999999998E-2</v>
      </c>
      <c r="J135" s="148">
        <f t="shared" si="74"/>
        <v>43745</v>
      </c>
      <c r="K135" s="72" t="s">
        <v>135</v>
      </c>
      <c r="L135" s="153">
        <f>IF(L$69&gt;0,-L$69,0)</f>
        <v>0</v>
      </c>
      <c r="M135" s="150">
        <f t="shared" si="80"/>
        <v>-310.61980236313457</v>
      </c>
      <c r="N135" s="243">
        <v>331383.18</v>
      </c>
      <c r="O135" s="150">
        <f t="shared" si="77"/>
        <v>96609.058235319244</v>
      </c>
      <c r="Q135" s="151">
        <f t="shared" si="81"/>
        <v>5.4199999999999998E-2</v>
      </c>
    </row>
    <row r="136" spans="1:17">
      <c r="A136" s="148">
        <f t="shared" si="78"/>
        <v>43776</v>
      </c>
      <c r="B136" s="72" t="s">
        <v>135</v>
      </c>
      <c r="C136" s="153">
        <f>IF(F125&gt;=0,IF(F$68+F$103-C$103&lt;0,-C$104,-C$135),IF(F$68+F$135-C$135&gt;0,-F$135,-C$104))</f>
        <v>18222.495998545113</v>
      </c>
      <c r="D136" s="150">
        <f>(F135+C136+(E136)/2)*H136/12</f>
        <v>0</v>
      </c>
      <c r="E136" s="243"/>
      <c r="F136" s="150">
        <f t="shared" si="75"/>
        <v>0</v>
      </c>
      <c r="H136" s="151">
        <f t="shared" si="76"/>
        <v>5.4199999999999998E-2</v>
      </c>
      <c r="J136" s="148">
        <f t="shared" si="74"/>
        <v>43776</v>
      </c>
      <c r="K136" s="72" t="s">
        <v>135</v>
      </c>
      <c r="L136" s="153">
        <f>IF(O125&gt;=0,IF(O$68+O$103-L$103&lt;0,-L$104,-L$135),IF(O$68+O$135-L$135&gt;0,-O$135,-L$104))</f>
        <v>-96609.058235319244</v>
      </c>
      <c r="M136" s="150">
        <f>(O135+L136+(N136)/2)*Q136/12</f>
        <v>0</v>
      </c>
      <c r="N136" s="243"/>
      <c r="O136" s="150">
        <f t="shared" si="77"/>
        <v>0</v>
      </c>
      <c r="Q136" s="151">
        <f t="shared" si="81"/>
        <v>5.4199999999999998E-2</v>
      </c>
    </row>
    <row r="137" spans="1:17">
      <c r="A137" s="148">
        <f t="shared" si="78"/>
        <v>43807</v>
      </c>
      <c r="B137" s="149"/>
      <c r="C137" s="150"/>
      <c r="D137" s="150">
        <f t="shared" si="79"/>
        <v>0</v>
      </c>
      <c r="E137" s="243"/>
      <c r="F137" s="150">
        <f t="shared" si="75"/>
        <v>0</v>
      </c>
      <c r="H137" s="151">
        <f t="shared" si="76"/>
        <v>5.4199999999999998E-2</v>
      </c>
      <c r="J137" s="148">
        <f t="shared" si="74"/>
        <v>43807</v>
      </c>
      <c r="K137" s="149"/>
      <c r="L137" s="150"/>
      <c r="M137" s="150">
        <f t="shared" si="80"/>
        <v>0</v>
      </c>
      <c r="N137" s="243"/>
      <c r="O137" s="150">
        <f t="shared" si="77"/>
        <v>0</v>
      </c>
      <c r="Q137" s="151">
        <f t="shared" si="81"/>
        <v>5.4199999999999998E-2</v>
      </c>
    </row>
    <row r="138" spans="1:17">
      <c r="F138" s="150"/>
      <c r="O138" s="150"/>
    </row>
    <row r="139" spans="1:17">
      <c r="A139" s="238">
        <v>254338</v>
      </c>
      <c r="B139" s="238" t="s">
        <v>53</v>
      </c>
      <c r="C139" s="239" t="s">
        <v>101</v>
      </c>
      <c r="D139" s="239" t="s">
        <v>102</v>
      </c>
      <c r="E139" s="239"/>
      <c r="F139" s="150" t="s">
        <v>104</v>
      </c>
      <c r="H139" s="239" t="s">
        <v>102</v>
      </c>
      <c r="J139" s="238">
        <f>A139</f>
        <v>254338</v>
      </c>
      <c r="K139" s="238" t="s">
        <v>54</v>
      </c>
      <c r="L139" s="239" t="s">
        <v>101</v>
      </c>
      <c r="M139" s="239" t="s">
        <v>102</v>
      </c>
      <c r="N139" s="239"/>
      <c r="O139" s="150" t="s">
        <v>104</v>
      </c>
      <c r="Q139" s="239" t="s">
        <v>102</v>
      </c>
    </row>
    <row r="140" spans="1:17">
      <c r="A140" s="169" t="s">
        <v>173</v>
      </c>
      <c r="B140" s="169" t="s">
        <v>166</v>
      </c>
      <c r="C140" s="239" t="s">
        <v>105</v>
      </c>
      <c r="D140" s="239" t="s">
        <v>106</v>
      </c>
      <c r="E140" s="239" t="s">
        <v>107</v>
      </c>
      <c r="F140" s="150" t="s">
        <v>103</v>
      </c>
      <c r="H140" s="239" t="s">
        <v>108</v>
      </c>
      <c r="J140" s="169" t="str">
        <f>A140</f>
        <v>Non-Res Rebate Approved</v>
      </c>
      <c r="K140" s="169" t="s">
        <v>166</v>
      </c>
      <c r="L140" s="239" t="s">
        <v>105</v>
      </c>
      <c r="M140" s="239" t="s">
        <v>106</v>
      </c>
      <c r="N140" s="239" t="s">
        <v>107</v>
      </c>
      <c r="O140" s="150" t="s">
        <v>103</v>
      </c>
      <c r="Q140" s="239" t="s">
        <v>108</v>
      </c>
    </row>
    <row r="141" spans="1:17">
      <c r="A141" s="148">
        <f>$A$25</f>
        <v>43435</v>
      </c>
      <c r="B141" s="149"/>
      <c r="C141" s="149"/>
      <c r="F141" s="243">
        <v>0</v>
      </c>
      <c r="J141" s="148">
        <f t="shared" ref="J141:J153" si="82">A141</f>
        <v>43435</v>
      </c>
      <c r="K141" s="149"/>
      <c r="L141" s="149"/>
      <c r="O141" s="243">
        <v>0</v>
      </c>
    </row>
    <row r="142" spans="1:17">
      <c r="A142" s="148">
        <f>A141+31</f>
        <v>43466</v>
      </c>
      <c r="C142" s="150"/>
      <c r="D142" s="150">
        <f>(F141+(E142)/2)*H142/12</f>
        <v>0</v>
      </c>
      <c r="E142" s="192"/>
      <c r="F142" s="150">
        <f>F141+C142+D142+E142</f>
        <v>0</v>
      </c>
      <c r="H142" s="151">
        <f t="shared" ref="H142:H153" si="83">H26</f>
        <v>5.1799999999999999E-2</v>
      </c>
      <c r="J142" s="148">
        <f t="shared" si="82"/>
        <v>43466</v>
      </c>
      <c r="L142" s="150"/>
      <c r="M142" s="150">
        <f>(O141+(N142)/2)*Q142/12</f>
        <v>0</v>
      </c>
      <c r="N142" s="188"/>
      <c r="O142" s="150">
        <f>O141+L142+M142+N142</f>
        <v>0</v>
      </c>
      <c r="Q142" s="151">
        <f>H142</f>
        <v>5.1799999999999999E-2</v>
      </c>
    </row>
    <row r="143" spans="1:17">
      <c r="A143" s="148">
        <f t="shared" ref="A143:A153" si="84">A142+31</f>
        <v>43497</v>
      </c>
      <c r="C143" s="150"/>
      <c r="D143" s="150">
        <f t="shared" ref="D143:D153" si="85">(F142+(E143)/2)*H143/12</f>
        <v>0</v>
      </c>
      <c r="E143" s="192"/>
      <c r="F143" s="150">
        <f>F142+C143+D143+E143</f>
        <v>0</v>
      </c>
      <c r="H143" s="151">
        <f t="shared" si="83"/>
        <v>5.1799999999999999E-2</v>
      </c>
      <c r="J143" s="148">
        <f t="shared" si="82"/>
        <v>43497</v>
      </c>
      <c r="L143" s="150"/>
      <c r="M143" s="150">
        <f t="shared" ref="M143:M153" si="86">(O142+(N143)/2)*Q143/12</f>
        <v>0</v>
      </c>
      <c r="N143" s="188"/>
      <c r="O143" s="150">
        <f>O142+L143+M143+N143</f>
        <v>0</v>
      </c>
      <c r="Q143" s="151">
        <f t="shared" ref="Q143:Q153" si="87">H143</f>
        <v>5.1799999999999999E-2</v>
      </c>
    </row>
    <row r="144" spans="1:17">
      <c r="A144" s="148">
        <f t="shared" si="84"/>
        <v>43528</v>
      </c>
      <c r="C144" s="150"/>
      <c r="D144" s="150">
        <f t="shared" si="85"/>
        <v>0</v>
      </c>
      <c r="E144" s="192"/>
      <c r="F144" s="150">
        <f>F143+C144+D144+E144</f>
        <v>0</v>
      </c>
      <c r="H144" s="151">
        <f t="shared" si="83"/>
        <v>5.1799999999999999E-2</v>
      </c>
      <c r="J144" s="148">
        <f t="shared" si="82"/>
        <v>43528</v>
      </c>
      <c r="L144" s="150"/>
      <c r="M144" s="150">
        <f t="shared" si="86"/>
        <v>0</v>
      </c>
      <c r="N144" s="188"/>
      <c r="O144" s="150">
        <f>O143+L144+M144+N144</f>
        <v>0</v>
      </c>
      <c r="Q144" s="151">
        <f t="shared" si="87"/>
        <v>5.1799999999999999E-2</v>
      </c>
    </row>
    <row r="145" spans="1:17">
      <c r="A145" s="148">
        <f t="shared" si="84"/>
        <v>43559</v>
      </c>
      <c r="C145" s="150"/>
      <c r="D145" s="150">
        <f t="shared" si="85"/>
        <v>0</v>
      </c>
      <c r="E145" s="192"/>
      <c r="F145" s="150">
        <f t="shared" ref="F145:F153" si="88">F144+C145+D145+E145</f>
        <v>0</v>
      </c>
      <c r="H145" s="151">
        <f t="shared" si="83"/>
        <v>5.45E-2</v>
      </c>
      <c r="J145" s="148">
        <f t="shared" si="82"/>
        <v>43559</v>
      </c>
      <c r="L145" s="150"/>
      <c r="M145" s="150">
        <f t="shared" si="86"/>
        <v>0</v>
      </c>
      <c r="N145" s="188"/>
      <c r="O145" s="150">
        <f t="shared" ref="O145:O153" si="89">O144+L145+M145+N145</f>
        <v>0</v>
      </c>
      <c r="Q145" s="151">
        <f t="shared" si="87"/>
        <v>5.45E-2</v>
      </c>
    </row>
    <row r="146" spans="1:17">
      <c r="A146" s="148">
        <f t="shared" si="84"/>
        <v>43590</v>
      </c>
      <c r="C146" s="150"/>
      <c r="D146" s="150">
        <f t="shared" si="85"/>
        <v>0</v>
      </c>
      <c r="E146" s="192"/>
      <c r="F146" s="150">
        <f t="shared" si="88"/>
        <v>0</v>
      </c>
      <c r="H146" s="151">
        <f t="shared" si="83"/>
        <v>5.45E-2</v>
      </c>
      <c r="J146" s="148">
        <f t="shared" si="82"/>
        <v>43590</v>
      </c>
      <c r="L146" s="150"/>
      <c r="M146" s="150">
        <f t="shared" si="86"/>
        <v>0</v>
      </c>
      <c r="N146" s="188"/>
      <c r="O146" s="150">
        <f t="shared" si="89"/>
        <v>0</v>
      </c>
      <c r="Q146" s="151">
        <f t="shared" si="87"/>
        <v>5.45E-2</v>
      </c>
    </row>
    <row r="147" spans="1:17">
      <c r="A147" s="148">
        <f t="shared" si="84"/>
        <v>43621</v>
      </c>
      <c r="C147" s="150"/>
      <c r="D147" s="150">
        <f t="shared" si="85"/>
        <v>0</v>
      </c>
      <c r="E147" s="192"/>
      <c r="F147" s="150">
        <f t="shared" si="88"/>
        <v>0</v>
      </c>
      <c r="H147" s="151">
        <f t="shared" si="83"/>
        <v>5.45E-2</v>
      </c>
      <c r="J147" s="148">
        <f t="shared" si="82"/>
        <v>43621</v>
      </c>
      <c r="L147" s="150"/>
      <c r="M147" s="150">
        <f t="shared" si="86"/>
        <v>0</v>
      </c>
      <c r="N147" s="188"/>
      <c r="O147" s="150">
        <f t="shared" si="89"/>
        <v>0</v>
      </c>
      <c r="Q147" s="151">
        <f t="shared" si="87"/>
        <v>5.45E-2</v>
      </c>
    </row>
    <row r="148" spans="1:17">
      <c r="A148" s="148">
        <f t="shared" si="84"/>
        <v>43652</v>
      </c>
      <c r="C148" s="150"/>
      <c r="D148" s="150">
        <f t="shared" si="85"/>
        <v>0</v>
      </c>
      <c r="E148" s="192"/>
      <c r="F148" s="150">
        <f t="shared" si="88"/>
        <v>0</v>
      </c>
      <c r="H148" s="151">
        <f t="shared" si="83"/>
        <v>5.5E-2</v>
      </c>
      <c r="J148" s="148">
        <f t="shared" si="82"/>
        <v>43652</v>
      </c>
      <c r="L148" s="150"/>
      <c r="M148" s="150">
        <f t="shared" si="86"/>
        <v>0</v>
      </c>
      <c r="N148" s="188"/>
      <c r="O148" s="150">
        <f t="shared" si="89"/>
        <v>0</v>
      </c>
      <c r="Q148" s="151">
        <f t="shared" si="87"/>
        <v>5.5E-2</v>
      </c>
    </row>
    <row r="149" spans="1:17">
      <c r="A149" s="148">
        <f t="shared" si="84"/>
        <v>43683</v>
      </c>
      <c r="C149" s="150"/>
      <c r="D149" s="150">
        <f t="shared" si="85"/>
        <v>0</v>
      </c>
      <c r="E149" s="192"/>
      <c r="F149" s="150">
        <f t="shared" si="88"/>
        <v>0</v>
      </c>
      <c r="H149" s="151">
        <f t="shared" si="83"/>
        <v>5.5E-2</v>
      </c>
      <c r="J149" s="148">
        <f t="shared" si="82"/>
        <v>43683</v>
      </c>
      <c r="L149" s="150"/>
      <c r="M149" s="150">
        <f t="shared" si="86"/>
        <v>0</v>
      </c>
      <c r="N149" s="188"/>
      <c r="O149" s="150">
        <f t="shared" si="89"/>
        <v>0</v>
      </c>
      <c r="Q149" s="151">
        <f t="shared" si="87"/>
        <v>5.5E-2</v>
      </c>
    </row>
    <row r="150" spans="1:17">
      <c r="A150" s="148">
        <f t="shared" si="84"/>
        <v>43714</v>
      </c>
      <c r="C150" s="150"/>
      <c r="D150" s="150">
        <f t="shared" si="85"/>
        <v>0</v>
      </c>
      <c r="E150" s="192"/>
      <c r="F150" s="150">
        <f t="shared" si="88"/>
        <v>0</v>
      </c>
      <c r="H150" s="151">
        <f t="shared" si="83"/>
        <v>5.5E-2</v>
      </c>
      <c r="J150" s="148">
        <f t="shared" si="82"/>
        <v>43714</v>
      </c>
      <c r="L150" s="150"/>
      <c r="M150" s="150">
        <f t="shared" si="86"/>
        <v>0</v>
      </c>
      <c r="N150" s="188"/>
      <c r="O150" s="150">
        <f t="shared" si="89"/>
        <v>0</v>
      </c>
      <c r="Q150" s="151">
        <f t="shared" si="87"/>
        <v>5.5E-2</v>
      </c>
    </row>
    <row r="151" spans="1:17">
      <c r="A151" s="148">
        <f t="shared" si="84"/>
        <v>43745</v>
      </c>
      <c r="B151" s="72" t="s">
        <v>135</v>
      </c>
      <c r="C151" s="153">
        <f>IF(C$87&gt;0,-C$87,0)</f>
        <v>0</v>
      </c>
      <c r="D151" s="150">
        <f t="shared" si="85"/>
        <v>0</v>
      </c>
      <c r="E151" s="192"/>
      <c r="F151" s="150">
        <f t="shared" si="88"/>
        <v>0</v>
      </c>
      <c r="H151" s="151">
        <f t="shared" si="83"/>
        <v>5.4199999999999998E-2</v>
      </c>
      <c r="J151" s="148">
        <f t="shared" si="82"/>
        <v>43745</v>
      </c>
      <c r="K151" s="72" t="s">
        <v>135</v>
      </c>
      <c r="L151" s="153">
        <f>IF(L$87&gt;0,-L$87,0)</f>
        <v>0</v>
      </c>
      <c r="M151" s="150">
        <f t="shared" si="86"/>
        <v>0</v>
      </c>
      <c r="N151" s="188"/>
      <c r="O151" s="150">
        <f t="shared" si="89"/>
        <v>0</v>
      </c>
      <c r="Q151" s="151">
        <f t="shared" si="87"/>
        <v>5.4199999999999998E-2</v>
      </c>
    </row>
    <row r="152" spans="1:17">
      <c r="A152" s="148">
        <f t="shared" si="84"/>
        <v>43776</v>
      </c>
      <c r="B152" s="72" t="s">
        <v>135</v>
      </c>
      <c r="C152" s="150">
        <f>IF(F141&gt;=0,IF(F$86+F$119-C$119&lt;0,-C$120,-C$151),IF(F$86+F$151-C$151&gt;0,-F$151,-C$120))</f>
        <v>0</v>
      </c>
      <c r="D152" s="150">
        <f>(F151+C152+(E152)/2)*H152/12</f>
        <v>0</v>
      </c>
      <c r="E152" s="192"/>
      <c r="F152" s="150">
        <f t="shared" si="88"/>
        <v>0</v>
      </c>
      <c r="H152" s="151">
        <f t="shared" si="83"/>
        <v>5.4199999999999998E-2</v>
      </c>
      <c r="J152" s="148">
        <f t="shared" si="82"/>
        <v>43776</v>
      </c>
      <c r="K152" s="72" t="s">
        <v>135</v>
      </c>
      <c r="L152" s="150">
        <f>IF(O141&gt;=0,IF(O$86+O$119-L$119&lt;0,-L$120,-L$151),IF(O$86+O$151-L$151&gt;0,-O$151,-L$120))</f>
        <v>0</v>
      </c>
      <c r="M152" s="150">
        <f>(O151+L152+(N152)/2)*Q152/12</f>
        <v>0</v>
      </c>
      <c r="N152" s="188"/>
      <c r="O152" s="150">
        <f t="shared" si="89"/>
        <v>0</v>
      </c>
      <c r="Q152" s="151">
        <f t="shared" si="87"/>
        <v>5.4199999999999998E-2</v>
      </c>
    </row>
    <row r="153" spans="1:17">
      <c r="A153" s="148">
        <f t="shared" si="84"/>
        <v>43807</v>
      </c>
      <c r="C153" s="150"/>
      <c r="D153" s="150">
        <f t="shared" si="85"/>
        <v>0</v>
      </c>
      <c r="E153" s="192"/>
      <c r="F153" s="150">
        <f t="shared" si="88"/>
        <v>0</v>
      </c>
      <c r="H153" s="151">
        <f t="shared" si="83"/>
        <v>5.4199999999999998E-2</v>
      </c>
      <c r="J153" s="148">
        <f t="shared" si="82"/>
        <v>43807</v>
      </c>
      <c r="L153" s="150"/>
      <c r="M153" s="150">
        <f t="shared" si="86"/>
        <v>0</v>
      </c>
      <c r="N153" s="188"/>
      <c r="O153" s="150">
        <f t="shared" si="89"/>
        <v>0</v>
      </c>
      <c r="Q153" s="151">
        <f t="shared" si="87"/>
        <v>5.4199999999999998E-2</v>
      </c>
    </row>
    <row r="154" spans="1:17" ht="51" customHeight="1">
      <c r="F154" s="150"/>
      <c r="O154" s="150"/>
    </row>
    <row r="155" spans="1:17">
      <c r="A155" s="238">
        <v>253311</v>
      </c>
      <c r="B155" s="238" t="s">
        <v>53</v>
      </c>
      <c r="C155" s="239" t="s">
        <v>101</v>
      </c>
      <c r="D155" s="239" t="s">
        <v>102</v>
      </c>
      <c r="E155" s="239"/>
      <c r="F155" s="150" t="s">
        <v>104</v>
      </c>
      <c r="H155" s="239" t="s">
        <v>102</v>
      </c>
      <c r="J155" s="238">
        <f>A155</f>
        <v>253311</v>
      </c>
      <c r="K155" s="238" t="s">
        <v>54</v>
      </c>
      <c r="L155" s="239" t="s">
        <v>101</v>
      </c>
      <c r="M155" s="239" t="s">
        <v>102</v>
      </c>
      <c r="N155" s="239"/>
      <c r="O155" s="150" t="s">
        <v>104</v>
      </c>
      <c r="Q155" s="239" t="s">
        <v>102</v>
      </c>
    </row>
    <row r="156" spans="1:17">
      <c r="A156" s="169" t="s">
        <v>174</v>
      </c>
      <c r="B156" s="169" t="s">
        <v>166</v>
      </c>
      <c r="C156" s="239" t="s">
        <v>105</v>
      </c>
      <c r="D156" s="239" t="s">
        <v>106</v>
      </c>
      <c r="E156" s="239" t="s">
        <v>107</v>
      </c>
      <c r="F156" s="150" t="s">
        <v>103</v>
      </c>
      <c r="H156" s="239" t="s">
        <v>108</v>
      </c>
      <c r="J156" s="169" t="str">
        <f>A156</f>
        <v>3% Contra Deferral</v>
      </c>
      <c r="K156" s="169" t="s">
        <v>166</v>
      </c>
      <c r="L156" s="239" t="s">
        <v>105</v>
      </c>
      <c r="M156" s="239" t="s">
        <v>106</v>
      </c>
      <c r="N156" s="239" t="s">
        <v>107</v>
      </c>
      <c r="O156" s="150" t="s">
        <v>103</v>
      </c>
      <c r="Q156" s="239" t="s">
        <v>108</v>
      </c>
    </row>
    <row r="157" spans="1:17">
      <c r="A157" s="148">
        <f>$A$25</f>
        <v>43435</v>
      </c>
      <c r="B157" s="149"/>
      <c r="C157" s="149"/>
      <c r="F157" s="243">
        <v>0</v>
      </c>
      <c r="J157" s="148">
        <f t="shared" ref="J157:J169" si="90">A157</f>
        <v>43435</v>
      </c>
      <c r="K157" s="149"/>
      <c r="L157" s="149"/>
      <c r="O157" s="243">
        <v>0</v>
      </c>
    </row>
    <row r="158" spans="1:17">
      <c r="A158" s="148">
        <f>A157+31</f>
        <v>43466</v>
      </c>
      <c r="C158" s="150"/>
      <c r="D158" s="150">
        <f>(F157+(C158+E158)/2)*H158/12</f>
        <v>0</v>
      </c>
      <c r="E158" s="192"/>
      <c r="F158" s="150">
        <f>F157+C158+D158+E158</f>
        <v>0</v>
      </c>
      <c r="H158" s="151">
        <v>0</v>
      </c>
      <c r="J158" s="148">
        <f t="shared" si="90"/>
        <v>43466</v>
      </c>
      <c r="L158" s="150"/>
      <c r="M158" s="150">
        <f>(O157+(L158+N158)/2)*Q158/12</f>
        <v>0</v>
      </c>
      <c r="N158" s="188"/>
      <c r="O158" s="150">
        <f>O157+L158+M158+N158</f>
        <v>0</v>
      </c>
      <c r="Q158" s="151">
        <f>H158</f>
        <v>0</v>
      </c>
    </row>
    <row r="159" spans="1:17">
      <c r="A159" s="148">
        <f t="shared" ref="A159:A169" si="91">A158+31</f>
        <v>43497</v>
      </c>
      <c r="C159" s="150"/>
      <c r="D159" s="150">
        <f>(F158+(C159+E159)/2)*H159/12</f>
        <v>0</v>
      </c>
      <c r="E159" s="192"/>
      <c r="F159" s="150">
        <f>F158+C159+D159+E159</f>
        <v>0</v>
      </c>
      <c r="H159" s="151">
        <f>H158</f>
        <v>0</v>
      </c>
      <c r="J159" s="148">
        <f t="shared" si="90"/>
        <v>43497</v>
      </c>
      <c r="L159" s="150"/>
      <c r="M159" s="150">
        <f>(O158+(L159+N159)/2)*Q159/12</f>
        <v>0</v>
      </c>
      <c r="N159" s="188"/>
      <c r="O159" s="150">
        <f>O158+L159+M159+N159</f>
        <v>0</v>
      </c>
      <c r="Q159" s="151">
        <f t="shared" ref="Q159:Q169" si="92">H159</f>
        <v>0</v>
      </c>
    </row>
    <row r="160" spans="1:17">
      <c r="A160" s="148">
        <f t="shared" si="91"/>
        <v>43528</v>
      </c>
      <c r="C160" s="150"/>
      <c r="D160" s="150">
        <f>(F159+(C160+E160)/2)*H160/12</f>
        <v>0</v>
      </c>
      <c r="E160" s="192"/>
      <c r="F160" s="150">
        <f>F159+C160+D160+E160</f>
        <v>0</v>
      </c>
      <c r="H160" s="151">
        <f t="shared" ref="H160:H169" si="93">H159</f>
        <v>0</v>
      </c>
      <c r="J160" s="148">
        <f t="shared" si="90"/>
        <v>43528</v>
      </c>
      <c r="L160" s="150"/>
      <c r="M160" s="150">
        <f>(O159+(L160+N160)/2)*Q160/12</f>
        <v>0</v>
      </c>
      <c r="N160" s="188"/>
      <c r="O160" s="150">
        <f>O159+L160+M160+N160</f>
        <v>0</v>
      </c>
      <c r="Q160" s="151">
        <f t="shared" si="92"/>
        <v>0</v>
      </c>
    </row>
    <row r="161" spans="1:17">
      <c r="A161" s="148">
        <f t="shared" si="91"/>
        <v>43559</v>
      </c>
      <c r="C161" s="150"/>
      <c r="D161" s="150">
        <f t="shared" ref="D161:D169" si="94">(F160+(C161+E161)/2)*H161/12</f>
        <v>0</v>
      </c>
      <c r="E161" s="192"/>
      <c r="F161" s="150">
        <f t="shared" ref="F161:F169" si="95">F160+C161+D161+E161</f>
        <v>0</v>
      </c>
      <c r="H161" s="151">
        <f t="shared" si="93"/>
        <v>0</v>
      </c>
      <c r="J161" s="148">
        <f t="shared" si="90"/>
        <v>43559</v>
      </c>
      <c r="L161" s="150"/>
      <c r="M161" s="150">
        <f t="shared" ref="M161:M169" si="96">(O160+(L161+N161)/2)*Q161/12</f>
        <v>0</v>
      </c>
      <c r="N161" s="188"/>
      <c r="O161" s="150">
        <f t="shared" ref="O161:O169" si="97">O160+L161+M161+N161</f>
        <v>0</v>
      </c>
      <c r="Q161" s="151">
        <f t="shared" si="92"/>
        <v>0</v>
      </c>
    </row>
    <row r="162" spans="1:17">
      <c r="A162" s="148">
        <f t="shared" si="91"/>
        <v>43590</v>
      </c>
      <c r="C162" s="150"/>
      <c r="D162" s="150">
        <f t="shared" si="94"/>
        <v>0</v>
      </c>
      <c r="E162" s="192"/>
      <c r="F162" s="150">
        <f t="shared" si="95"/>
        <v>0</v>
      </c>
      <c r="H162" s="151">
        <f t="shared" si="93"/>
        <v>0</v>
      </c>
      <c r="J162" s="148">
        <f t="shared" si="90"/>
        <v>43590</v>
      </c>
      <c r="L162" s="150"/>
      <c r="M162" s="150">
        <f t="shared" si="96"/>
        <v>0</v>
      </c>
      <c r="N162" s="188"/>
      <c r="O162" s="150">
        <f t="shared" si="97"/>
        <v>0</v>
      </c>
      <c r="Q162" s="151">
        <f t="shared" si="92"/>
        <v>0</v>
      </c>
    </row>
    <row r="163" spans="1:17">
      <c r="A163" s="148">
        <f t="shared" si="91"/>
        <v>43621</v>
      </c>
      <c r="C163" s="150"/>
      <c r="D163" s="150">
        <f t="shared" si="94"/>
        <v>0</v>
      </c>
      <c r="E163" s="192"/>
      <c r="F163" s="150">
        <f t="shared" si="95"/>
        <v>0</v>
      </c>
      <c r="H163" s="151">
        <f t="shared" si="93"/>
        <v>0</v>
      </c>
      <c r="J163" s="148">
        <f t="shared" si="90"/>
        <v>43621</v>
      </c>
      <c r="L163" s="150"/>
      <c r="M163" s="150">
        <f t="shared" si="96"/>
        <v>0</v>
      </c>
      <c r="N163" s="188"/>
      <c r="O163" s="150">
        <f t="shared" si="97"/>
        <v>0</v>
      </c>
      <c r="Q163" s="151">
        <f t="shared" si="92"/>
        <v>0</v>
      </c>
    </row>
    <row r="164" spans="1:17">
      <c r="A164" s="148">
        <f t="shared" si="91"/>
        <v>43652</v>
      </c>
      <c r="C164" s="150"/>
      <c r="D164" s="150">
        <f t="shared" si="94"/>
        <v>0</v>
      </c>
      <c r="E164" s="192"/>
      <c r="F164" s="150">
        <f t="shared" si="95"/>
        <v>0</v>
      </c>
      <c r="H164" s="151">
        <f t="shared" si="93"/>
        <v>0</v>
      </c>
      <c r="J164" s="148">
        <f t="shared" si="90"/>
        <v>43652</v>
      </c>
      <c r="L164" s="150"/>
      <c r="M164" s="150">
        <f t="shared" si="96"/>
        <v>0</v>
      </c>
      <c r="N164" s="188"/>
      <c r="O164" s="150">
        <f t="shared" si="97"/>
        <v>0</v>
      </c>
      <c r="Q164" s="151">
        <f t="shared" si="92"/>
        <v>0</v>
      </c>
    </row>
    <row r="165" spans="1:17">
      <c r="A165" s="148">
        <f t="shared" si="91"/>
        <v>43683</v>
      </c>
      <c r="C165" s="150"/>
      <c r="D165" s="150">
        <f t="shared" si="94"/>
        <v>0</v>
      </c>
      <c r="E165" s="192"/>
      <c r="F165" s="150">
        <f t="shared" si="95"/>
        <v>0</v>
      </c>
      <c r="H165" s="151">
        <f t="shared" si="93"/>
        <v>0</v>
      </c>
      <c r="J165" s="148">
        <f t="shared" si="90"/>
        <v>43683</v>
      </c>
      <c r="L165" s="150"/>
      <c r="M165" s="150">
        <f t="shared" si="96"/>
        <v>0</v>
      </c>
      <c r="N165" s="188"/>
      <c r="O165" s="150">
        <f t="shared" si="97"/>
        <v>0</v>
      </c>
      <c r="Q165" s="151">
        <f t="shared" si="92"/>
        <v>0</v>
      </c>
    </row>
    <row r="166" spans="1:17">
      <c r="A166" s="148">
        <f t="shared" si="91"/>
        <v>43714</v>
      </c>
      <c r="C166" s="150"/>
      <c r="D166" s="150">
        <f t="shared" si="94"/>
        <v>0</v>
      </c>
      <c r="E166" s="192"/>
      <c r="F166" s="150">
        <f t="shared" si="95"/>
        <v>0</v>
      </c>
      <c r="H166" s="151">
        <f t="shared" si="93"/>
        <v>0</v>
      </c>
      <c r="J166" s="148">
        <f t="shared" si="90"/>
        <v>43714</v>
      </c>
      <c r="L166" s="150"/>
      <c r="M166" s="150">
        <f t="shared" si="96"/>
        <v>0</v>
      </c>
      <c r="N166" s="188"/>
      <c r="O166" s="150">
        <f t="shared" si="97"/>
        <v>0</v>
      </c>
      <c r="Q166" s="151">
        <f t="shared" si="92"/>
        <v>0</v>
      </c>
    </row>
    <row r="167" spans="1:17">
      <c r="A167" s="148">
        <f t="shared" si="91"/>
        <v>43745</v>
      </c>
      <c r="C167" s="150"/>
      <c r="D167" s="150">
        <f t="shared" si="94"/>
        <v>0</v>
      </c>
      <c r="E167" s="192"/>
      <c r="F167" s="150">
        <f t="shared" si="95"/>
        <v>0</v>
      </c>
      <c r="H167" s="151">
        <f t="shared" si="93"/>
        <v>0</v>
      </c>
      <c r="J167" s="148">
        <f t="shared" si="90"/>
        <v>43745</v>
      </c>
      <c r="L167" s="150"/>
      <c r="M167" s="150">
        <f t="shared" si="96"/>
        <v>0</v>
      </c>
      <c r="N167" s="188"/>
      <c r="O167" s="150">
        <f t="shared" si="97"/>
        <v>0</v>
      </c>
      <c r="Q167" s="151">
        <f t="shared" si="92"/>
        <v>0</v>
      </c>
    </row>
    <row r="168" spans="1:17">
      <c r="A168" s="148">
        <f t="shared" si="91"/>
        <v>43776</v>
      </c>
      <c r="C168" s="150"/>
      <c r="D168" s="150">
        <f t="shared" si="94"/>
        <v>0</v>
      </c>
      <c r="E168" s="192"/>
      <c r="F168" s="150">
        <f t="shared" si="95"/>
        <v>0</v>
      </c>
      <c r="H168" s="151">
        <f t="shared" si="93"/>
        <v>0</v>
      </c>
      <c r="J168" s="148">
        <f t="shared" si="90"/>
        <v>43776</v>
      </c>
      <c r="L168" s="150"/>
      <c r="M168" s="150">
        <f t="shared" si="96"/>
        <v>0</v>
      </c>
      <c r="N168" s="188"/>
      <c r="O168" s="150">
        <f t="shared" si="97"/>
        <v>0</v>
      </c>
      <c r="Q168" s="151">
        <f t="shared" si="92"/>
        <v>0</v>
      </c>
    </row>
    <row r="169" spans="1:17">
      <c r="A169" s="148">
        <f t="shared" si="91"/>
        <v>43807</v>
      </c>
      <c r="C169" s="150"/>
      <c r="D169" s="150">
        <f t="shared" si="94"/>
        <v>0</v>
      </c>
      <c r="E169" s="192"/>
      <c r="F169" s="150">
        <f t="shared" si="95"/>
        <v>0</v>
      </c>
      <c r="H169" s="151">
        <f t="shared" si="93"/>
        <v>0</v>
      </c>
      <c r="J169" s="148">
        <f t="shared" si="90"/>
        <v>43807</v>
      </c>
      <c r="L169" s="150"/>
      <c r="M169" s="150">
        <f t="shared" si="96"/>
        <v>0</v>
      </c>
      <c r="N169" s="188"/>
      <c r="O169" s="150">
        <f t="shared" si="97"/>
        <v>0</v>
      </c>
      <c r="Q169" s="151">
        <f t="shared" si="92"/>
        <v>0</v>
      </c>
    </row>
    <row r="170" spans="1:17">
      <c r="F170" s="150"/>
      <c r="O170" s="150"/>
    </row>
    <row r="171" spans="1:17">
      <c r="A171" s="238">
        <v>253312</v>
      </c>
      <c r="B171" s="238" t="s">
        <v>53</v>
      </c>
      <c r="C171" s="239" t="s">
        <v>101</v>
      </c>
      <c r="D171" s="239" t="s">
        <v>102</v>
      </c>
      <c r="E171" s="239"/>
      <c r="F171" s="150" t="s">
        <v>104</v>
      </c>
      <c r="H171" s="239" t="s">
        <v>102</v>
      </c>
      <c r="J171" s="238">
        <f>A171</f>
        <v>253312</v>
      </c>
      <c r="K171" s="238" t="s">
        <v>54</v>
      </c>
      <c r="L171" s="239" t="s">
        <v>101</v>
      </c>
      <c r="M171" s="239" t="s">
        <v>102</v>
      </c>
      <c r="N171" s="239"/>
      <c r="O171" s="150" t="s">
        <v>104</v>
      </c>
      <c r="Q171" s="239" t="s">
        <v>102</v>
      </c>
    </row>
    <row r="172" spans="1:17">
      <c r="A172" s="169" t="s">
        <v>175</v>
      </c>
      <c r="B172" s="169" t="s">
        <v>166</v>
      </c>
      <c r="C172" s="239" t="s">
        <v>105</v>
      </c>
      <c r="D172" s="239" t="s">
        <v>106</v>
      </c>
      <c r="E172" s="239" t="s">
        <v>107</v>
      </c>
      <c r="F172" s="150" t="s">
        <v>103</v>
      </c>
      <c r="H172" s="239" t="s">
        <v>108</v>
      </c>
      <c r="J172" s="169" t="str">
        <f>A172</f>
        <v>Prior 3% Contra Deferral</v>
      </c>
      <c r="K172" s="169" t="s">
        <v>166</v>
      </c>
      <c r="L172" s="239" t="s">
        <v>105</v>
      </c>
      <c r="M172" s="239" t="s">
        <v>106</v>
      </c>
      <c r="N172" s="239" t="s">
        <v>107</v>
      </c>
      <c r="O172" s="150" t="s">
        <v>103</v>
      </c>
      <c r="Q172" s="239" t="s">
        <v>108</v>
      </c>
    </row>
    <row r="173" spans="1:17">
      <c r="A173" s="148">
        <f>$A$25</f>
        <v>43435</v>
      </c>
      <c r="B173" s="149"/>
      <c r="C173" s="149"/>
      <c r="F173" s="243">
        <v>-1396884</v>
      </c>
      <c r="J173" s="148">
        <f t="shared" ref="J173:J185" si="98">A173</f>
        <v>43435</v>
      </c>
      <c r="K173" s="149"/>
      <c r="L173" s="149"/>
      <c r="O173" s="243">
        <v>0</v>
      </c>
    </row>
    <row r="174" spans="1:17">
      <c r="A174" s="148">
        <f>A173+31</f>
        <v>43466</v>
      </c>
      <c r="C174" s="150"/>
      <c r="D174" s="150">
        <f>(F173+(C174+E174)/2)*H174/12</f>
        <v>0</v>
      </c>
      <c r="E174" s="192">
        <v>-38311.999999999985</v>
      </c>
      <c r="F174" s="150">
        <f>F173+C174+D174+E174</f>
        <v>-1435196</v>
      </c>
      <c r="H174" s="151">
        <v>0</v>
      </c>
      <c r="J174" s="148">
        <f t="shared" si="98"/>
        <v>43466</v>
      </c>
      <c r="L174" s="150"/>
      <c r="M174" s="150">
        <f>(O173+(L174+N174)/2)*Q174/12</f>
        <v>0</v>
      </c>
      <c r="N174" s="188"/>
      <c r="O174" s="150">
        <f>O173+L174+M174+N174</f>
        <v>0</v>
      </c>
      <c r="Q174" s="151">
        <f>H174</f>
        <v>0</v>
      </c>
    </row>
    <row r="175" spans="1:17">
      <c r="A175" s="148">
        <f t="shared" ref="A175:A185" si="99">A174+31</f>
        <v>43497</v>
      </c>
      <c r="C175" s="150"/>
      <c r="D175" s="150">
        <f>(F174+(C175+E175)/2)*H175/12</f>
        <v>0</v>
      </c>
      <c r="E175" s="192">
        <v>241519.43</v>
      </c>
      <c r="F175" s="150">
        <f>F174+C175+D175+E175</f>
        <v>-1193676.57</v>
      </c>
      <c r="H175" s="151">
        <f>H174</f>
        <v>0</v>
      </c>
      <c r="J175" s="148">
        <f t="shared" si="98"/>
        <v>43497</v>
      </c>
      <c r="L175" s="150"/>
      <c r="M175" s="150">
        <f>(O174+(L175+N175)/2)*Q175/12</f>
        <v>0</v>
      </c>
      <c r="N175" s="188"/>
      <c r="O175" s="150">
        <f>O174+L175+M175+N175</f>
        <v>0</v>
      </c>
      <c r="Q175" s="151">
        <f t="shared" ref="Q175:Q185" si="100">H175</f>
        <v>0</v>
      </c>
    </row>
    <row r="176" spans="1:17">
      <c r="A176" s="148">
        <f t="shared" si="99"/>
        <v>43528</v>
      </c>
      <c r="C176" s="150"/>
      <c r="D176" s="150">
        <f>(F175+(C176+E176)/2)*H176/12</f>
        <v>0</v>
      </c>
      <c r="E176" s="192">
        <v>252226.16</v>
      </c>
      <c r="F176" s="150">
        <f>F175+C176+D176+E176</f>
        <v>-941450.41</v>
      </c>
      <c r="H176" s="151">
        <f t="shared" ref="H176:H185" si="101">H175</f>
        <v>0</v>
      </c>
      <c r="J176" s="148">
        <f t="shared" si="98"/>
        <v>43528</v>
      </c>
      <c r="L176" s="150"/>
      <c r="M176" s="150">
        <f>(O175+(L176+N176)/2)*Q176/12</f>
        <v>0</v>
      </c>
      <c r="N176" s="188"/>
      <c r="O176" s="150">
        <f>O175+L176+M176+N176</f>
        <v>0</v>
      </c>
      <c r="Q176" s="151">
        <f t="shared" si="100"/>
        <v>0</v>
      </c>
    </row>
    <row r="177" spans="1:17">
      <c r="A177" s="148">
        <f t="shared" si="99"/>
        <v>43559</v>
      </c>
      <c r="C177" s="150"/>
      <c r="D177" s="150">
        <f t="shared" ref="D177:D184" si="102">(F176+(C177+E177)/2)*H177/12</f>
        <v>0</v>
      </c>
      <c r="E177" s="192">
        <v>174016.78</v>
      </c>
      <c r="F177" s="150">
        <f t="shared" ref="F177:F185" si="103">F176+C177+D177+E177</f>
        <v>-767433.63</v>
      </c>
      <c r="H177" s="151">
        <f t="shared" si="101"/>
        <v>0</v>
      </c>
      <c r="J177" s="148">
        <f t="shared" si="98"/>
        <v>43559</v>
      </c>
      <c r="L177" s="150"/>
      <c r="M177" s="150">
        <f t="shared" ref="M177:M185" si="104">(O176+(L177+N177)/2)*Q177/12</f>
        <v>0</v>
      </c>
      <c r="N177" s="188"/>
      <c r="O177" s="150">
        <f t="shared" ref="O177:O185" si="105">O176+L177+M177+N177</f>
        <v>0</v>
      </c>
      <c r="Q177" s="151">
        <f t="shared" si="100"/>
        <v>0</v>
      </c>
    </row>
    <row r="178" spans="1:17">
      <c r="A178" s="148">
        <f t="shared" si="99"/>
        <v>43590</v>
      </c>
      <c r="C178" s="150"/>
      <c r="D178" s="150">
        <f t="shared" si="102"/>
        <v>0</v>
      </c>
      <c r="E178" s="192">
        <v>153570.13</v>
      </c>
      <c r="F178" s="150">
        <f t="shared" si="103"/>
        <v>-613863.5</v>
      </c>
      <c r="H178" s="151">
        <f t="shared" si="101"/>
        <v>0</v>
      </c>
      <c r="J178" s="148">
        <f t="shared" si="98"/>
        <v>43590</v>
      </c>
      <c r="L178" s="150"/>
      <c r="M178" s="150">
        <f t="shared" si="104"/>
        <v>0</v>
      </c>
      <c r="N178" s="188"/>
      <c r="O178" s="150">
        <f t="shared" si="105"/>
        <v>0</v>
      </c>
      <c r="Q178" s="151">
        <f t="shared" si="100"/>
        <v>0</v>
      </c>
    </row>
    <row r="179" spans="1:17">
      <c r="A179" s="148">
        <f t="shared" si="99"/>
        <v>43621</v>
      </c>
      <c r="C179" s="150"/>
      <c r="D179" s="150">
        <f t="shared" si="102"/>
        <v>0</v>
      </c>
      <c r="E179" s="192">
        <v>140368.9</v>
      </c>
      <c r="F179" s="150">
        <f t="shared" si="103"/>
        <v>-473494.6</v>
      </c>
      <c r="H179" s="151">
        <f t="shared" si="101"/>
        <v>0</v>
      </c>
      <c r="J179" s="148">
        <f t="shared" si="98"/>
        <v>43621</v>
      </c>
      <c r="L179" s="150"/>
      <c r="M179" s="150">
        <f t="shared" si="104"/>
        <v>0</v>
      </c>
      <c r="N179" s="188"/>
      <c r="O179" s="150">
        <f t="shared" si="105"/>
        <v>0</v>
      </c>
      <c r="Q179" s="151">
        <f t="shared" si="100"/>
        <v>0</v>
      </c>
    </row>
    <row r="180" spans="1:17">
      <c r="A180" s="148">
        <f t="shared" si="99"/>
        <v>43652</v>
      </c>
      <c r="C180" s="150"/>
      <c r="D180" s="150">
        <f t="shared" si="102"/>
        <v>0</v>
      </c>
      <c r="E180" s="192">
        <v>180884.33</v>
      </c>
      <c r="F180" s="150">
        <f t="shared" si="103"/>
        <v>-292610.27</v>
      </c>
      <c r="H180" s="151">
        <f t="shared" si="101"/>
        <v>0</v>
      </c>
      <c r="J180" s="148">
        <f t="shared" si="98"/>
        <v>43652</v>
      </c>
      <c r="L180" s="150"/>
      <c r="M180" s="150">
        <f t="shared" si="104"/>
        <v>0</v>
      </c>
      <c r="N180" s="188"/>
      <c r="O180" s="150">
        <f t="shared" si="105"/>
        <v>0</v>
      </c>
      <c r="Q180" s="151">
        <f t="shared" si="100"/>
        <v>0</v>
      </c>
    </row>
    <row r="181" spans="1:17">
      <c r="A181" s="148">
        <f t="shared" si="99"/>
        <v>43683</v>
      </c>
      <c r="C181" s="150"/>
      <c r="D181" s="150">
        <f t="shared" si="102"/>
        <v>0</v>
      </c>
      <c r="E181" s="192">
        <v>182984.51</v>
      </c>
      <c r="F181" s="150">
        <f t="shared" si="103"/>
        <v>-109625.76000000001</v>
      </c>
      <c r="H181" s="151">
        <f t="shared" si="101"/>
        <v>0</v>
      </c>
      <c r="J181" s="148">
        <f t="shared" si="98"/>
        <v>43683</v>
      </c>
      <c r="L181" s="150"/>
      <c r="M181" s="150">
        <f t="shared" si="104"/>
        <v>0</v>
      </c>
      <c r="N181" s="188"/>
      <c r="O181" s="150">
        <f t="shared" si="105"/>
        <v>0</v>
      </c>
      <c r="Q181" s="151">
        <f t="shared" si="100"/>
        <v>0</v>
      </c>
    </row>
    <row r="182" spans="1:17">
      <c r="A182" s="148">
        <f t="shared" si="99"/>
        <v>43714</v>
      </c>
      <c r="C182" s="150"/>
      <c r="D182" s="150">
        <f t="shared" si="102"/>
        <v>0</v>
      </c>
      <c r="E182" s="192">
        <v>109625.76</v>
      </c>
      <c r="F182" s="150">
        <f t="shared" si="103"/>
        <v>0</v>
      </c>
      <c r="H182" s="151">
        <f t="shared" si="101"/>
        <v>0</v>
      </c>
      <c r="J182" s="148">
        <f t="shared" si="98"/>
        <v>43714</v>
      </c>
      <c r="L182" s="150"/>
      <c r="M182" s="150">
        <f t="shared" si="104"/>
        <v>0</v>
      </c>
      <c r="N182" s="188"/>
      <c r="O182" s="150">
        <f t="shared" si="105"/>
        <v>0</v>
      </c>
      <c r="Q182" s="151">
        <f t="shared" si="100"/>
        <v>0</v>
      </c>
    </row>
    <row r="183" spans="1:17">
      <c r="A183" s="148">
        <f t="shared" si="99"/>
        <v>43745</v>
      </c>
      <c r="C183" s="150"/>
      <c r="D183" s="150">
        <f t="shared" si="102"/>
        <v>0</v>
      </c>
      <c r="E183" s="192"/>
      <c r="F183" s="150">
        <f t="shared" si="103"/>
        <v>0</v>
      </c>
      <c r="H183" s="151">
        <f t="shared" si="101"/>
        <v>0</v>
      </c>
      <c r="J183" s="148">
        <f t="shared" si="98"/>
        <v>43745</v>
      </c>
      <c r="L183" s="150"/>
      <c r="M183" s="150">
        <f t="shared" si="104"/>
        <v>0</v>
      </c>
      <c r="N183" s="188"/>
      <c r="O183" s="150">
        <f t="shared" si="105"/>
        <v>0</v>
      </c>
      <c r="Q183" s="151">
        <f t="shared" si="100"/>
        <v>0</v>
      </c>
    </row>
    <row r="184" spans="1:17">
      <c r="A184" s="148">
        <f t="shared" si="99"/>
        <v>43776</v>
      </c>
      <c r="C184" s="150"/>
      <c r="D184" s="150">
        <f t="shared" si="102"/>
        <v>0</v>
      </c>
      <c r="E184" s="192"/>
      <c r="F184" s="150">
        <f t="shared" si="103"/>
        <v>0</v>
      </c>
      <c r="H184" s="151">
        <f t="shared" si="101"/>
        <v>0</v>
      </c>
      <c r="J184" s="148">
        <f t="shared" si="98"/>
        <v>43776</v>
      </c>
      <c r="L184" s="150"/>
      <c r="M184" s="150">
        <f t="shared" si="104"/>
        <v>0</v>
      </c>
      <c r="N184" s="188"/>
      <c r="O184" s="150">
        <f t="shared" si="105"/>
        <v>0</v>
      </c>
      <c r="Q184" s="151">
        <f t="shared" si="100"/>
        <v>0</v>
      </c>
    </row>
    <row r="185" spans="1:17">
      <c r="A185" s="148">
        <f t="shared" si="99"/>
        <v>43807</v>
      </c>
      <c r="C185" s="150"/>
      <c r="D185" s="150">
        <f>(F184+(C185+E185)/2)*H185/12</f>
        <v>0</v>
      </c>
      <c r="E185" s="192"/>
      <c r="F185" s="150">
        <f t="shared" si="103"/>
        <v>0</v>
      </c>
      <c r="H185" s="151">
        <f t="shared" si="101"/>
        <v>0</v>
      </c>
      <c r="J185" s="148">
        <f t="shared" si="98"/>
        <v>43807</v>
      </c>
      <c r="L185" s="150"/>
      <c r="M185" s="150">
        <f t="shared" si="104"/>
        <v>0</v>
      </c>
      <c r="N185" s="188"/>
      <c r="O185" s="150">
        <f t="shared" si="105"/>
        <v>0</v>
      </c>
      <c r="Q185" s="151">
        <f t="shared" si="100"/>
        <v>0</v>
      </c>
    </row>
    <row r="186" spans="1:17">
      <c r="F186" s="150"/>
      <c r="O186" s="150"/>
    </row>
    <row r="187" spans="1:17">
      <c r="F187" s="150"/>
      <c r="O187" s="150"/>
    </row>
    <row r="188" spans="1:17">
      <c r="F188" s="150"/>
      <c r="O188" s="150"/>
    </row>
    <row r="189" spans="1:17">
      <c r="F189" s="150"/>
      <c r="O189" s="150"/>
    </row>
    <row r="190" spans="1:17">
      <c r="F190" s="150"/>
      <c r="O190" s="150"/>
    </row>
    <row r="191" spans="1:17">
      <c r="F191" s="150"/>
      <c r="O191" s="150"/>
    </row>
    <row r="192" spans="1:17">
      <c r="F192" s="150"/>
      <c r="O192" s="150"/>
    </row>
    <row r="193" spans="6:15">
      <c r="F193" s="150"/>
      <c r="O193" s="150"/>
    </row>
    <row r="194" spans="6:15">
      <c r="F194" s="150"/>
      <c r="O194" s="150"/>
    </row>
    <row r="195" spans="6:15">
      <c r="F195" s="150"/>
      <c r="O195" s="150"/>
    </row>
    <row r="196" spans="6:15">
      <c r="F196" s="150"/>
      <c r="O196" s="150"/>
    </row>
    <row r="197" spans="6:15">
      <c r="F197" s="150"/>
      <c r="O197" s="150"/>
    </row>
    <row r="198" spans="6:15">
      <c r="F198" s="150"/>
      <c r="O198" s="150"/>
    </row>
    <row r="199" spans="6:15">
      <c r="F199" s="150"/>
      <c r="O199" s="150"/>
    </row>
    <row r="200" spans="6:15">
      <c r="F200" s="150"/>
      <c r="O200" s="150"/>
    </row>
    <row r="201" spans="6:15">
      <c r="F201" s="150"/>
      <c r="O201" s="150"/>
    </row>
    <row r="202" spans="6:15">
      <c r="F202" s="150"/>
      <c r="O202" s="150"/>
    </row>
    <row r="203" spans="6:15">
      <c r="F203" s="150"/>
      <c r="O203" s="150"/>
    </row>
    <row r="204" spans="6:15">
      <c r="F204" s="150"/>
      <c r="O204" s="150"/>
    </row>
    <row r="205" spans="6:15">
      <c r="F205" s="150"/>
      <c r="O205" s="150"/>
    </row>
    <row r="206" spans="6:15">
      <c r="F206" s="150"/>
      <c r="O206" s="150"/>
    </row>
    <row r="207" spans="6:15">
      <c r="F207" s="150"/>
      <c r="O207" s="150"/>
    </row>
    <row r="208" spans="6:15">
      <c r="F208" s="150"/>
      <c r="O208" s="150"/>
    </row>
    <row r="209" spans="6:15">
      <c r="F209" s="150"/>
      <c r="O209" s="150"/>
    </row>
    <row r="210" spans="6:15">
      <c r="F210" s="150"/>
      <c r="O210" s="150"/>
    </row>
    <row r="211" spans="6:15">
      <c r="F211" s="150"/>
      <c r="O211" s="150"/>
    </row>
    <row r="212" spans="6:15">
      <c r="F212" s="150"/>
      <c r="O212" s="150"/>
    </row>
    <row r="213" spans="6:15">
      <c r="F213" s="150"/>
      <c r="O213" s="150"/>
    </row>
    <row r="214" spans="6:15">
      <c r="F214" s="150"/>
      <c r="O214" s="150"/>
    </row>
    <row r="215" spans="6:15">
      <c r="F215" s="150"/>
      <c r="O215" s="150"/>
    </row>
    <row r="216" spans="6:15">
      <c r="F216" s="150"/>
      <c r="O216" s="150"/>
    </row>
    <row r="217" spans="6:15">
      <c r="F217" s="150"/>
      <c r="O217" s="150"/>
    </row>
    <row r="218" spans="6:15">
      <c r="F218" s="150"/>
      <c r="O218" s="150"/>
    </row>
    <row r="219" spans="6:15">
      <c r="F219" s="150"/>
      <c r="O219" s="150"/>
    </row>
    <row r="220" spans="6:15">
      <c r="F220" s="150"/>
      <c r="O220" s="150"/>
    </row>
    <row r="221" spans="6:15">
      <c r="F221" s="150"/>
      <c r="O221" s="150"/>
    </row>
    <row r="222" spans="6:15">
      <c r="F222" s="150"/>
      <c r="O222" s="150"/>
    </row>
    <row r="223" spans="6:15">
      <c r="F223" s="150"/>
      <c r="O223" s="150"/>
    </row>
    <row r="224" spans="6:15">
      <c r="F224" s="150"/>
      <c r="O224" s="150"/>
    </row>
    <row r="225" spans="6:15">
      <c r="F225" s="150"/>
      <c r="O225" s="150"/>
    </row>
    <row r="226" spans="6:15">
      <c r="F226" s="150"/>
      <c r="O226" s="150"/>
    </row>
    <row r="227" spans="6:15">
      <c r="F227" s="150"/>
      <c r="O227" s="150"/>
    </row>
    <row r="228" spans="6:15">
      <c r="F228" s="150"/>
      <c r="O228" s="150"/>
    </row>
    <row r="229" spans="6:15">
      <c r="F229" s="150"/>
      <c r="O229" s="150"/>
    </row>
    <row r="230" spans="6:15">
      <c r="F230" s="150"/>
      <c r="O230" s="150"/>
    </row>
    <row r="231" spans="6:15">
      <c r="F231" s="150"/>
      <c r="O231" s="150"/>
    </row>
    <row r="232" spans="6:15">
      <c r="F232" s="150"/>
      <c r="O232" s="150"/>
    </row>
    <row r="233" spans="6:15">
      <c r="F233" s="150"/>
      <c r="O233" s="150"/>
    </row>
    <row r="234" spans="6:15">
      <c r="F234" s="150"/>
      <c r="O234" s="150"/>
    </row>
    <row r="235" spans="6:15">
      <c r="F235" s="150"/>
      <c r="O235" s="150"/>
    </row>
    <row r="236" spans="6:15">
      <c r="F236" s="150"/>
      <c r="O236" s="150"/>
    </row>
    <row r="237" spans="6:15">
      <c r="F237" s="150"/>
      <c r="O237" s="150"/>
    </row>
    <row r="238" spans="6:15">
      <c r="F238" s="150"/>
      <c r="O238" s="150"/>
    </row>
    <row r="239" spans="6:15">
      <c r="F239" s="150"/>
      <c r="O239" s="150"/>
    </row>
    <row r="240" spans="6:15">
      <c r="F240" s="150"/>
    </row>
    <row r="241" spans="6:6">
      <c r="F241" s="150"/>
    </row>
    <row r="242" spans="6:6">
      <c r="F242" s="150"/>
    </row>
    <row r="243" spans="6:6">
      <c r="F243" s="150"/>
    </row>
    <row r="244" spans="6:6">
      <c r="F244" s="150"/>
    </row>
    <row r="245" spans="6:6">
      <c r="F245" s="150"/>
    </row>
    <row r="246" spans="6:6">
      <c r="F246" s="150"/>
    </row>
    <row r="247" spans="6:6">
      <c r="F247" s="150"/>
    </row>
    <row r="248" spans="6:6">
      <c r="F248" s="150"/>
    </row>
  </sheetData>
  <mergeCells count="6">
    <mergeCell ref="C71:H71"/>
    <mergeCell ref="C89:H89"/>
    <mergeCell ref="A1:I1"/>
    <mergeCell ref="J1:R1"/>
    <mergeCell ref="L71:Q71"/>
    <mergeCell ref="L89:Q89"/>
  </mergeCells>
  <printOptions horizontalCentered="1"/>
  <pageMargins left="0.7" right="0.71" top="0.97" bottom="0.75" header="0.5" footer="0.5"/>
  <pageSetup scale="75" firstPageNumber="7" fitToWidth="0" fitToHeight="0" orientation="portrait" useFirstPageNumber="1" r:id="rId1"/>
  <headerFooter scaleWithDoc="0">
    <oddHeader>&amp;CAvista Corporation Decoupling Mechanism
Washington Jurisdiction
Quarterly Report for 4th Quarter 2019</oddHeader>
    <oddFooter>&amp;Cfile: &amp;F / &amp;A&amp;RPage &amp;P of 13</oddFooter>
  </headerFooter>
  <rowBreaks count="2" manualBreakCount="2">
    <brk id="53" max="17" man="1"/>
    <brk id="105"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zoomScaleNormal="100" workbookViewId="0">
      <selection activeCell="D1" sqref="D1:L1048576"/>
    </sheetView>
  </sheetViews>
  <sheetFormatPr defaultRowHeight="15"/>
  <cols>
    <col min="1" max="1" width="2.85546875" customWidth="1"/>
    <col min="2" max="2" width="20.7109375" customWidth="1"/>
    <col min="3" max="3" width="8.28515625" customWidth="1"/>
    <col min="4" max="4" width="8.5703125" customWidth="1"/>
    <col min="5" max="5" width="8.28515625" customWidth="1"/>
    <col min="6" max="6" width="8.5703125" customWidth="1"/>
    <col min="7" max="7" width="8" customWidth="1"/>
    <col min="8" max="8" width="8.28515625" style="72" customWidth="1"/>
    <col min="9" max="9" width="9.42578125" customWidth="1"/>
    <col min="10" max="12" width="8.5703125" customWidth="1"/>
  </cols>
  <sheetData>
    <row r="1" spans="1:23" ht="28.9" customHeight="1">
      <c r="A1" t="s">
        <v>62</v>
      </c>
    </row>
    <row r="2" spans="1:23" s="33" customFormat="1" ht="14.45" customHeight="1">
      <c r="A2" s="53"/>
      <c r="B2" s="53"/>
      <c r="C2" s="53"/>
      <c r="D2" s="53"/>
      <c r="E2" s="53"/>
      <c r="F2" s="53"/>
      <c r="G2" s="53"/>
      <c r="H2" s="79"/>
      <c r="I2" s="53"/>
      <c r="J2" s="53"/>
      <c r="K2" s="53"/>
    </row>
    <row r="3" spans="1:23" s="33" customFormat="1" ht="93.75" customHeight="1">
      <c r="A3" s="251" t="s">
        <v>179</v>
      </c>
      <c r="B3" s="251"/>
      <c r="C3" s="251"/>
      <c r="D3" s="251"/>
      <c r="E3" s="251"/>
      <c r="F3" s="251"/>
      <c r="G3" s="251"/>
      <c r="H3" s="251"/>
      <c r="I3" s="251"/>
      <c r="J3" s="251"/>
      <c r="K3" s="251"/>
      <c r="M3"/>
      <c r="N3"/>
      <c r="O3"/>
      <c r="P3"/>
      <c r="Q3"/>
      <c r="R3"/>
      <c r="S3"/>
      <c r="T3"/>
      <c r="U3"/>
      <c r="V3"/>
      <c r="W3"/>
    </row>
    <row r="4" spans="1:23" ht="14.45" customHeight="1"/>
    <row r="5" spans="1:23" ht="14.45" customHeight="1">
      <c r="A5" s="250" t="s">
        <v>78</v>
      </c>
      <c r="B5" s="250"/>
      <c r="C5" s="250"/>
      <c r="D5" s="250"/>
      <c r="E5" s="250"/>
      <c r="F5" s="250"/>
      <c r="G5" s="250"/>
      <c r="H5" s="250"/>
      <c r="I5" s="250"/>
      <c r="J5" s="250"/>
      <c r="K5" s="250"/>
    </row>
    <row r="6" spans="1:23" s="33" customFormat="1" ht="13.9" customHeight="1">
      <c r="A6" s="250" t="s">
        <v>79</v>
      </c>
      <c r="B6" s="250"/>
      <c r="C6" s="250"/>
      <c r="D6" s="250"/>
      <c r="E6" s="250"/>
      <c r="F6" s="250"/>
      <c r="G6" s="250"/>
      <c r="H6" s="250"/>
      <c r="I6" s="250"/>
      <c r="J6" s="250"/>
      <c r="K6" s="250"/>
    </row>
    <row r="7" spans="1:23" ht="28.9" customHeight="1">
      <c r="A7" s="50"/>
      <c r="B7" s="50"/>
      <c r="C7" s="50"/>
      <c r="E7" s="55" t="s">
        <v>72</v>
      </c>
      <c r="F7" s="55" t="s">
        <v>73</v>
      </c>
      <c r="G7" s="58" t="s">
        <v>82</v>
      </c>
      <c r="H7" s="78" t="s">
        <v>87</v>
      </c>
      <c r="I7" s="100" t="s">
        <v>177</v>
      </c>
      <c r="J7" s="55" t="s">
        <v>74</v>
      </c>
      <c r="K7" s="50"/>
      <c r="L7" s="50"/>
    </row>
    <row r="8" spans="1:23" ht="14.45" customHeight="1">
      <c r="A8" s="54" t="s">
        <v>70</v>
      </c>
      <c r="B8" s="22"/>
      <c r="C8" s="22"/>
      <c r="E8" s="22"/>
      <c r="F8" s="22"/>
      <c r="G8" s="22"/>
      <c r="H8" s="22"/>
      <c r="I8" s="22"/>
      <c r="J8" s="22"/>
      <c r="K8" s="22"/>
      <c r="L8" s="22"/>
    </row>
    <row r="9" spans="1:23" ht="14.45" customHeight="1">
      <c r="A9" s="51"/>
      <c r="B9" s="51" t="s">
        <v>71</v>
      </c>
      <c r="C9" s="51"/>
      <c r="E9" s="57">
        <v>76</v>
      </c>
      <c r="F9" s="57">
        <v>-84</v>
      </c>
      <c r="G9" s="74">
        <v>-84</v>
      </c>
      <c r="H9" s="98">
        <v>-25</v>
      </c>
      <c r="I9" s="57">
        <v>-117</v>
      </c>
      <c r="J9" s="174">
        <v>-0.01</v>
      </c>
      <c r="K9" s="51"/>
      <c r="L9" s="51"/>
    </row>
    <row r="10" spans="1:23" ht="14.45" customHeight="1">
      <c r="A10" s="51"/>
      <c r="B10" s="51" t="s">
        <v>80</v>
      </c>
      <c r="C10" s="51"/>
      <c r="E10" s="56">
        <v>14.5</v>
      </c>
      <c r="F10" s="56">
        <v>-11.32</v>
      </c>
      <c r="G10" s="75">
        <v>-8.85</v>
      </c>
      <c r="H10" s="99">
        <v>-0.11</v>
      </c>
      <c r="I10" s="56">
        <v>-5.73</v>
      </c>
      <c r="J10" s="174">
        <v>-8.0000000000000002E-3</v>
      </c>
      <c r="K10" s="51"/>
      <c r="L10" s="51"/>
    </row>
    <row r="11" spans="1:23">
      <c r="B11" s="33" t="s">
        <v>81</v>
      </c>
      <c r="E11" s="56">
        <v>-14.5</v>
      </c>
      <c r="F11" s="56">
        <v>11.32</v>
      </c>
      <c r="G11" s="56">
        <v>8.85</v>
      </c>
      <c r="H11" s="56">
        <v>0.11</v>
      </c>
      <c r="I11" s="56">
        <v>5.73</v>
      </c>
      <c r="J11" s="37"/>
    </row>
    <row r="12" spans="1:23" s="33" customFormat="1" ht="6" customHeight="1">
      <c r="E12" s="56"/>
      <c r="F12" s="56"/>
      <c r="G12" s="75"/>
      <c r="H12" s="95"/>
      <c r="I12" s="56"/>
      <c r="J12" s="37"/>
    </row>
    <row r="13" spans="1:23">
      <c r="A13" s="54" t="s">
        <v>75</v>
      </c>
      <c r="B13" s="22"/>
      <c r="C13" s="22"/>
      <c r="E13" s="22"/>
      <c r="F13" s="22"/>
      <c r="G13" s="76"/>
      <c r="H13" s="96"/>
      <c r="I13" s="212"/>
      <c r="J13" s="76"/>
      <c r="K13" s="52"/>
      <c r="L13" s="52"/>
    </row>
    <row r="14" spans="1:23">
      <c r="A14" s="51"/>
      <c r="B14" s="51" t="s">
        <v>71</v>
      </c>
      <c r="C14" s="51"/>
      <c r="E14" s="57">
        <v>-334</v>
      </c>
      <c r="F14" s="57">
        <v>-810</v>
      </c>
      <c r="G14" s="74">
        <v>-703</v>
      </c>
      <c r="H14" s="98">
        <v>-950</v>
      </c>
      <c r="I14" s="57">
        <v>-2800</v>
      </c>
      <c r="J14" s="174">
        <v>-4.5999999999999999E-2</v>
      </c>
      <c r="K14" s="52"/>
      <c r="L14" s="52"/>
    </row>
    <row r="15" spans="1:23" ht="14.45" customHeight="1">
      <c r="A15" s="51"/>
      <c r="B15" s="51" t="s">
        <v>80</v>
      </c>
      <c r="C15" s="51"/>
      <c r="E15" s="56">
        <v>-8.8000000000000007</v>
      </c>
      <c r="F15" s="56">
        <v>-61.46</v>
      </c>
      <c r="G15" s="75">
        <v>-65.290000000000006</v>
      </c>
      <c r="H15" s="99">
        <v>-54.61</v>
      </c>
      <c r="I15" s="56">
        <v>-190.24</v>
      </c>
      <c r="J15" s="174">
        <v>-4.3999999999999997E-2</v>
      </c>
      <c r="K15" s="52"/>
      <c r="L15" s="52"/>
    </row>
    <row r="16" spans="1:23">
      <c r="B16" s="33" t="s">
        <v>81</v>
      </c>
      <c r="E16" s="56">
        <v>8.8000000000000007</v>
      </c>
      <c r="F16" s="56">
        <v>61.46</v>
      </c>
      <c r="G16" s="56">
        <v>65.290000000000006</v>
      </c>
      <c r="H16" s="56">
        <v>54.61</v>
      </c>
      <c r="I16" s="56">
        <v>190.24</v>
      </c>
      <c r="J16" s="37"/>
    </row>
    <row r="17" spans="1:19" s="33" customFormat="1" ht="9" customHeight="1">
      <c r="G17" s="37"/>
      <c r="H17" s="97"/>
      <c r="I17" s="72"/>
      <c r="J17" s="37"/>
    </row>
    <row r="18" spans="1:19" ht="14.45" customHeight="1">
      <c r="A18" s="54" t="s">
        <v>76</v>
      </c>
      <c r="B18" s="22"/>
      <c r="C18" s="22"/>
      <c r="E18" s="22"/>
      <c r="F18" s="22"/>
      <c r="G18" s="76"/>
      <c r="H18" s="96"/>
      <c r="I18" s="212"/>
      <c r="J18" s="76"/>
    </row>
    <row r="19" spans="1:19" ht="14.45" customHeight="1">
      <c r="A19" s="51"/>
      <c r="B19" s="51" t="s">
        <v>71</v>
      </c>
      <c r="C19" s="51"/>
      <c r="E19" s="57">
        <v>48</v>
      </c>
      <c r="F19" s="57">
        <v>-12</v>
      </c>
      <c r="G19" s="74">
        <v>1</v>
      </c>
      <c r="H19" s="98">
        <v>13</v>
      </c>
      <c r="I19" s="57">
        <v>49</v>
      </c>
      <c r="J19" s="174">
        <v>6.3E-2</v>
      </c>
    </row>
    <row r="20" spans="1:19">
      <c r="A20" s="51"/>
      <c r="B20" s="51" t="s">
        <v>80</v>
      </c>
      <c r="C20" s="51"/>
      <c r="E20" s="56">
        <v>15.22</v>
      </c>
      <c r="F20" s="56">
        <v>-8.4700000000000006</v>
      </c>
      <c r="G20" s="75">
        <v>-0.7</v>
      </c>
      <c r="H20" s="99">
        <v>0.2</v>
      </c>
      <c r="I20" s="56">
        <v>6.19</v>
      </c>
      <c r="J20" s="174">
        <v>0.02</v>
      </c>
    </row>
    <row r="21" spans="1:19" s="33" customFormat="1">
      <c r="A21" s="51"/>
      <c r="B21" s="33" t="s">
        <v>81</v>
      </c>
      <c r="C21" s="51"/>
      <c r="E21" s="56">
        <v>-15.22</v>
      </c>
      <c r="F21" s="56">
        <v>8.4700000000000006</v>
      </c>
      <c r="G21" s="56">
        <v>0.7</v>
      </c>
      <c r="H21" s="56">
        <v>-0.2</v>
      </c>
      <c r="I21" s="56">
        <v>-6.19</v>
      </c>
      <c r="J21" s="175"/>
    </row>
    <row r="22" spans="1:19" ht="9" customHeight="1">
      <c r="A22" s="33"/>
      <c r="B22" s="33"/>
      <c r="C22" s="33"/>
      <c r="E22" s="33"/>
      <c r="F22" s="33"/>
      <c r="G22" s="37"/>
      <c r="H22" s="97"/>
      <c r="I22" s="72"/>
      <c r="J22" s="37"/>
    </row>
    <row r="23" spans="1:19">
      <c r="A23" s="54" t="s">
        <v>77</v>
      </c>
      <c r="B23" s="22"/>
      <c r="C23" s="22"/>
      <c r="E23" s="22"/>
      <c r="F23" s="22"/>
      <c r="G23" s="76"/>
      <c r="H23" s="96"/>
      <c r="I23" s="212"/>
      <c r="J23" s="76"/>
    </row>
    <row r="24" spans="1:19">
      <c r="A24" s="51"/>
      <c r="B24" s="51" t="s">
        <v>71</v>
      </c>
      <c r="C24" s="51"/>
      <c r="E24" s="57">
        <v>887</v>
      </c>
      <c r="F24" s="57">
        <v>-185</v>
      </c>
      <c r="G24" s="74">
        <v>156</v>
      </c>
      <c r="H24" s="98">
        <v>233</v>
      </c>
      <c r="I24" s="57">
        <v>1092</v>
      </c>
      <c r="J24" s="174">
        <v>5.8000000000000003E-2</v>
      </c>
    </row>
    <row r="25" spans="1:19">
      <c r="A25" s="51"/>
      <c r="B25" s="51" t="s">
        <v>80</v>
      </c>
      <c r="C25" s="51"/>
      <c r="E25" s="56">
        <v>92.61</v>
      </c>
      <c r="F25" s="56">
        <v>-63.95</v>
      </c>
      <c r="G25" s="75">
        <v>-4.58</v>
      </c>
      <c r="H25" s="99">
        <v>-47.57</v>
      </c>
      <c r="I25" s="56">
        <v>-23.66</v>
      </c>
      <c r="J25" s="174">
        <v>-5.0000000000000001E-3</v>
      </c>
    </row>
    <row r="26" spans="1:19">
      <c r="B26" s="33" t="s">
        <v>81</v>
      </c>
      <c r="E26" s="56">
        <v>-92.61</v>
      </c>
      <c r="F26" s="56">
        <v>63.95</v>
      </c>
      <c r="G26" s="56">
        <v>4.58</v>
      </c>
      <c r="H26" s="56">
        <v>47.57</v>
      </c>
      <c r="I26" s="56">
        <v>23.66</v>
      </c>
      <c r="J26" s="37"/>
    </row>
    <row r="29" spans="1:19" ht="129" customHeight="1">
      <c r="A29" s="252" t="s">
        <v>178</v>
      </c>
      <c r="B29" s="252"/>
      <c r="C29" s="252"/>
      <c r="D29" s="252"/>
      <c r="E29" s="252"/>
      <c r="F29" s="252"/>
      <c r="G29" s="252"/>
      <c r="H29" s="252"/>
      <c r="I29" s="252"/>
      <c r="J29" s="252"/>
      <c r="K29" s="252"/>
      <c r="L29" s="50"/>
      <c r="M29" s="50"/>
      <c r="N29" s="50"/>
      <c r="O29" s="50"/>
      <c r="P29" s="50"/>
      <c r="Q29" s="50"/>
      <c r="R29" s="50"/>
      <c r="S29" s="50"/>
    </row>
    <row r="30" spans="1:19" ht="16.149999999999999" customHeight="1">
      <c r="A30" s="249"/>
      <c r="B30" s="249"/>
      <c r="C30" s="249"/>
      <c r="D30" s="249"/>
      <c r="E30" s="249"/>
      <c r="F30" s="249"/>
      <c r="G30" s="249"/>
      <c r="H30" s="249"/>
      <c r="I30" s="249"/>
      <c r="J30" s="249"/>
      <c r="K30" s="249"/>
      <c r="L30" s="50"/>
      <c r="M30" s="50"/>
      <c r="N30" s="50"/>
      <c r="O30" s="50"/>
      <c r="P30" s="50"/>
      <c r="Q30" s="50"/>
      <c r="R30" s="50"/>
    </row>
    <row r="31" spans="1:19">
      <c r="A31" s="72"/>
      <c r="B31" s="72"/>
      <c r="C31" s="72"/>
      <c r="D31" s="72"/>
      <c r="E31" s="72"/>
      <c r="F31" s="72"/>
      <c r="G31" s="72"/>
      <c r="I31" s="72"/>
      <c r="J31" s="72"/>
      <c r="K31" s="72"/>
      <c r="L31" s="50"/>
      <c r="M31" s="50"/>
      <c r="N31" s="50"/>
      <c r="O31" s="50"/>
      <c r="P31" s="50"/>
      <c r="Q31" s="50"/>
      <c r="R31" s="50"/>
      <c r="S31" s="50"/>
    </row>
    <row r="32" spans="1:19">
      <c r="A32" s="72"/>
      <c r="B32" s="72"/>
      <c r="C32" s="72"/>
      <c r="D32" s="72"/>
      <c r="E32" s="72"/>
      <c r="F32" s="72"/>
      <c r="G32" s="72"/>
      <c r="I32" s="72"/>
      <c r="J32" s="72"/>
      <c r="K32" s="72"/>
      <c r="L32" s="50"/>
      <c r="M32" s="50"/>
      <c r="N32" s="50"/>
      <c r="O32" s="50"/>
      <c r="P32" s="50"/>
      <c r="Q32" s="50"/>
      <c r="R32" s="50"/>
      <c r="S32" s="50"/>
    </row>
    <row r="33" spans="12:19">
      <c r="L33" s="50"/>
      <c r="M33" s="50"/>
      <c r="N33" s="50"/>
      <c r="O33" s="50"/>
      <c r="P33" s="50"/>
      <c r="Q33" s="50"/>
      <c r="R33" s="50"/>
      <c r="S33" s="50"/>
    </row>
    <row r="34" spans="12:19">
      <c r="L34" s="50"/>
      <c r="M34" s="50"/>
      <c r="N34" s="50"/>
      <c r="O34" s="50"/>
      <c r="P34" s="50"/>
      <c r="Q34" s="50"/>
      <c r="R34" s="50"/>
      <c r="S34" s="50"/>
    </row>
  </sheetData>
  <mergeCells count="5">
    <mergeCell ref="A30:K30"/>
    <mergeCell ref="A5:K5"/>
    <mergeCell ref="A6:K6"/>
    <mergeCell ref="A3:K3"/>
    <mergeCell ref="A29:K29"/>
  </mergeCells>
  <printOptions horizontalCentered="1"/>
  <pageMargins left="0.7" right="0.71" top="0.97" bottom="0.75" header="0.5" footer="0.5"/>
  <pageSetup scale="90" orientation="portrait" r:id="rId1"/>
  <headerFooter scaleWithDoc="0">
    <oddHeader>&amp;CAvista Corporation Decoupling Mechanism
Washington Jurisdiction
Quarterly Report for 4th Quarter 2019</oddHeader>
    <oddFooter>&amp;Cfile: &amp;F / &amp;A&amp;RPage 13 of 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SignificantOrder xmlns="dc463f71-b30c-4ab2-9473-d307f9d35888">false</SignificantOrder>
    <Date1 xmlns="dc463f71-b30c-4ab2-9473-d307f9d35888">2020-02-27T08:00:00+00:00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65F9DFC8-1C89-4201-879D-4B295D25CA1E}"/>
</file>

<file path=customXml/itemProps2.xml><?xml version="1.0" encoding="utf-8"?>
<ds:datastoreItem xmlns:ds="http://schemas.openxmlformats.org/officeDocument/2006/customXml" ds:itemID="{CF070847-8072-4127-B2BF-9E1496A1E48F}"/>
</file>

<file path=customXml/itemProps3.xml><?xml version="1.0" encoding="utf-8"?>
<ds:datastoreItem xmlns:ds="http://schemas.openxmlformats.org/officeDocument/2006/customXml" ds:itemID="{84AB28EA-D795-48F8-B537-A5287BF00603}"/>
</file>

<file path=customXml/itemProps4.xml><?xml version="1.0" encoding="utf-8"?>
<ds:datastoreItem xmlns:ds="http://schemas.openxmlformats.org/officeDocument/2006/customXml" ds:itemID="{1D319F23-3066-4B88-8CDE-4F10383F8B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Electric Deferral</vt:lpstr>
      <vt:lpstr>Nat Gas Deferral</vt:lpstr>
      <vt:lpstr>Accounting Balances</vt:lpstr>
      <vt:lpstr>Interest Reconciliation</vt:lpstr>
      <vt:lpstr>Notes</vt:lpstr>
      <vt:lpstr>'Accounting Balances'!Print_Area</vt:lpstr>
      <vt:lpstr>'Electric Deferral'!Print_Area</vt:lpstr>
      <vt:lpstr>'Interest Reconciliation'!Print_Area</vt:lpstr>
      <vt:lpstr>Notes!Print_Area</vt:lpstr>
      <vt:lpstr>'Interest Reconciliation'!Print_Titles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2020-02-27T18:07:16Z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